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取值过程"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比较法-办公" sheetId="34" r:id="rId21"/>
    <sheet name="成本法 (元)" sheetId="69" state="hidden" r:id="rId22"/>
    <sheet name="假设开发法" sheetId="12" state="hidden" r:id="rId23"/>
    <sheet name="大宗" sheetId="84" r:id="rId24"/>
    <sheet name="收益法（汇总）" sheetId="70" r:id="rId25"/>
    <sheet name="收益法" sheetId="15" r:id="rId26"/>
    <sheet name="收益法 (元)" sheetId="67" state="hidden" r:id="rId27"/>
    <sheet name="收益法-酒店模型" sheetId="77" state="hidden" r:id="rId28"/>
    <sheet name="收益法办" sheetId="82" r:id="rId29"/>
    <sheet name="收益法车" sheetId="83"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基准地价修正" sheetId="43" r:id="rId43"/>
    <sheet name="成本法" sheetId="68"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s>
  <definedNames>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3" hidden="1">大宗!$A$1:$W$41</definedName>
    <definedName name="_xlnm._FilterDatabase" localSheetId="14"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bookmark14" localSheetId="12">面积!$D$40</definedName>
    <definedName name="_xlnm.Print_Area" localSheetId="2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3">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28">收益法办!$A$1:$F$43,收益法办!$H$3:$M$29,收益法办!$A$46:$F$71,收益法办!$I$46:$N$65</definedName>
    <definedName name="_xlnm.Print_Area" localSheetId="29">收益法车!$A$1:$F$43,收益法车!$H$3:$M$29,收益法车!$A$46:$F$71,收益法车!$I$46:$N$65</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7">'[4]数据-汇总表'!$C$17:$C$26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iterate="1"/>
</workbook>
</file>

<file path=xl/calcChain.xml><?xml version="1.0" encoding="utf-8"?>
<calcChain xmlns="http://schemas.openxmlformats.org/spreadsheetml/2006/main">
  <c r="R13" i="80" l="1"/>
  <c r="H5" i="80"/>
  <c r="P5" i="80"/>
  <c r="H16" i="81" l="1"/>
  <c r="N6" i="1"/>
  <c r="G18" i="80"/>
  <c r="E105" i="34" l="1"/>
  <c r="F105" i="34" s="1"/>
  <c r="G105" i="34" s="1"/>
  <c r="D105" i="34"/>
  <c r="C88" i="9"/>
  <c r="C14" i="74" l="1"/>
  <c r="B14" i="74"/>
  <c r="I45" i="34"/>
  <c r="G45" i="34"/>
  <c r="E45" i="34"/>
  <c r="F138" i="34"/>
  <c r="F137" i="34"/>
  <c r="F136" i="34"/>
  <c r="C45" i="34" l="1"/>
  <c r="I37" i="34" l="1"/>
  <c r="G37" i="34"/>
  <c r="C12" i="34"/>
  <c r="E37" i="34"/>
  <c r="I34" i="34" l="1"/>
  <c r="G34" i="34"/>
  <c r="E34" i="34"/>
  <c r="C34" i="34"/>
  <c r="I48" i="34"/>
  <c r="G48" i="34"/>
  <c r="E48" i="34"/>
  <c r="AD59" i="34"/>
  <c r="AE59" i="34" s="1"/>
  <c r="AF59" i="34" s="1"/>
  <c r="Z59" i="34"/>
  <c r="AA59" i="34" s="1"/>
  <c r="AB59" i="34" s="1"/>
  <c r="AC59" i="34" s="1"/>
  <c r="P59" i="34"/>
  <c r="Q59" i="34" s="1"/>
  <c r="R59" i="34" s="1"/>
  <c r="S59" i="34" s="1"/>
  <c r="T59" i="34" s="1"/>
  <c r="U59" i="34" s="1"/>
  <c r="V59" i="34" s="1"/>
  <c r="W59" i="34" s="1"/>
  <c r="X59" i="34" s="1"/>
  <c r="Y59" i="34" s="1"/>
  <c r="I7" i="34"/>
  <c r="G7" i="34"/>
  <c r="E7" i="34"/>
  <c r="I5" i="34"/>
  <c r="G5" i="34"/>
  <c r="E5" i="34"/>
  <c r="AM7" i="1"/>
  <c r="AM6" i="1"/>
  <c r="AM8" i="1"/>
  <c r="Q72" i="83"/>
  <c r="Q59" i="83"/>
  <c r="K59" i="83"/>
  <c r="P74" i="83" s="1"/>
  <c r="Q58" i="83"/>
  <c r="Q51" i="83"/>
  <c r="J50" i="83"/>
  <c r="J51" i="83" s="1"/>
  <c r="M47" i="83"/>
  <c r="D46" i="83"/>
  <c r="F34" i="83"/>
  <c r="F62" i="83" s="1"/>
  <c r="F33" i="83"/>
  <c r="F61" i="83" s="1"/>
  <c r="F32" i="83"/>
  <c r="F60" i="83" s="1"/>
  <c r="F28" i="83"/>
  <c r="C28" i="83" s="1"/>
  <c r="F23" i="83"/>
  <c r="D24" i="83" s="1"/>
  <c r="F21" i="83"/>
  <c r="M20" i="83"/>
  <c r="F20" i="83"/>
  <c r="M19" i="83"/>
  <c r="M18" i="83"/>
  <c r="F18" i="83"/>
  <c r="F17" i="83"/>
  <c r="F15" i="83"/>
  <c r="G1" i="83"/>
  <c r="M9" i="83"/>
  <c r="M23" i="83"/>
  <c r="F6" i="83"/>
  <c r="M27" i="83"/>
  <c r="F26" i="83"/>
  <c r="J15" i="83"/>
  <c r="C76" i="83"/>
  <c r="Q71" i="83" l="1"/>
  <c r="C27" i="83"/>
  <c r="P61" i="83"/>
  <c r="D22" i="83"/>
  <c r="D23" i="83"/>
  <c r="M6" i="83"/>
  <c r="M26" i="83"/>
  <c r="M8" i="83"/>
  <c r="F36" i="83"/>
  <c r="F42" i="83"/>
  <c r="F9" i="83"/>
  <c r="M28" i="83"/>
  <c r="F8" i="83"/>
  <c r="F38" i="83"/>
  <c r="L48" i="83"/>
  <c r="M29" i="83"/>
  <c r="F37" i="83"/>
  <c r="F16" i="83"/>
  <c r="F7" i="83"/>
  <c r="M22" i="83"/>
  <c r="F43" i="83"/>
  <c r="F40" i="83"/>
  <c r="L47" i="83"/>
  <c r="M24" i="83"/>
  <c r="M7" i="83" l="1"/>
  <c r="M17" i="83" s="1"/>
  <c r="F50" i="83"/>
  <c r="F31" i="83"/>
  <c r="N59" i="83"/>
  <c r="L58" i="83"/>
  <c r="L59" i="83"/>
  <c r="F51" i="83"/>
  <c r="C6" i="83"/>
  <c r="F65" i="83"/>
  <c r="F71" i="83"/>
  <c r="F66" i="83"/>
  <c r="F68" i="83"/>
  <c r="F64" i="83"/>
  <c r="L57" i="83"/>
  <c r="L56" i="83"/>
  <c r="L60" i="83"/>
  <c r="J53" i="83"/>
  <c r="J57" i="83"/>
  <c r="J55" i="83" s="1"/>
  <c r="J58" i="83" s="1"/>
  <c r="Q50" i="83" s="1"/>
  <c r="I54" i="83"/>
  <c r="C17" i="83"/>
  <c r="C49" i="83" l="1"/>
  <c r="J6" i="83"/>
  <c r="J19" i="83" s="1"/>
  <c r="C32" i="83"/>
  <c r="C33" i="83"/>
  <c r="Q73" i="83"/>
  <c r="Q60" i="83"/>
  <c r="C61" i="83"/>
  <c r="F59" i="83"/>
  <c r="Q52" i="83"/>
  <c r="F1" i="83"/>
  <c r="Q57" i="83"/>
  <c r="Q66" i="83"/>
  <c r="Q61" i="83"/>
  <c r="Q74" i="83"/>
  <c r="J18" i="83"/>
  <c r="S9" i="80" l="1"/>
  <c r="R9" i="80"/>
  <c r="K25" i="9"/>
  <c r="K24" i="9"/>
  <c r="Q72" i="82" l="1"/>
  <c r="Q59" i="82"/>
  <c r="K59" i="82"/>
  <c r="P74" i="82" s="1"/>
  <c r="Q58" i="82"/>
  <c r="Q51" i="82"/>
  <c r="J50" i="82"/>
  <c r="J51" i="82" s="1"/>
  <c r="M47" i="82"/>
  <c r="D46" i="82"/>
  <c r="F34" i="82"/>
  <c r="F62" i="82" s="1"/>
  <c r="F33" i="82"/>
  <c r="F61" i="82" s="1"/>
  <c r="F32" i="82"/>
  <c r="F60" i="82" s="1"/>
  <c r="F28" i="82"/>
  <c r="C28" i="82" s="1"/>
  <c r="F23" i="82"/>
  <c r="D24" i="82" s="1"/>
  <c r="F21" i="82"/>
  <c r="M20" i="82"/>
  <c r="F20" i="82"/>
  <c r="M19" i="82"/>
  <c r="M18" i="82"/>
  <c r="F18" i="82"/>
  <c r="F17" i="82"/>
  <c r="F15" i="82"/>
  <c r="G1" i="82"/>
  <c r="Y6" i="1"/>
  <c r="C37" i="34" s="1"/>
  <c r="R7" i="80"/>
  <c r="R6" i="80"/>
  <c r="D42" i="43"/>
  <c r="D33" i="43"/>
  <c r="N7" i="1"/>
  <c r="N8" i="1" s="1"/>
  <c r="L14" i="1"/>
  <c r="C6" i="81"/>
  <c r="C5" i="81"/>
  <c r="C76" i="82"/>
  <c r="N14" i="1" l="1"/>
  <c r="Y7" i="1"/>
  <c r="Y8" i="1" s="1"/>
  <c r="Q71" i="82"/>
  <c r="P61" i="82"/>
  <c r="D22" i="82"/>
  <c r="D23" i="82"/>
  <c r="B29" i="1"/>
  <c r="H18" i="81"/>
  <c r="D9" i="81"/>
  <c r="E9" i="81" s="1"/>
  <c r="E5" i="81"/>
  <c r="F13" i="83"/>
  <c r="F13" i="82"/>
  <c r="M23" i="82"/>
  <c r="F37" i="82"/>
  <c r="M26" i="82"/>
  <c r="M6" i="82"/>
  <c r="M29" i="82"/>
  <c r="M9" i="82"/>
  <c r="J15" i="82"/>
  <c r="F38" i="82"/>
  <c r="F8" i="82"/>
  <c r="F43" i="82"/>
  <c r="F9" i="82"/>
  <c r="F42" i="82"/>
  <c r="F40" i="82"/>
  <c r="F6" i="82"/>
  <c r="M27" i="82"/>
  <c r="M8" i="82"/>
  <c r="F7" i="82"/>
  <c r="L48" i="82"/>
  <c r="F26" i="82"/>
  <c r="M22" i="82"/>
  <c r="F16" i="82"/>
  <c r="L47" i="82"/>
  <c r="F36" i="82"/>
  <c r="M24" i="82"/>
  <c r="M28" i="82"/>
  <c r="C6" i="82" l="1"/>
  <c r="F31" i="82"/>
  <c r="F64" i="82"/>
  <c r="F68" i="82"/>
  <c r="F50" i="82"/>
  <c r="M7" i="82"/>
  <c r="J6" i="82" s="1"/>
  <c r="N59" i="82"/>
  <c r="L58" i="82"/>
  <c r="L59" i="82"/>
  <c r="F51" i="82"/>
  <c r="C27" i="82"/>
  <c r="L57" i="82"/>
  <c r="L56" i="82"/>
  <c r="J57" i="82"/>
  <c r="J55" i="82" s="1"/>
  <c r="J58" i="82" s="1"/>
  <c r="Q50" i="82" s="1"/>
  <c r="J53" i="82"/>
  <c r="I54" i="82"/>
  <c r="L60" i="82"/>
  <c r="F66" i="82"/>
  <c r="F71" i="82"/>
  <c r="F65" i="82"/>
  <c r="E6" i="81"/>
  <c r="E4" i="81" s="1"/>
  <c r="C4" i="81"/>
  <c r="C17" i="82"/>
  <c r="C49" i="82" l="1"/>
  <c r="C61" i="82" s="1"/>
  <c r="J18" i="82"/>
  <c r="J19" i="82"/>
  <c r="Q66" i="82"/>
  <c r="Q57" i="82"/>
  <c r="Q73" i="82"/>
  <c r="Q60" i="82"/>
  <c r="F59" i="82"/>
  <c r="M17" i="82"/>
  <c r="F1" i="82"/>
  <c r="Q52" i="82"/>
  <c r="Q61" i="82"/>
  <c r="Q74" i="82"/>
  <c r="C32" i="82"/>
  <c r="C33" i="82"/>
  <c r="D4" i="81"/>
  <c r="C10" i="81"/>
  <c r="C8" i="81"/>
  <c r="E8" i="81" s="1"/>
  <c r="C7" i="81"/>
  <c r="E7" i="81" s="1"/>
  <c r="E10" i="81" l="1"/>
  <c r="G10" i="81"/>
  <c r="D10" i="81"/>
  <c r="F19" i="6" l="1"/>
  <c r="G21" i="6"/>
  <c r="F20" i="6"/>
  <c r="P16" i="80"/>
  <c r="P15" i="80"/>
  <c r="I13" i="3"/>
  <c r="K13" i="3"/>
  <c r="H13" i="80"/>
  <c r="I13" i="80"/>
  <c r="J13" i="80"/>
  <c r="K13" i="80"/>
  <c r="O13" i="80" s="1"/>
  <c r="L13" i="80"/>
  <c r="M13" i="80"/>
  <c r="N13" i="80"/>
  <c r="G13" i="80"/>
  <c r="O6" i="80"/>
  <c r="P6" i="80"/>
  <c r="O7" i="80"/>
  <c r="P7" i="80"/>
  <c r="O8" i="80"/>
  <c r="P8" i="80"/>
  <c r="O9" i="80"/>
  <c r="P9" i="80"/>
  <c r="O10" i="80"/>
  <c r="P10" i="80"/>
  <c r="O11" i="80"/>
  <c r="P11" i="80"/>
  <c r="O12" i="80"/>
  <c r="P12" i="80"/>
  <c r="P13" i="80"/>
  <c r="O5" i="80"/>
  <c r="I12" i="80"/>
  <c r="J12" i="80"/>
  <c r="K12" i="80"/>
  <c r="L12" i="80"/>
  <c r="M12" i="80"/>
  <c r="N12" i="80"/>
  <c r="I9" i="80"/>
  <c r="J9" i="80"/>
  <c r="K9" i="80"/>
  <c r="L9" i="80"/>
  <c r="M9" i="80"/>
  <c r="N9" i="80"/>
  <c r="H12" i="80"/>
  <c r="H9" i="80"/>
  <c r="G14" i="80"/>
  <c r="G12" i="80"/>
  <c r="G9" i="80"/>
  <c r="H16" i="80"/>
  <c r="H15" i="80"/>
  <c r="D20" i="80"/>
  <c r="K14" i="80" l="1"/>
  <c r="M8" i="80"/>
  <c r="N8" i="80" s="1"/>
  <c r="N11" i="80"/>
  <c r="N10" i="80"/>
  <c r="N16" i="80" s="1"/>
  <c r="M11" i="80"/>
  <c r="M10" i="80"/>
  <c r="N5" i="80"/>
  <c r="N15" i="80" s="1"/>
  <c r="M5" i="80"/>
  <c r="M14" i="80" s="1"/>
  <c r="M3" i="80"/>
  <c r="L11" i="80"/>
  <c r="L10" i="80"/>
  <c r="L16" i="80" s="1"/>
  <c r="L7" i="80"/>
  <c r="L6" i="80"/>
  <c r="L5" i="80"/>
  <c r="L15" i="80" s="1"/>
  <c r="K10" i="80"/>
  <c r="K11" i="80"/>
  <c r="K7" i="80"/>
  <c r="K6" i="80"/>
  <c r="K5" i="80"/>
  <c r="K3" i="80"/>
  <c r="J16" i="80"/>
  <c r="J11" i="80"/>
  <c r="J10" i="80"/>
  <c r="J8" i="80"/>
  <c r="J7" i="80"/>
  <c r="J6" i="80"/>
  <c r="J5" i="80"/>
  <c r="J15" i="80" s="1"/>
  <c r="I11" i="80"/>
  <c r="I10" i="80"/>
  <c r="I8" i="80"/>
  <c r="I6" i="80"/>
  <c r="I7" i="80"/>
  <c r="I5" i="80"/>
  <c r="I14" i="80" s="1"/>
  <c r="G35" i="80"/>
  <c r="I3" i="80"/>
  <c r="H8" i="80"/>
  <c r="G8" i="80"/>
  <c r="H11" i="80"/>
  <c r="H10" i="80"/>
  <c r="H7" i="80"/>
  <c r="H6" i="80"/>
  <c r="G11" i="80"/>
  <c r="G10" i="80"/>
  <c r="G7" i="80"/>
  <c r="G6" i="80"/>
  <c r="G5" i="80"/>
  <c r="G3"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5" i="43"/>
  <c r="B94" i="43"/>
  <c r="D101" i="43"/>
  <c r="D100" i="43"/>
  <c r="D99" i="43"/>
  <c r="D98" i="43"/>
  <c r="D97" i="43"/>
  <c r="D96" i="43"/>
  <c r="D95"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D93" i="43" l="1"/>
  <c r="E93" i="43" s="1"/>
  <c r="B91" i="43" s="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4" i="43" l="1"/>
  <c r="H99"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s="1"/>
  <c r="F126" i="34" s="1"/>
  <c r="G126" i="34" s="1"/>
  <c r="D124" i="34"/>
  <c r="E124" i="34" s="1"/>
  <c r="F124"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8" i="34"/>
  <c r="AA28" i="34"/>
  <c r="F27" i="34"/>
  <c r="AA27" i="34"/>
  <c r="F25" i="34"/>
  <c r="S25"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W40" i="34" s="1"/>
  <c r="F114" i="34"/>
  <c r="G114" i="34"/>
  <c r="H114" i="34"/>
  <c r="I114" i="34"/>
  <c r="J114" i="34"/>
  <c r="K114" i="34"/>
  <c r="L114" i="34"/>
  <c r="M114" i="34"/>
  <c r="H38" i="34"/>
  <c r="AB38" i="34"/>
  <c r="J36" i="34"/>
  <c r="W36" i="34" s="1"/>
  <c r="H25" i="34"/>
  <c r="AB25" i="34" s="1"/>
  <c r="J25" i="34"/>
  <c r="AC25" i="34"/>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A33" i="34"/>
  <c r="W41" i="34"/>
  <c r="AC42" i="34"/>
  <c r="AB35" i="34"/>
  <c r="AB41" i="34"/>
  <c r="AA25" i="34"/>
  <c r="U28" i="34"/>
  <c r="AA29" i="34"/>
  <c r="U27"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BL5" i="3" s="1"/>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5" i="34"/>
  <c r="AB47" i="34"/>
  <c r="W33" i="34"/>
  <c r="AC14" i="34"/>
  <c r="AC32" i="34"/>
  <c r="AC29" i="34"/>
  <c r="W29" i="34"/>
  <c r="W46" i="34"/>
  <c r="AC46" i="34"/>
  <c r="S32" i="34"/>
  <c r="AA32" i="34"/>
  <c r="U30" i="34"/>
  <c r="AB30" i="34"/>
  <c r="U38" i="34"/>
  <c r="AA8" i="34"/>
  <c r="S8" i="34"/>
  <c r="AB9" i="34"/>
  <c r="U9"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2"/>
  <c r="L47" i="15"/>
  <c r="E8" i="76"/>
  <c r="B10" i="76"/>
  <c r="E12" i="76"/>
  <c r="F20" i="31"/>
  <c r="AO13" i="1"/>
  <c r="M29" i="15"/>
  <c r="D3" i="73"/>
  <c r="D4" i="73"/>
  <c r="J15" i="15"/>
  <c r="F13" i="15"/>
  <c r="B11" i="76"/>
  <c r="E2" i="68"/>
  <c r="F5" i="73"/>
  <c r="B13" i="76"/>
  <c r="D7" i="73"/>
  <c r="F40" i="15"/>
  <c r="F36" i="15"/>
  <c r="F42" i="15"/>
  <c r="F7" i="73"/>
  <c r="B8" i="76"/>
  <c r="E9" i="76"/>
  <c r="M26" i="15"/>
  <c r="M24" i="15"/>
  <c r="C76" i="15"/>
  <c r="M22" i="15"/>
  <c r="F8" i="15"/>
  <c r="F4" i="73"/>
  <c r="E11" i="76"/>
  <c r="F3" i="73"/>
  <c r="M28" i="15"/>
  <c r="B7" i="76"/>
  <c r="E2" i="69"/>
  <c r="M23" i="15"/>
  <c r="F9" i="15"/>
  <c r="M9" i="15"/>
  <c r="E13" i="76"/>
  <c r="B9" i="76"/>
  <c r="F43" i="15"/>
  <c r="D5" i="73"/>
  <c r="F7" i="15"/>
  <c r="E10" i="76"/>
  <c r="F37" i="15"/>
  <c r="B12" i="76"/>
  <c r="F6" i="73"/>
  <c r="F16" i="15"/>
  <c r="L48" i="15"/>
  <c r="M8" i="15"/>
  <c r="M6" i="15"/>
  <c r="F6" i="15"/>
  <c r="F26" i="15"/>
  <c r="E7" i="76"/>
  <c r="D6" i="73"/>
  <c r="F38" i="15"/>
  <c r="F34" i="68" l="1"/>
  <c r="M59" i="83"/>
  <c r="M59" i="82"/>
  <c r="AB46" i="34"/>
  <c r="AC45" i="34"/>
  <c r="AA45" i="34"/>
  <c r="H37" i="34"/>
  <c r="U37" i="34" s="1"/>
  <c r="F37" i="34"/>
  <c r="G112" i="34"/>
  <c r="H112" i="34" s="1"/>
  <c r="I112" i="34" s="1"/>
  <c r="J112" i="34" s="1"/>
  <c r="K112" i="34" s="1"/>
  <c r="L112" i="34" s="1"/>
  <c r="M112" i="34" s="1"/>
  <c r="J37" i="34"/>
  <c r="AC37" i="34" s="1"/>
  <c r="H43" i="34"/>
  <c r="AB43" i="34" s="1"/>
  <c r="J43" i="34"/>
  <c r="AC43" i="34" s="1"/>
  <c r="G124" i="34"/>
  <c r="H124" i="34" s="1"/>
  <c r="I124" i="34" s="1"/>
  <c r="J124" i="34" s="1"/>
  <c r="K124" i="34" s="1"/>
  <c r="L124" i="34" s="1"/>
  <c r="M124" i="34" s="1"/>
  <c r="F43" i="34"/>
  <c r="AA43" i="34" s="1"/>
  <c r="AC44" i="34"/>
  <c r="AB44" i="34"/>
  <c r="S44" i="34"/>
  <c r="S36" i="34"/>
  <c r="AC36" i="34"/>
  <c r="AB36" i="34"/>
  <c r="AA40" i="34"/>
  <c r="AC40" i="34"/>
  <c r="AB40" i="34"/>
  <c r="U39" i="34"/>
  <c r="AC39" i="34"/>
  <c r="AA39" i="34"/>
  <c r="U25" i="34"/>
  <c r="H50" i="43"/>
  <c r="U34" i="34"/>
  <c r="H23" i="34"/>
  <c r="U23" i="34" s="1"/>
  <c r="J23" i="34"/>
  <c r="F23" i="34"/>
  <c r="F86" i="34"/>
  <c r="G86" i="34" s="1"/>
  <c r="AB23" i="34"/>
  <c r="U21" i="34"/>
  <c r="AA21" i="34"/>
  <c r="H19" i="34"/>
  <c r="AB19" i="34" s="1"/>
  <c r="J19" i="34"/>
  <c r="W19" i="34" s="1"/>
  <c r="F82" i="34"/>
  <c r="G82" i="34" s="1"/>
  <c r="F19" i="34"/>
  <c r="F80" i="34"/>
  <c r="H17" i="34"/>
  <c r="U17" i="34" s="1"/>
  <c r="AC17" i="34"/>
  <c r="W15" i="34"/>
  <c r="S15" i="34"/>
  <c r="W9" i="34"/>
  <c r="W8" i="34"/>
  <c r="AB8" i="34"/>
  <c r="O7" i="1"/>
  <c r="P7" i="1" s="1"/>
  <c r="B75" i="43"/>
  <c r="F32" i="15"/>
  <c r="F60" i="15" s="1"/>
  <c r="F30" i="68"/>
  <c r="F48" i="68" s="1"/>
  <c r="D68" i="9"/>
  <c r="F30" i="69"/>
  <c r="F48" i="69" s="1"/>
  <c r="F31" i="12"/>
  <c r="F54" i="9"/>
  <c r="F52" i="9"/>
  <c r="F28" i="15"/>
  <c r="F32" i="67"/>
  <c r="F60" i="67" s="1"/>
  <c r="F28" i="67"/>
  <c r="C28" i="67" s="1"/>
  <c r="C21" i="68"/>
  <c r="G1" i="68"/>
  <c r="K8" i="1"/>
  <c r="M8" i="1" s="1"/>
  <c r="G1" i="67"/>
  <c r="F3" i="35"/>
  <c r="G6" i="1"/>
  <c r="I24" i="43"/>
  <c r="BA13" i="3"/>
  <c r="BA5" i="3" s="1"/>
  <c r="G5" i="3"/>
  <c r="B3" i="3" s="1"/>
  <c r="E140" i="3" s="1"/>
  <c r="G28"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62"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F7"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M7" i="15"/>
  <c r="J6" i="15" s="1"/>
  <c r="F50" i="15"/>
  <c r="F51" i="15"/>
  <c r="F71" i="15"/>
  <c r="C6" i="15"/>
  <c r="L59" i="15"/>
  <c r="N59" i="15"/>
  <c r="L58" i="15"/>
  <c r="M59" i="15"/>
  <c r="F66" i="15"/>
  <c r="F64" i="15"/>
  <c r="C27" i="15"/>
  <c r="F65" i="15"/>
  <c r="B13" i="70"/>
  <c r="F68" i="15"/>
  <c r="C36" i="68"/>
  <c r="D9" i="69"/>
  <c r="C36" i="69"/>
  <c r="D9" i="68"/>
  <c r="M26" i="67"/>
  <c r="M28" i="67"/>
  <c r="L48" i="67"/>
  <c r="M29" i="67"/>
  <c r="F40" i="67"/>
  <c r="J15" i="67"/>
  <c r="F13" i="67"/>
  <c r="F9" i="67"/>
  <c r="L47" i="67"/>
  <c r="M9" i="67"/>
  <c r="M24" i="67"/>
  <c r="F26" i="67"/>
  <c r="C76" i="67"/>
  <c r="F42" i="67"/>
  <c r="M8" i="67"/>
  <c r="M6" i="67"/>
  <c r="M23" i="67"/>
  <c r="F6" i="67"/>
  <c r="F38" i="67"/>
  <c r="G1" i="73"/>
  <c r="C16" i="83"/>
  <c r="M22" i="67"/>
  <c r="F43" i="67"/>
  <c r="F8" i="67"/>
  <c r="F16" i="67"/>
  <c r="C16" i="15"/>
  <c r="F37" i="67"/>
  <c r="F7" i="67"/>
  <c r="F36" i="67"/>
  <c r="AC19" i="34" l="1"/>
  <c r="U43" i="34"/>
  <c r="AA37" i="34"/>
  <c r="S37" i="34"/>
  <c r="W37" i="34"/>
  <c r="S43" i="34"/>
  <c r="W43" i="34"/>
  <c r="C24" i="43"/>
  <c r="G44" i="43"/>
  <c r="C44" i="43" s="1"/>
  <c r="AA23" i="34"/>
  <c r="S23" i="34"/>
  <c r="W23" i="34"/>
  <c r="AC23" i="34"/>
  <c r="S19" i="34"/>
  <c r="AA19" i="34"/>
  <c r="U19" i="34"/>
  <c r="AB17" i="34"/>
  <c r="G80" i="34"/>
  <c r="F17" i="34"/>
  <c r="F11" i="83"/>
  <c r="M11" i="83"/>
  <c r="J10" i="83" s="1"/>
  <c r="J5" i="83" s="1"/>
  <c r="F11" i="82"/>
  <c r="M11" i="82"/>
  <c r="J10" i="82" s="1"/>
  <c r="J5" i="82" s="1"/>
  <c r="C48" i="69"/>
  <c r="G16" i="1"/>
  <c r="F10" i="39" s="1"/>
  <c r="Q16" i="1"/>
  <c r="F27" i="69" s="1"/>
  <c r="C47" i="69" s="1"/>
  <c r="D45" i="69" s="1"/>
  <c r="F68" i="67"/>
  <c r="F31" i="67"/>
  <c r="C6" i="67"/>
  <c r="C32" i="67" s="1"/>
  <c r="F71" i="67"/>
  <c r="C27" i="67"/>
  <c r="F51" i="67"/>
  <c r="L58" i="67"/>
  <c r="Q60" i="67" s="1"/>
  <c r="M59" i="67"/>
  <c r="N59" i="67"/>
  <c r="L59" i="67"/>
  <c r="Q61" i="67" s="1"/>
  <c r="Q71" i="67"/>
  <c r="F50" i="67"/>
  <c r="M7" i="67"/>
  <c r="J6" i="67" s="1"/>
  <c r="J18" i="67" s="1"/>
  <c r="F64" i="67"/>
  <c r="L56" i="67"/>
  <c r="I54" i="67"/>
  <c r="J53" i="67"/>
  <c r="Q52" i="67" s="1"/>
  <c r="J57" i="67"/>
  <c r="J55" i="67" s="1"/>
  <c r="J58" i="67" s="1"/>
  <c r="Q50" i="67" s="1"/>
  <c r="F65" i="67"/>
  <c r="F66" i="67"/>
  <c r="E511" i="3"/>
  <c r="E480" i="3"/>
  <c r="E30" i="3"/>
  <c r="AS6" i="3"/>
  <c r="P6" i="3"/>
  <c r="E295" i="3"/>
  <c r="E32" i="3"/>
  <c r="E272" i="3"/>
  <c r="E256" i="3"/>
  <c r="AM6" i="3"/>
  <c r="E27" i="3"/>
  <c r="E164" i="3"/>
  <c r="E208" i="3"/>
  <c r="E334" i="3"/>
  <c r="E403" i="3"/>
  <c r="E145" i="3"/>
  <c r="E344" i="3"/>
  <c r="E29" i="3"/>
  <c r="E317" i="3"/>
  <c r="E88" i="3"/>
  <c r="E548" i="3"/>
  <c r="E93" i="3"/>
  <c r="E457" i="3"/>
  <c r="P6" i="1"/>
  <c r="C13" i="12" s="1"/>
  <c r="N370" i="46"/>
  <c r="E109" i="3"/>
  <c r="E572" i="3"/>
  <c r="E316" i="3"/>
  <c r="E126" i="3"/>
  <c r="E404" i="3"/>
  <c r="E558" i="3"/>
  <c r="AG6" i="3"/>
  <c r="E236" i="3"/>
  <c r="E394" i="3"/>
  <c r="E55" i="3"/>
  <c r="Q6" i="3"/>
  <c r="E156" i="3"/>
  <c r="E296" i="3"/>
  <c r="E441" i="3"/>
  <c r="E44" i="3"/>
  <c r="E384" i="3"/>
  <c r="E291" i="3"/>
  <c r="E162" i="3"/>
  <c r="E546" i="3"/>
  <c r="E367" i="3"/>
  <c r="U6" i="3"/>
  <c r="E196" i="3"/>
  <c r="E357" i="3"/>
  <c r="E433" i="3"/>
  <c r="E519" i="3"/>
  <c r="E253" i="3"/>
  <c r="E13" i="3"/>
  <c r="D21" i="80"/>
  <c r="D22" i="80" s="1"/>
  <c r="F26" i="43"/>
  <c r="E377" i="3"/>
  <c r="E273" i="3"/>
  <c r="E186" i="3"/>
  <c r="E121" i="3"/>
  <c r="E71" i="3"/>
  <c r="E476" i="3"/>
  <c r="E581" i="3"/>
  <c r="E443" i="3"/>
  <c r="E448" i="3"/>
  <c r="E576" i="3"/>
  <c r="E252" i="3"/>
  <c r="I6" i="3"/>
  <c r="E580" i="3"/>
  <c r="E274" i="3"/>
  <c r="E203" i="3"/>
  <c r="E429" i="3"/>
  <c r="E481" i="3"/>
  <c r="E177" i="3"/>
  <c r="E434" i="3"/>
  <c r="E405" i="3"/>
  <c r="E331" i="3"/>
  <c r="E210" i="3"/>
  <c r="E166" i="3"/>
  <c r="E92" i="3"/>
  <c r="E447" i="3"/>
  <c r="E444" i="3"/>
  <c r="E547" i="3"/>
  <c r="E432" i="3"/>
  <c r="E411" i="3"/>
  <c r="E379" i="3"/>
  <c r="E207" i="3"/>
  <c r="E397" i="3"/>
  <c r="E14" i="3"/>
  <c r="E257" i="3"/>
  <c r="E111" i="3"/>
  <c r="E571" i="3"/>
  <c r="E458" i="3"/>
  <c r="E45" i="3"/>
  <c r="E85" i="3"/>
  <c r="E456" i="3"/>
  <c r="E26" i="43"/>
  <c r="H26" i="43"/>
  <c r="E211" i="3"/>
  <c r="E182" i="3"/>
  <c r="E70" i="3"/>
  <c r="E28" i="3"/>
  <c r="E489" i="3"/>
  <c r="E531" i="3"/>
  <c r="E557" i="3"/>
  <c r="E345" i="3"/>
  <c r="E400" i="3"/>
  <c r="E485" i="3"/>
  <c r="AO6" i="3"/>
  <c r="Z6" i="3"/>
  <c r="E327" i="3"/>
  <c r="E204" i="3"/>
  <c r="E89" i="3"/>
  <c r="E368" i="3"/>
  <c r="E227" i="3"/>
  <c r="E74" i="3"/>
  <c r="E362" i="3"/>
  <c r="E315" i="3"/>
  <c r="E214" i="3"/>
  <c r="E171" i="3"/>
  <c r="E73" i="3"/>
  <c r="E496" i="3"/>
  <c r="AE6" i="3"/>
  <c r="E424" i="3"/>
  <c r="E437" i="3"/>
  <c r="E330" i="3"/>
  <c r="E120" i="3"/>
  <c r="E128" i="3"/>
  <c r="E238" i="3"/>
  <c r="E369" i="3"/>
  <c r="E408" i="3"/>
  <c r="G26" i="43"/>
  <c r="E505" i="3"/>
  <c r="E477" i="3"/>
  <c r="E414" i="3"/>
  <c r="E478" i="3"/>
  <c r="E515" i="3"/>
  <c r="E585" i="3"/>
  <c r="E107" i="3"/>
  <c r="E271" i="3"/>
  <c r="E269" i="3"/>
  <c r="E549" i="3"/>
  <c r="E567" i="3"/>
  <c r="E31" i="3"/>
  <c r="E318" i="3"/>
  <c r="E351" i="3"/>
  <c r="E279" i="3"/>
  <c r="E150" i="3"/>
  <c r="E72" i="3"/>
  <c r="E450" i="3"/>
  <c r="E562" i="3"/>
  <c r="E527" i="3"/>
  <c r="E573" i="3"/>
  <c r="E193" i="3"/>
  <c r="E99" i="3"/>
  <c r="E314" i="3"/>
  <c r="E453" i="3"/>
  <c r="E525" i="3"/>
  <c r="E451" i="3"/>
  <c r="N94" i="46"/>
  <c r="E168" i="3"/>
  <c r="E54" i="3"/>
  <c r="E475" i="3"/>
  <c r="E471" i="3"/>
  <c r="E537" i="3"/>
  <c r="W6" i="3"/>
  <c r="E288" i="3"/>
  <c r="E438" i="3"/>
  <c r="E474" i="3"/>
  <c r="E529" i="3"/>
  <c r="E532" i="3"/>
  <c r="E313" i="3"/>
  <c r="E224" i="3"/>
  <c r="E157" i="3"/>
  <c r="E306" i="3"/>
  <c r="E352" i="3"/>
  <c r="E136" i="3"/>
  <c r="E461" i="3"/>
  <c r="E122" i="3"/>
  <c r="E197" i="3"/>
  <c r="E534" i="3"/>
  <c r="E469" i="3"/>
  <c r="E360" i="3"/>
  <c r="E146" i="3"/>
  <c r="E106" i="3"/>
  <c r="E454" i="3"/>
  <c r="E468" i="3"/>
  <c r="E577" i="3"/>
  <c r="E587" i="3"/>
  <c r="E465" i="3"/>
  <c r="E406" i="3"/>
  <c r="E472" i="3"/>
  <c r="E560" i="3"/>
  <c r="K6" i="3"/>
  <c r="E133" i="3"/>
  <c r="E277" i="3"/>
  <c r="E228" i="3"/>
  <c r="AK6" i="3"/>
  <c r="E545" i="3"/>
  <c r="E181" i="3"/>
  <c r="E568" i="3"/>
  <c r="E77" i="3"/>
  <c r="E205" i="3"/>
  <c r="E173" i="3"/>
  <c r="T6" i="3"/>
  <c r="E512" i="3"/>
  <c r="K16" i="1"/>
  <c r="E510" i="3"/>
  <c r="E165" i="3"/>
  <c r="E188" i="3"/>
  <c r="E212" i="3"/>
  <c r="E141" i="3"/>
  <c r="E393" i="3"/>
  <c r="E499" i="3"/>
  <c r="E552" i="3"/>
  <c r="E427" i="3"/>
  <c r="E466" i="3"/>
  <c r="E398" i="3"/>
  <c r="E440" i="3"/>
  <c r="E255"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 i="3"/>
  <c r="E148" i="3"/>
  <c r="E167" i="3"/>
  <c r="E105" i="3"/>
  <c r="E575" i="3"/>
  <c r="E542" i="3"/>
  <c r="E543" i="3"/>
  <c r="E442" i="3"/>
  <c r="E487" i="3"/>
  <c r="E422" i="3"/>
  <c r="E449" i="3"/>
  <c r="E374" i="3"/>
  <c r="E566" i="3"/>
  <c r="E500" i="3"/>
  <c r="E582" i="3"/>
  <c r="E413" i="3"/>
  <c r="E536" i="3"/>
  <c r="E116" i="3"/>
  <c r="AD6" i="3"/>
  <c r="E502" i="3"/>
  <c r="E507" i="3"/>
  <c r="E459" i="3"/>
  <c r="AH6" i="3"/>
  <c r="E498"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329" i="3"/>
  <c r="E149" i="3"/>
  <c r="E286" i="3"/>
  <c r="E564" i="3"/>
  <c r="E464" i="3"/>
  <c r="E430" i="3"/>
  <c r="E376" i="3"/>
  <c r="J6" i="3"/>
  <c r="E419" i="3"/>
  <c r="E491" i="3"/>
  <c r="E436" i="3"/>
  <c r="E37" i="3"/>
  <c r="E131" i="3"/>
  <c r="E119" i="3"/>
  <c r="E192" i="3"/>
  <c r="E297" i="3"/>
  <c r="E276" i="3"/>
  <c r="E363" i="3"/>
  <c r="E375" i="3"/>
  <c r="L6" i="3"/>
  <c r="E76" i="3"/>
  <c r="E488" i="3"/>
  <c r="E473" i="3"/>
  <c r="E425" i="3"/>
  <c r="E47" i="3"/>
  <c r="E38" i="3"/>
  <c r="E103" i="3"/>
  <c r="E195" i="3"/>
  <c r="E194" i="3"/>
  <c r="E266" i="3"/>
  <c r="E339" i="3"/>
  <c r="E310" i="3"/>
  <c r="E584" i="3"/>
  <c r="E67" i="3"/>
  <c r="E87" i="3"/>
  <c r="E233" i="3"/>
  <c r="E50" i="3"/>
  <c r="E154" i="3"/>
  <c r="E283" i="3"/>
  <c r="E101" i="3"/>
  <c r="E68" i="3"/>
  <c r="E244" i="3"/>
  <c r="E199" i="3"/>
  <c r="E493" i="3"/>
  <c r="E421" i="3"/>
  <c r="E541" i="3"/>
  <c r="E490" i="3"/>
  <c r="AP6" i="3"/>
  <c r="E517"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40" i="3"/>
  <c r="E267" i="3"/>
  <c r="E52" i="3"/>
  <c r="E147" i="3"/>
  <c r="E341" i="3"/>
  <c r="E63" i="3"/>
  <c r="E218" i="3"/>
  <c r="E373" i="3"/>
  <c r="E539" i="3"/>
  <c r="E223" i="3"/>
  <c r="E312" i="3"/>
  <c r="R6" i="3"/>
  <c r="E486" i="3"/>
  <c r="E416" i="3"/>
  <c r="I3" i="6"/>
  <c r="E554" i="3"/>
  <c r="E435" i="3"/>
  <c r="E520" i="3"/>
  <c r="E463" i="3"/>
  <c r="E56" i="3"/>
  <c r="E57" i="3"/>
  <c r="E178" i="3"/>
  <c r="E132" i="3"/>
  <c r="E240" i="3"/>
  <c r="E226" i="3"/>
  <c r="E292" i="3"/>
  <c r="E378" i="3"/>
  <c r="E372" i="3"/>
  <c r="E544" i="3"/>
  <c r="E110" i="3"/>
  <c r="E540" i="3"/>
  <c r="E484" i="3"/>
  <c r="E446" i="3"/>
  <c r="E79" i="3"/>
  <c r="E46" i="3"/>
  <c r="E138" i="3"/>
  <c r="E137" i="3"/>
  <c r="E200" i="3"/>
  <c r="E209" i="3"/>
  <c r="E299" i="3"/>
  <c r="E371" i="3"/>
  <c r="E354" i="3"/>
  <c r="AQ6" i="3"/>
  <c r="E84" i="3"/>
  <c r="E48" i="3"/>
  <c r="E123" i="3"/>
  <c r="E184" i="3"/>
  <c r="E284" i="3"/>
  <c r="E364" i="3"/>
  <c r="E19" i="3"/>
  <c r="E176" i="3"/>
  <c r="E264" i="3"/>
  <c r="E323" i="3"/>
  <c r="E524" i="3"/>
  <c r="E21" i="3"/>
  <c r="E59" i="40"/>
  <c r="D18" i="53"/>
  <c r="B35" i="72" s="1"/>
  <c r="C7" i="74"/>
  <c r="H7" i="36"/>
  <c r="J7"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F24" i="8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12" i="1"/>
  <c r="AE10" i="1"/>
  <c r="AE8" i="1"/>
  <c r="F41" i="67"/>
  <c r="C16" i="67"/>
  <c r="AE6" i="1"/>
  <c r="AE7" i="1"/>
  <c r="AA17" i="34" l="1"/>
  <c r="S17" i="34"/>
  <c r="C24" i="83"/>
  <c r="J26" i="83"/>
  <c r="J24" i="83"/>
  <c r="C53" i="83"/>
  <c r="C48" i="83" s="1"/>
  <c r="C10" i="83"/>
  <c r="C5" i="83" s="1"/>
  <c r="Q73" i="67"/>
  <c r="L36" i="43"/>
  <c r="N36" i="43" s="1"/>
  <c r="F24" i="82"/>
  <c r="J26" i="82"/>
  <c r="J24" i="82"/>
  <c r="C53" i="82"/>
  <c r="C48" i="82" s="1"/>
  <c r="C10" i="82"/>
  <c r="C5" i="82" s="1"/>
  <c r="F45" i="69"/>
  <c r="C29" i="69"/>
  <c r="D27" i="69" s="1"/>
  <c r="J5" i="67"/>
  <c r="J24" i="67" s="1"/>
  <c r="F1" i="67"/>
  <c r="M17" i="67"/>
  <c r="Q74" i="67"/>
  <c r="F59" i="67"/>
  <c r="C49" i="67"/>
  <c r="D26" i="43"/>
  <c r="C25" i="43" s="1"/>
  <c r="C33" i="43" s="1"/>
  <c r="AC6" i="3"/>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M27" i="15"/>
  <c r="F41" i="83"/>
  <c r="F41" i="82"/>
  <c r="M27" i="67"/>
  <c r="F41" i="15"/>
  <c r="F69" i="83" l="1"/>
  <c r="J29" i="83"/>
  <c r="R50" i="34"/>
  <c r="G54" i="34"/>
  <c r="H54" i="34" s="1"/>
  <c r="O36" i="43"/>
  <c r="P36" i="43"/>
  <c r="C38" i="83"/>
  <c r="C66" i="83"/>
  <c r="C60" i="83"/>
  <c r="M36" i="43"/>
  <c r="L37" i="43"/>
  <c r="P37" i="43" s="1"/>
  <c r="Q36" i="43"/>
  <c r="C48" i="67"/>
  <c r="C60" i="67" s="1"/>
  <c r="F69" i="82"/>
  <c r="J29" i="82"/>
  <c r="C38" i="82"/>
  <c r="C66" i="82"/>
  <c r="C60" i="82"/>
  <c r="C24" i="82"/>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D10" i="69"/>
  <c r="C34" i="69"/>
  <c r="D10" i="68"/>
  <c r="C17" i="67"/>
  <c r="C14" i="83"/>
  <c r="C17" i="15"/>
  <c r="C14" i="67"/>
  <c r="N37" i="43" l="1"/>
  <c r="O37" i="43"/>
  <c r="C18" i="83"/>
  <c r="C15" i="83"/>
  <c r="C19" i="83" s="1"/>
  <c r="Q37" i="43"/>
  <c r="M37" i="43"/>
  <c r="C66" i="67"/>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1" i="83"/>
  <c r="C14" i="82"/>
  <c r="B6" i="76"/>
  <c r="F35" i="83"/>
  <c r="E6" i="76"/>
  <c r="C14" i="15"/>
  <c r="C15" i="82" l="1"/>
  <c r="C18" i="82"/>
  <c r="C20" i="83"/>
  <c r="C26" i="83" s="1"/>
  <c r="J20" i="83"/>
  <c r="J17" i="83" s="1"/>
  <c r="C34" i="83"/>
  <c r="C31" i="83" s="1"/>
  <c r="F63" i="83"/>
  <c r="C62" i="83" s="1"/>
  <c r="C59" i="83" s="1"/>
  <c r="B3" i="43"/>
  <c r="C6" i="68"/>
  <c r="C7" i="68" s="1"/>
  <c r="C5" i="68" s="1"/>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2" l="1"/>
  <c r="C20" i="82"/>
  <c r="C26" i="82" s="1"/>
  <c r="C23" i="83"/>
  <c r="C29" i="83"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23" i="82" l="1"/>
  <c r="C29" i="82" s="1"/>
  <c r="C57" i="83"/>
  <c r="C64" i="83" s="1"/>
  <c r="J59" i="83"/>
  <c r="J60" i="83" s="1"/>
  <c r="C36" i="83"/>
  <c r="J14" i="83"/>
  <c r="Q49" i="83"/>
  <c r="C13" i="83"/>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82"/>
  <c r="M21" i="82"/>
  <c r="F35" i="15"/>
  <c r="F35" i="67"/>
  <c r="M21" i="15"/>
  <c r="J13" i="83" l="1"/>
  <c r="J23" i="83" s="1"/>
  <c r="J22" i="83"/>
  <c r="J16" i="83" s="1"/>
  <c r="J25" i="83" s="1"/>
  <c r="C57" i="82"/>
  <c r="C64" i="82" s="1"/>
  <c r="J14" i="82"/>
  <c r="J59" i="82"/>
  <c r="J60" i="82" s="1"/>
  <c r="C36" i="82"/>
  <c r="Q49" i="82"/>
  <c r="C13" i="82"/>
  <c r="C75" i="83"/>
  <c r="Q70" i="83"/>
  <c r="C37" i="83"/>
  <c r="C30" i="83" s="1"/>
  <c r="C39" i="83" s="1"/>
  <c r="C56" i="83"/>
  <c r="C65" i="83" s="1"/>
  <c r="C58" i="83" s="1"/>
  <c r="C67" i="83" s="1"/>
  <c r="C68" i="83" s="1"/>
  <c r="Q48" i="83"/>
  <c r="L46" i="83"/>
  <c r="J20" i="82"/>
  <c r="J17" i="82" s="1"/>
  <c r="C34" i="82"/>
  <c r="C31" i="82" s="1"/>
  <c r="F63" i="82"/>
  <c r="C62" i="82" s="1"/>
  <c r="C59"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Q67" i="83" l="1"/>
  <c r="C80" i="83"/>
  <c r="C79" i="83" s="1"/>
  <c r="Q69" i="83"/>
  <c r="Q68" i="83" s="1"/>
  <c r="C40" i="83"/>
  <c r="C71" i="83"/>
  <c r="C37" i="82"/>
  <c r="C30" i="82" s="1"/>
  <c r="C39" i="82" s="1"/>
  <c r="C75" i="82"/>
  <c r="Q70" i="82"/>
  <c r="C56" i="82"/>
  <c r="C65" i="82" s="1"/>
  <c r="C58" i="82" s="1"/>
  <c r="C67" i="82" s="1"/>
  <c r="C68" i="82" s="1"/>
  <c r="C71" i="82" s="1"/>
  <c r="J22" i="82"/>
  <c r="J13" i="82"/>
  <c r="J23" i="82" s="1"/>
  <c r="Q48" i="82"/>
  <c r="L46" i="82"/>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L51" i="82"/>
  <c r="J16" i="82" l="1"/>
  <c r="J25" i="82" s="1"/>
  <c r="C80" i="82"/>
  <c r="C79" i="82" s="1"/>
  <c r="Q69" i="82"/>
  <c r="Q68" i="82" s="1"/>
  <c r="C40" i="82"/>
  <c r="Q47" i="82" s="1"/>
  <c r="Q53" i="82" s="1"/>
  <c r="Q47" i="83"/>
  <c r="Q53" i="83" s="1"/>
  <c r="C43" i="83"/>
  <c r="B2" i="83"/>
  <c r="B3" i="83" s="1"/>
  <c r="C83" i="83"/>
  <c r="C82" i="83" s="1"/>
  <c r="Q65" i="83"/>
  <c r="Q75" i="83" s="1"/>
  <c r="Q56" i="83"/>
  <c r="Q62" i="83" s="1"/>
  <c r="C46" i="83"/>
  <c r="Q67" i="82"/>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6" i="82" l="1"/>
  <c r="Q56" i="82"/>
  <c r="Q62" i="82" s="1"/>
  <c r="Q65" i="82"/>
  <c r="Q75" i="82" s="1"/>
  <c r="C83" i="82"/>
  <c r="C82" i="82" s="1"/>
  <c r="B2" i="82"/>
  <c r="B3" i="82" s="1"/>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7" i="1"/>
  <c r="AO8" i="1"/>
  <c r="AO12" i="1"/>
  <c r="AO9" i="1"/>
  <c r="AO11" i="1"/>
  <c r="C102" i="9" l="1"/>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4" i="52" s="1"/>
  <c r="B47" i="72" s="1"/>
  <c r="F118" i="9"/>
  <c r="F4" i="52" s="1"/>
  <c r="B51" i="72" s="1"/>
  <c r="H118" i="9"/>
  <c r="C104" i="9" l="1"/>
  <c r="D14" i="74"/>
  <c r="G14" i="74" s="1"/>
  <c r="B6" i="74" s="1"/>
  <c r="D6" i="74" s="1"/>
  <c r="H4" i="52"/>
  <c r="H119" i="9"/>
  <c r="H5" i="52" s="1"/>
  <c r="G118" i="9"/>
  <c r="G4" i="52" s="1"/>
  <c r="B52" i="72" s="1"/>
  <c r="D119" i="9"/>
  <c r="D5" i="52" s="1"/>
  <c r="B49" i="72" s="1"/>
  <c r="F119" i="9"/>
  <c r="F5" i="52" s="1"/>
  <c r="B53" i="72" s="1"/>
  <c r="H101" i="9"/>
  <c r="I118" i="9"/>
  <c r="E14" i="74" l="1"/>
  <c r="F14" i="74"/>
  <c r="B5" i="74"/>
  <c r="D5" i="74" s="1"/>
  <c r="C105" i="9"/>
  <c r="E118" i="9"/>
  <c r="E4" i="52" s="1"/>
  <c r="B48" i="72" s="1"/>
  <c r="I4" i="52"/>
  <c r="H102" i="9"/>
  <c r="D45" i="9"/>
  <c r="D56" i="9" s="1"/>
  <c r="D5" i="53"/>
  <c r="M48" i="9"/>
  <c r="H107" i="9"/>
  <c r="D122" i="9" l="1"/>
  <c r="D13" i="53"/>
  <c r="M49" i="9"/>
  <c r="H108" i="9"/>
  <c r="C5" i="74"/>
  <c r="D7" i="53"/>
  <c r="B21" i="72" s="1"/>
  <c r="D6" i="53"/>
  <c r="B22" i="72" s="1"/>
  <c r="B20" i="72"/>
  <c r="D52" i="9"/>
  <c r="C78" i="9"/>
  <c r="C73" i="9" s="1"/>
  <c r="C93" i="9"/>
  <c r="C86" i="9" s="1"/>
  <c r="D53" i="9"/>
  <c r="D48" i="9" s="1"/>
  <c r="M52" i="9" s="1"/>
  <c r="D55" i="9"/>
  <c r="M53" i="9" s="1"/>
  <c r="C72" i="9"/>
  <c r="C85" i="9"/>
  <c r="C64" i="9"/>
  <c r="C63" i="9" s="1"/>
  <c r="C67" i="9" s="1"/>
  <c r="C95" i="9" l="1"/>
  <c r="C79" i="9"/>
  <c r="C80" i="9" s="1"/>
  <c r="E80" i="9" s="1"/>
  <c r="E81" i="9" s="1"/>
  <c r="D15" i="53"/>
  <c r="B31" i="72" s="1"/>
  <c r="C6" i="74"/>
  <c r="D59" i="9"/>
  <c r="M55" i="9" s="1"/>
  <c r="C68" i="9"/>
  <c r="D54" i="9" s="1"/>
  <c r="L64" i="9"/>
  <c r="M64" i="9" s="1"/>
  <c r="L66" i="9"/>
  <c r="M66" i="9" s="1"/>
  <c r="L63" i="9"/>
  <c r="M63" i="9" s="1"/>
  <c r="L65" i="9"/>
  <c r="M65" i="9" s="1"/>
  <c r="L68" i="9"/>
  <c r="M68" i="9" s="1"/>
  <c r="L67" i="9"/>
  <c r="M67" i="9" s="1"/>
  <c r="D14" i="53"/>
  <c r="B32" i="72" s="1"/>
  <c r="B30" i="72"/>
  <c r="C96" i="9"/>
  <c r="E96" i="9" s="1"/>
  <c r="E97" i="9" s="1"/>
  <c r="D123" i="9"/>
  <c r="D9" i="52" s="1"/>
  <c r="D8" i="52"/>
  <c r="C97" i="9" l="1"/>
  <c r="D58" i="9" s="1"/>
  <c r="M54" i="9" s="1"/>
  <c r="N57" i="9" s="1"/>
  <c r="N59" i="9" s="1"/>
  <c r="C81" i="9"/>
  <c r="M69" i="9"/>
  <c r="N69" i="9" s="1"/>
  <c r="N60" i="9" l="1"/>
  <c r="H111" i="9"/>
  <c r="N61" i="9"/>
  <c r="H112" i="9" s="1"/>
  <c r="D21" i="53" s="1"/>
  <c r="B39" i="72" s="1"/>
  <c r="N58" i="9"/>
  <c r="P57" i="9"/>
  <c r="D126" i="9" l="1"/>
  <c r="I14" i="74" s="1"/>
  <c r="D19" i="53"/>
  <c r="B38" i="72" l="1"/>
  <c r="D20" i="53"/>
  <c r="B40" i="72" s="1"/>
  <c r="D12" i="52"/>
  <c r="D127" i="9"/>
  <c r="D13" i="52" l="1"/>
  <c r="B8" i="74"/>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<sst xmlns="http://schemas.openxmlformats.org/spreadsheetml/2006/main" count="9272" uniqueCount="3788">
  <si>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</si>
  <si>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</si>
  <si>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</si>
  <si>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</si>
  <si>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</si>
  <si>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</si>
  <si>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</si>
  <si>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</si>
  <si>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</si>
  <si>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</si>
  <si>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</si>
  <si>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</si>
  <si>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</si>
  <si>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</si>
  <si>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</si>
  <si>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</si>
  <si>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</si>
  <si>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</si>
  <si>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</si>
  <si>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</si>
  <si>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</si>
  <si>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</si>
  <si>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</si>
  <si>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</si>
  <si>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</si>
  <si>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</si>
  <si>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</si>
  <si>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</si>
  <si>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</si>
  <si>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</si>
  <si>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</si>
  <si>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</si>
  <si>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</si>
  <si>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</si>
  <si>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</si>
  <si>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</si>
  <si>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</si>
  <si>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</si>
  <si>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</si>
  <si>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</si>
  <si>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</si>
  <si>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</si>
  <si>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</si>
  <si>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</si>
  <si>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</si>
  <si>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</si>
  <si>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</si>
  <si>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</si>
  <si>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</si>
  <si>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</si>
  <si>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</si>
  <si>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</si>
  <si>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</si>
  <si>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</si>
  <si>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</si>
  <si>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</si>
  <si>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</si>
  <si>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</si>
  <si>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</si>
  <si>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</si>
  <si>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</si>
  <si>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</si>
  <si>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</si>
  <si>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</si>
  <si>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</si>
  <si>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</si>
  <si>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</si>
  <si>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</si>
  <si>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</si>
  <si>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</si>
  <si>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</si>
  <si>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</si>
  <si>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</si>
  <si>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</si>
  <si>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</si>
  <si>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</si>
  <si>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</si>
  <si>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</si>
  <si>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</si>
  <si>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</si>
  <si>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</si>
  <si>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</si>
  <si>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</si>
  <si>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</si>
  <si>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</si>
  <si>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</si>
  <si>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</si>
  <si>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</si>
  <si>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</si>
  <si>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</si>
  <si>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</si>
  <si>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</si>
  <si>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</si>
  <si>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</si>
  <si>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</si>
  <si>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</si>
  <si>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</si>
  <si>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</si>
  <si>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</si>
  <si>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</si>
  <si>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</si>
  <si>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</si>
  <si>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</si>
  <si>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</si>
  <si>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</si>
  <si>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</si>
  <si>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</si>
  <si>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</si>
  <si>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</si>
  <si>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</si>
  <si>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</si>
  <si>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</si>
  <si>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</si>
  <si>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</si>
  <si>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</si>
  <si>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</si>
  <si>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</si>
  <si>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</si>
  <si>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</si>
  <si>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</si>
  <si>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</si>
  <si>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</si>
  <si>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</si>
  <si>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</si>
  <si>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</si>
  <si>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</si>
  <si>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</si>
  <si>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</si>
  <si>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</si>
  <si>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</si>
  <si>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</si>
  <si>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</si>
  <si>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</si>
  <si>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</si>
  <si>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</si>
  <si>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</si>
  <si>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</si>
  <si>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</si>
  <si>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</si>
  <si>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</si>
  <si>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</si>
  <si>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</si>
  <si>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</si>
  <si>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</si>
  <si>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</si>
  <si>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</si>
  <si>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</si>
  <si>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</si>
  <si>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</si>
  <si>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</si>
  <si>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</si>
  <si>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</si>
  <si>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</si>
  <si>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</si>
  <si>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</si>
  <si>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</si>
  <si>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</si>
  <si>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</si>
  <si>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</si>
  <si>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</si>
  <si>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</si>
  <si>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</si>
  <si>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</si>
  <si>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</si>
  <si>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</si>
  <si>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</si>
  <si>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</si>
  <si>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</si>
  <si>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</si>
  <si>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</si>
  <si>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</si>
  <si>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</si>
  <si>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</si>
  <si>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</si>
  <si>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</si>
  <si>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</si>
  <si>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</si>
  <si>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</si>
  <si>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</si>
  <si>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</si>
  <si>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</si>
  <si>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</si>
  <si>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</si>
  <si>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</si>
  <si>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</si>
  <si>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</si>
  <si>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</si>
  <si>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</si>
  <si>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</si>
  <si>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</si>
  <si>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</si>
  <si>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</si>
  <si>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</si>
  <si>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</si>
  <si>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</si>
  <si>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</si>
  <si>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</si>
  <si>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</si>
  <si>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</si>
  <si>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</si>
  <si>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</si>
  <si>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</si>
  <si>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</si>
  <si>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</si>
  <si>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</si>
  <si>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</si>
  <si>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</si>
  <si>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</si>
  <si>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</si>
  <si>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</si>
  <si>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</si>
  <si>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</si>
  <si>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</si>
  <si>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</si>
  <si>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</si>
  <si>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</si>
  <si>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</si>
  <si>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</si>
  <si>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</si>
  <si>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</si>
  <si>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</si>
  <si>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</si>
  <si>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</si>
  <si>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</si>
  <si>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</si>
  <si>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</si>
  <si>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</si>
  <si>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</si>
  <si>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</si>
  <si>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</si>
  <si>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</si>
  <si>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</si>
  <si>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</si>
  <si>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</si>
  <si>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</si>
  <si>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</si>
  <si>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</si>
  <si>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</si>
  <si>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</si>
  <si>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</si>
  <si>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</si>
  <si>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</si>
  <si>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</si>
  <si>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</si>
  <si>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</si>
  <si>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</si>
  <si>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</si>
  <si>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</si>
  <si>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</si>
  <si>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</si>
  <si>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</si>
  <si>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</si>
  <si>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</si>
  <si>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</si>
  <si>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</si>
  <si>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</si>
  <si>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</si>
  <si>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</si>
  <si>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</si>
  <si>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</si>
  <si>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</si>
  <si>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</si>
  <si>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</si>
  <si>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</si>
  <si>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</si>
  <si>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</si>
  <si>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</si>
  <si>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</si>
  <si>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</si>
  <si>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</si>
  <si>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</si>
  <si>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</si>
  <si>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</si>
  <si>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</si>
  <si>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</si>
  <si>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</si>
  <si>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</si>
  <si>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</si>
  <si>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</si>
  <si>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</si>
  <si>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</si>
  <si>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</si>
  <si>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</si>
  <si>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</si>
  <si>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</si>
  <si>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</si>
  <si>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</si>
  <si>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</si>
  <si>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</si>
  <si>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</si>
  <si>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</si>
  <si>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</si>
  <si>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</si>
  <si>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</si>
  <si>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</si>
  <si>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</si>
  <si>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</si>
  <si>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</si>
  <si>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</si>
  <si>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</si>
  <si>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</si>
  <si>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</si>
  <si>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</si>
  <si>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</si>
  <si>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</si>
  <si>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</si>
  <si>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</si>
  <si>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</si>
  <si>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</si>
  <si>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</si>
  <si>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</si>
  <si>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</si>
  <si>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</si>
  <si>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</si>
  <si>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</si>
  <si>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</si>
  <si>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</si>
  <si>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</si>
  <si>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</si>
  <si>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</si>
  <si>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</si>
  <si>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</si>
  <si>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</si>
  <si>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</si>
  <si>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</si>
  <si>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</si>
  <si>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</si>
  <si>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</si>
  <si>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</si>
  <si>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</si>
  <si>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</si>
  <si>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</si>
  <si>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</si>
  <si>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</si>
  <si>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</si>
  <si>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</si>
  <si>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</si>
  <si>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</si>
  <si>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</si>
  <si>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</si>
  <si>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</si>
  <si>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</si>
  <si>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</si>
  <si>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</si>
  <si>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</si>
  <si>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</si>
  <si>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</si>
  <si>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</si>
  <si>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</si>
  <si>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</si>
  <si>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</si>
  <si>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</si>
  <si>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</si>
  <si>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</si>
  <si>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</si>
  <si>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</si>
  <si>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</si>
  <si>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</si>
  <si>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</si>
  <si>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</si>
  <si>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</si>
  <si>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</si>
  <si>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</si>
  <si>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</si>
  <si>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</si>
  <si>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</si>
  <si>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</si>
  <si>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</si>
  <si>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</si>
  <si>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</si>
  <si>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</si>
  <si>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</si>
  <si>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</si>
  <si>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</si>
  <si>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</si>
  <si>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</si>
  <si>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</si>
  <si>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</si>
  <si>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</si>
  <si>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</si>
  <si>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</si>
  <si>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</si>
  <si>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</si>
  <si>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</si>
  <si>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</si>
  <si>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</si>
  <si>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</si>
  <si>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</si>
  <si>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</si>
  <si>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</si>
  <si>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</si>
  <si>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</si>
  <si>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</si>
  <si>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</si>
  <si>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</si>
  <si>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</si>
  <si>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</si>
  <si>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</si>
  <si>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</si>
  <si>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</si>
  <si>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</si>
  <si>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</si>
  <si>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</si>
  <si>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</si>
  <si>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</si>
  <si>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</si>
  <si>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</si>
  <si>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</si>
  <si>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</si>
  <si>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</si>
  <si>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</si>
  <si>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</si>
  <si>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</si>
  <si>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</si>
  <si>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</si>
  <si>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</si>
  <si>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</si>
  <si>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</si>
  <si>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</si>
  <si>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</si>
  <si>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</si>
  <si>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</si>
  <si>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</si>
  <si>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</si>
  <si>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</si>
  <si>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</si>
  <si>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</si>
  <si>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</si>
  <si>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</si>
  <si>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</si>
  <si>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</si>
  <si>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</si>
  <si>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</si>
  <si>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</si>
  <si>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</si>
  <si>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</si>
  <si>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</si>
  <si>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</si>
  <si>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</si>
  <si>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</si>
  <si>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</si>
  <si>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</si>
  <si>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</si>
  <si>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</si>
  <si>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</si>
  <si>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</si>
  <si>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</si>
  <si>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</si>
  <si>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</si>
  <si>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</si>
  <si>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</si>
  <si>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</si>
  <si>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</si>
  <si>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</si>
  <si>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</si>
  <si>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</si>
  <si>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</si>
  <si>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</si>
  <si>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</si>
  <si>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</si>
  <si>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</si>
  <si>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</si>
  <si>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</si>
  <si>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</si>
  <si>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</si>
  <si>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</si>
  <si>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</si>
  <si>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</si>
  <si>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</si>
  <si>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</si>
  <si>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</si>
  <si>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</si>
  <si>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</si>
  <si>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</si>
  <si>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</si>
  <si>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</si>
  <si>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</si>
  <si>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</si>
  <si>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</si>
  <si>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</si>
  <si>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</si>
  <si>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</si>
  <si>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</si>
  <si>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</si>
  <si>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</si>
  <si>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</si>
  <si>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</si>
  <si>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</si>
  <si>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</si>
  <si>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</si>
  <si>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</si>
  <si>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</si>
  <si>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</si>
  <si>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</si>
  <si>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</si>
  <si>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</si>
  <si>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</si>
  <si>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</si>
  <si>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</si>
  <si>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</si>
  <si>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</si>
  <si>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</si>
  <si>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</si>
  <si>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</si>
  <si>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</si>
  <si>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</si>
  <si>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</si>
  <si>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</si>
  <si>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</si>
  <si>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</si>
  <si>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</si>
  <si>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</si>
  <si>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</si>
  <si>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</si>
  <si>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</si>
  <si>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</si>
  <si>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</si>
  <si>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</si>
  <si>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</si>
  <si>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</si>
  <si>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</si>
  <si>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</si>
  <si>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</si>
  <si>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</si>
  <si>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</si>
  <si>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</si>
  <si>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</si>
  <si>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</si>
  <si>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</si>
  <si>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</si>
  <si>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</si>
  <si>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</si>
  <si>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</si>
  <si>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</si>
  <si>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</si>
  <si>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</si>
  <si>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</si>
  <si>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</si>
  <si>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</si>
  <si>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</si>
  <si>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</si>
  <si>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</si>
  <si>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</si>
  <si>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</si>
  <si>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</si>
  <si>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</si>
  <si>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</si>
  <si>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</si>
  <si>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</si>
  <si>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</si>
  <si>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</si>
  <si>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</si>
  <si>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</si>
  <si>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</si>
  <si>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</si>
  <si>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</si>
  <si>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</si>
  <si>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</si>
  <si>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</si>
  <si>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</si>
  <si>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</si>
  <si>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</si>
  <si>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</si>
  <si>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</si>
  <si>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</si>
  <si>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</si>
  <si>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</si>
  <si>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</si>
  <si>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</si>
  <si>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</si>
  <si>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</si>
  <si>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</si>
  <si>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</si>
  <si>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</si>
  <si>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</si>
  <si>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</si>
  <si>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</si>
  <si>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</si>
  <si>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</si>
  <si>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</si>
  <si>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</si>
  <si>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</si>
  <si>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</si>
  <si>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</si>
  <si>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</si>
  <si>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</si>
  <si>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</si>
  <si>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</si>
  <si>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</si>
  <si>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</si>
  <si>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</si>
  <si>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</si>
  <si>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</si>
  <si>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</si>
  <si>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</si>
  <si>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</si>
  <si>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</si>
  <si>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</si>
  <si>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</si>
  <si>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</si>
  <si>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</si>
  <si>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</si>
  <si>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</si>
  <si>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</si>
  <si>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</si>
  <si>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</si>
  <si>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</si>
  <si>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</si>
  <si>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</si>
  <si>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</si>
  <si>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</si>
  <si>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</si>
  <si>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</si>
  <si>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</si>
  <si>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</si>
  <si>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</si>
  <si>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</si>
  <si>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</si>
  <si>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</si>
  <si>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</si>
  <si>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</si>
  <si>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</si>
  <si>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</si>
  <si>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</si>
  <si>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</si>
  <si>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</si>
  <si>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</si>
  <si>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</si>
  <si>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</si>
  <si>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</si>
  <si>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</si>
  <si>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</si>
  <si>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</si>
  <si>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</si>
  <si>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</si>
  <si>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</si>
  <si>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</si>
  <si>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</si>
  <si>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</si>
  <si>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</si>
  <si>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</si>
  <si>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</si>
  <si>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</si>
  <si>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</si>
  <si>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</si>
  <si>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</si>
  <si>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</si>
  <si>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</si>
  <si>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</si>
  <si>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</si>
  <si>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</si>
  <si>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</si>
  <si>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</si>
  <si>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</si>
  <si>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</si>
  <si>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</si>
  <si>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</si>
  <si>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</si>
  <si>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</si>
  <si>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</si>
  <si>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</si>
  <si>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</si>
  <si>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</si>
  <si>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</si>
  <si>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</si>
  <si>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</si>
  <si>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</si>
  <si>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</si>
  <si>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</si>
  <si>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</si>
  <si>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</si>
  <si>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</si>
  <si>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</si>
  <si>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</si>
  <si>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</si>
  <si>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</si>
  <si>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</si>
  <si>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</si>
  <si>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</si>
  <si>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</si>
  <si>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</si>
  <si>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</si>
  <si>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</si>
  <si>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</si>
  <si>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</si>
  <si>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</si>
  <si>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</si>
  <si>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</si>
  <si>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</si>
  <si>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</si>
  <si>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</si>
  <si>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</si>
  <si>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</si>
  <si>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</si>
  <si>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</si>
  <si>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</si>
  <si>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</si>
  <si>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</si>
  <si>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</si>
  <si>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</si>
  <si>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</si>
  <si>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</si>
  <si>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</si>
  <si>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</si>
  <si>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</si>
  <si>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</si>
  <si>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</si>
  <si>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</si>
  <si>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</si>
  <si>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</si>
  <si>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</si>
  <si>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</si>
  <si>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</si>
  <si>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</si>
  <si>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</si>
  <si>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</si>
  <si>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</si>
  <si>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</si>
  <si>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</si>
  <si>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</si>
  <si>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</si>
  <si>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</si>
  <si>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</si>
  <si>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</si>
  <si>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</si>
  <si>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</si>
  <si>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</si>
  <si>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</si>
  <si>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</si>
  <si>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</si>
  <si>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</si>
  <si>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</si>
  <si>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</si>
  <si>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</si>
  <si>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</si>
  <si>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</si>
  <si>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</si>
  <si>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</si>
  <si>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</si>
  <si>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</si>
  <si>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</si>
  <si>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</si>
  <si>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</si>
  <si>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</si>
  <si>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</si>
  <si>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</si>
  <si>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</si>
  <si>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</si>
  <si>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</si>
  <si>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</si>
  <si>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</si>
  <si>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</si>
  <si>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</si>
  <si>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</si>
  <si>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</si>
  <si>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</si>
  <si>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</si>
  <si>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</si>
  <si>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</si>
  <si>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</si>
  <si>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</si>
  <si>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</si>
  <si>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</si>
  <si>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</si>
  <si>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</si>
  <si>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</si>
  <si>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</si>
  <si>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</si>
  <si>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</si>
  <si>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</si>
  <si>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</si>
  <si>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</si>
  <si>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</si>
  <si>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</si>
  <si>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</si>
  <si>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</si>
  <si>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</si>
  <si>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</si>
  <si>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</si>
  <si>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</si>
  <si>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</si>
  <si>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</si>
  <si>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</si>
  <si>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</si>
  <si>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</si>
  <si>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</si>
  <si>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</si>
  <si>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</si>
  <si>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</si>
  <si>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</si>
  <si>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</si>
  <si>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</si>
  <si>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</si>
  <si>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</si>
  <si>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</si>
  <si>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</si>
  <si>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</si>
  <si>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</si>
  <si>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</si>
  <si>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</si>
  <si>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</si>
  <si>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</si>
  <si>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</si>
  <si>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</si>
  <si>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</si>
  <si>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</si>
  <si>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</si>
  <si>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</si>
  <si>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</si>
  <si>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</si>
  <si>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</si>
  <si>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</si>
  <si>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</si>
  <si>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</si>
  <si>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</si>
  <si>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</si>
  <si>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</si>
  <si>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</si>
  <si>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</si>
  <si>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</si>
  <si>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</si>
  <si>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</si>
  <si>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</si>
  <si>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</si>
  <si>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</si>
  <si>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</si>
  <si>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</si>
  <si>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</si>
  <si>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</si>
  <si>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</si>
  <si>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</si>
  <si>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</si>
  <si>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</si>
  <si>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</si>
  <si>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</si>
  <si>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</si>
  <si>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</si>
  <si>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</si>
  <si>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</si>
  <si>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</si>
  <si>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</si>
  <si>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</si>
  <si>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</si>
  <si>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</si>
  <si>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</si>
  <si>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</si>
  <si>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</si>
  <si>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</si>
  <si>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</si>
  <si>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</si>
  <si>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</si>
  <si>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</si>
  <si>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</si>
  <si>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</si>
  <si>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</si>
  <si>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</si>
  <si>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</si>
  <si>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</si>
  <si>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</si>
  <si>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</si>
  <si>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</si>
  <si>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</si>
  <si>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</si>
  <si>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</si>
  <si>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</si>
  <si>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</si>
  <si>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</si>
  <si>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</si>
  <si>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</si>
  <si>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</si>
  <si>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</si>
  <si>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</si>
  <si>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</si>
  <si>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</si>
  <si>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</si>
  <si>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</si>
  <si>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</si>
  <si>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</si>
  <si>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</si>
  <si>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</si>
  <si>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</si>
  <si>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</si>
  <si>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</si>
  <si>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</si>
  <si>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</si>
  <si>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</si>
  <si>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</si>
  <si>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</si>
  <si>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</si>
  <si>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</si>
  <si>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</si>
  <si>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</si>
  <si>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</si>
  <si>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</si>
  <si>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</si>
  <si>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</si>
  <si>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</si>
  <si>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</si>
  <si>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</si>
  <si>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</si>
  <si>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</si>
  <si>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</si>
  <si>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</si>
  <si>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</si>
  <si>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</si>
  <si>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</si>
  <si>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</si>
  <si>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</si>
  <si>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</si>
  <si>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</si>
  <si>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</si>
  <si>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</si>
  <si>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</si>
  <si>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</si>
  <si>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</si>
  <si>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</si>
  <si>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</si>
  <si>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</si>
  <si>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</si>
  <si>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</si>
  <si>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</si>
  <si>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</si>
  <si>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</si>
  <si>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</si>
  <si>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</si>
  <si>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</si>
  <si>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</si>
  <si>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</si>
  <si>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</si>
  <si>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</si>
  <si>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</si>
  <si>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</si>
  <si>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</si>
  <si>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</si>
  <si>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</si>
  <si>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</si>
  <si>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</si>
  <si>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</si>
  <si>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</si>
  <si>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</si>
  <si>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</si>
  <si>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</si>
  <si>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</si>
  <si>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</si>
  <si>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</si>
  <si>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</si>
  <si>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</si>
  <si>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</si>
  <si>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</si>
  <si>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</si>
  <si>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</si>
  <si>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</si>
  <si>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</si>
  <si>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</si>
  <si>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</si>
  <si>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</si>
  <si>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</si>
  <si>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</si>
  <si>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</si>
  <si>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</si>
  <si>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</si>
  <si>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</si>
  <si>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</si>
  <si>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</si>
  <si>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</si>
  <si>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</si>
  <si>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</si>
  <si>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</si>
  <si>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</si>
  <si>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</si>
  <si>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</si>
  <si>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</si>
  <si>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</si>
  <si>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</si>
  <si>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</si>
  <si>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</si>
  <si>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</si>
  <si>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</si>
  <si>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</si>
  <si>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</si>
  <si>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</si>
  <si>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</si>
  <si>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</si>
  <si>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</si>
  <si>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</si>
  <si>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</si>
  <si>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</si>
  <si>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</si>
  <si>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</si>
  <si>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</si>
  <si>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</si>
  <si>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</si>
  <si>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</si>
  <si>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</si>
  <si>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</si>
  <si>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</si>
  <si>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</si>
  <si>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</si>
  <si>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</si>
  <si>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</si>
  <si>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</si>
  <si>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</si>
  <si>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</si>
  <si>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</si>
  <si>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</si>
  <si>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</si>
  <si>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</si>
  <si>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</si>
  <si>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</si>
  <si>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</si>
  <si>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</si>
  <si>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</si>
  <si>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</si>
  <si>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</si>
  <si>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</si>
  <si>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</si>
  <si>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</si>
  <si>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</si>
  <si>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</si>
  <si>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</si>
  <si>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</si>
  <si>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</si>
  <si>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</si>
  <si>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</si>
  <si>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</si>
  <si>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</si>
  <si>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</si>
  <si>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</si>
  <si>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</si>
  <si>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</si>
  <si>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</si>
  <si>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</si>
  <si>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</si>
  <si>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</si>
  <si>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</si>
  <si>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</si>
  <si>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</si>
  <si>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</si>
  <si>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</si>
  <si>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</si>
  <si>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</si>
  <si>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</si>
  <si>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</si>
  <si>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</si>
  <si>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</si>
  <si>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</si>
  <si>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</si>
  <si>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</si>
  <si>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</si>
  <si>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</si>
  <si>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</si>
  <si>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</si>
  <si>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</si>
  <si>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</si>
  <si>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</si>
  <si>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</si>
  <si>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</si>
  <si>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</si>
  <si>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</si>
  <si>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</si>
  <si>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</si>
  <si>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</si>
  <si>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</si>
  <si>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</si>
  <si>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</si>
  <si>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</si>
  <si>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</si>
  <si>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</si>
  <si>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</si>
  <si>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</si>
  <si>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</si>
  <si>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</si>
  <si>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</si>
  <si>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</si>
  <si>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</si>
  <si>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</si>
  <si>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</si>
  <si>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</si>
  <si>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</si>
  <si>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</si>
  <si>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</si>
  <si>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</si>
  <si>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</si>
  <si>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</si>
  <si>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</si>
  <si>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</si>
  <si>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</si>
  <si>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</si>
  <si>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</si>
  <si>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</si>
  <si>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</si>
  <si>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</si>
  <si>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</si>
  <si>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</si>
  <si>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</si>
  <si>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</si>
  <si>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</si>
  <si>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</si>
  <si>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</si>
  <si>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</si>
  <si>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</si>
  <si>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</si>
  <si>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</si>
  <si>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</si>
  <si>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</si>
  <si>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</si>
  <si>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</si>
  <si>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</si>
  <si>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</si>
  <si>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</si>
  <si>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</si>
  <si>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</si>
  <si>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</si>
  <si>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</si>
  <si>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</si>
  <si>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</si>
  <si>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</si>
  <si>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</si>
  <si>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</si>
  <si>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</si>
  <si>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</si>
  <si>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</si>
  <si>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</si>
  <si>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</si>
  <si>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</si>
  <si>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</si>
  <si>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</si>
  <si>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</si>
  <si>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</si>
  <si>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</si>
  <si>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</si>
  <si>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</si>
  <si>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</si>
  <si>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</si>
  <si>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</si>
  <si>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</si>
  <si>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</si>
  <si>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</si>
  <si>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</si>
  <si>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</si>
  <si>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</si>
  <si>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</si>
  <si>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</si>
  <si>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</si>
  <si>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</si>
  <si>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</si>
  <si>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</si>
  <si>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</si>
  <si>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</si>
  <si>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</si>
  <si>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</si>
  <si>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</si>
  <si>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</si>
  <si>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</si>
  <si>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</si>
  <si>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</si>
  <si>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</si>
  <si>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</si>
  <si>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</si>
  <si>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</si>
  <si>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</si>
  <si>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</si>
  <si>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</si>
  <si>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</si>
  <si>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</si>
  <si>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</si>
  <si>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</si>
  <si>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</si>
  <si>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</si>
  <si>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</si>
  <si>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</si>
  <si>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</si>
  <si>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</si>
  <si>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</si>
  <si>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</si>
  <si>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</si>
  <si>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</si>
  <si>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</si>
  <si>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</si>
  <si>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</si>
  <si>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</si>
  <si>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</si>
  <si>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</si>
  <si>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</si>
  <si>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</si>
  <si>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</si>
  <si>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</si>
  <si>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</si>
  <si>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</si>
  <si>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</si>
  <si>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</si>
  <si>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</si>
  <si>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</si>
  <si>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</si>
  <si>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</si>
  <si>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</si>
  <si>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</si>
  <si>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</si>
  <si>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</si>
  <si>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</si>
  <si>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</si>
  <si>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</si>
  <si>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</si>
  <si>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</si>
  <si>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</si>
  <si>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</si>
  <si>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</si>
  <si>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</si>
  <si>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</si>
  <si>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</si>
  <si>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</si>
  <si>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</si>
  <si>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</si>
  <si>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</si>
  <si>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</si>
  <si>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</si>
  <si>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</si>
  <si>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</si>
  <si>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</si>
  <si>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</si>
  <si>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</si>
  <si>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</si>
  <si>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</si>
  <si>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</si>
  <si>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</si>
  <si>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</si>
  <si>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</si>
  <si>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</si>
  <si>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</si>
  <si>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</si>
  <si>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</si>
  <si>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</si>
  <si>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</si>
  <si>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</si>
  <si>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</si>
  <si>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</si>
  <si>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</si>
  <si>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</si>
  <si>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</si>
  <si>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</si>
  <si>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</si>
  <si>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</si>
  <si>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</si>
  <si>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</si>
  <si>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</si>
  <si>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</si>
  <si>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</si>
  <si>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</si>
  <si>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</si>
  <si>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</si>
  <si>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</si>
  <si>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</si>
  <si>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</si>
  <si>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</si>
  <si>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</si>
  <si>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</si>
  <si>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</si>
  <si>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</si>
  <si>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</si>
  <si>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</si>
  <si>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</si>
  <si>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</si>
  <si>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</si>
  <si>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</si>
  <si>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</si>
  <si>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</si>
  <si>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</si>
  <si>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</si>
  <si>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</si>
  <si>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</si>
  <si>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</si>
  <si>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</si>
  <si>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</si>
  <si>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</si>
  <si>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</si>
  <si>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</si>
  <si>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</si>
  <si>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</si>
  <si>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</si>
  <si>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</si>
  <si>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</si>
  <si>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</si>
  <si>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</si>
  <si>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</si>
  <si>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</si>
  <si>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</si>
  <si>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</si>
  <si>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</si>
  <si>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</si>
  <si>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</si>
  <si>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</si>
  <si>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</si>
  <si>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</si>
  <si>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</si>
  <si>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</si>
  <si>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</si>
  <si>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</si>
  <si>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</si>
  <si>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</si>
  <si>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</si>
  <si>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</si>
  <si>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</si>
  <si>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</si>
  <si>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</si>
  <si>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</si>
  <si>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</si>
  <si>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</si>
  <si>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</si>
  <si>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</si>
  <si>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</si>
  <si>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</si>
  <si>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</si>
  <si>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</si>
  <si>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</si>
  <si>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</si>
  <si>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</si>
  <si>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</si>
  <si>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</si>
  <si>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</si>
  <si>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</si>
  <si>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</si>
  <si>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</si>
  <si>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</si>
  <si>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</si>
  <si>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</si>
  <si>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</si>
  <si>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</si>
  <si>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</si>
  <si>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</si>
  <si>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</si>
  <si>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</si>
  <si>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</si>
  <si>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</si>
  <si>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</si>
  <si>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</si>
  <si>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</si>
  <si>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</si>
  <si>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</si>
  <si>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</si>
  <si>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</si>
  <si>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</si>
  <si>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</si>
  <si>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</si>
  <si>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</si>
  <si>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</si>
  <si>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</si>
  <si>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</si>
  <si>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</si>
  <si>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</si>
  <si>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</si>
  <si>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</si>
  <si>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</si>
  <si>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</si>
  <si>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</si>
  <si>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</si>
  <si>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</si>
  <si>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</si>
  <si>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</si>
  <si>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</si>
  <si>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</si>
  <si>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</si>
  <si>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</si>
  <si>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</si>
  <si>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</si>
  <si>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</si>
  <si>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</si>
  <si>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</si>
  <si>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</si>
  <si>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</si>
  <si>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</si>
  <si>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</si>
  <si>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</si>
  <si>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</si>
  <si>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</si>
  <si>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</si>
  <si>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</si>
  <si>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</si>
  <si>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</si>
  <si>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</si>
  <si>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</si>
  <si>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</si>
  <si>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</si>
  <si>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</si>
  <si>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</si>
  <si>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</si>
  <si>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</si>
  <si>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</si>
  <si>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</si>
  <si>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</si>
  <si>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</si>
  <si>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</si>
  <si>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</si>
  <si>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</si>
  <si>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</si>
  <si>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</si>
  <si>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</si>
  <si>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</si>
  <si>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</si>
  <si>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</si>
  <si>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</si>
  <si>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</si>
  <si>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</si>
  <si>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</si>
  <si>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</si>
  <si>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</si>
  <si>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</si>
  <si>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</si>
  <si>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</si>
  <si>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</si>
  <si>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</si>
  <si>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</si>
  <si>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</si>
  <si>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</si>
  <si>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</si>
  <si>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</si>
  <si>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</si>
  <si>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</si>
  <si>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</si>
  <si>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</si>
  <si>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</si>
  <si>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</si>
  <si>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</si>
  <si>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</si>
  <si>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</si>
  <si>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</si>
  <si>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</si>
  <si>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</si>
  <si>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</si>
  <si>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</si>
  <si>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</si>
  <si>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</si>
  <si>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</si>
  <si>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</si>
  <si>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</si>
  <si>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</si>
  <si>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</si>
  <si>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</si>
  <si>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</si>
  <si>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</si>
  <si>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</si>
  <si>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</si>
  <si>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</si>
  <si>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</si>
  <si>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</si>
  <si>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</si>
  <si>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</si>
  <si>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</si>
  <si>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</si>
  <si>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</si>
  <si>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</si>
  <si>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</si>
  <si>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</si>
  <si>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</si>
  <si>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</si>
  <si>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</si>
  <si>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</si>
  <si>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</si>
  <si>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</si>
  <si>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</si>
  <si>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</si>
  <si>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</si>
  <si>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</si>
  <si>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</si>
  <si>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</si>
  <si>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</si>
  <si>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</si>
  <si>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</si>
  <si>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</si>
  <si>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</si>
  <si>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</si>
  <si>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</si>
  <si>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</si>
  <si>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</si>
  <si>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</si>
  <si>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</si>
  <si>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</si>
  <si>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</si>
  <si>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</si>
  <si>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</si>
  <si>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</si>
  <si>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</si>
  <si>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</si>
  <si>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</si>
  <si>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</si>
  <si>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</si>
  <si>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</si>
  <si>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</si>
  <si>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</si>
  <si>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</si>
  <si>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</si>
  <si>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</si>
  <si>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</si>
  <si>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</si>
  <si>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</si>
  <si>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</si>
  <si>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</si>
  <si>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</si>
  <si>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</si>
  <si>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</si>
  <si>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</si>
  <si>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</si>
  <si>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</si>
  <si>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</si>
  <si>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</si>
  <si>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</si>
  <si>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</si>
  <si>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</si>
  <si>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</si>
  <si>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</si>
  <si>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</si>
  <si>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</si>
  <si>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</si>
  <si>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</si>
  <si>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</si>
  <si>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</si>
  <si>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</si>
  <si>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</si>
  <si>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</si>
  <si>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</si>
  <si>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</si>
  <si>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</si>
  <si>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</si>
  <si>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</si>
  <si>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</si>
  <si>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</si>
  <si>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</si>
  <si>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</si>
  <si>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</si>
  <si>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</si>
  <si>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</si>
  <si>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</si>
  <si>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</si>
  <si>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</si>
  <si>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</si>
  <si>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</si>
  <si>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</si>
  <si>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</si>
  <si>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</si>
  <si>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</si>
  <si>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</si>
  <si>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</si>
  <si>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</si>
  <si>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</si>
  <si>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</si>
  <si>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</si>
  <si>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</si>
  <si>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</si>
  <si>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</si>
  <si>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</si>
  <si>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</si>
  <si>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</si>
  <si>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</si>
  <si>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</si>
  <si>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</si>
  <si>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</si>
  <si>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</si>
  <si>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</si>
  <si>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</si>
  <si>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</si>
  <si>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</si>
  <si>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</si>
  <si>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</si>
  <si>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</si>
  <si>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</si>
  <si>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</si>
  <si>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</si>
  <si>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</si>
  <si>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</si>
  <si>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</si>
  <si>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</si>
  <si>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</si>
  <si>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</si>
  <si>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</si>
  <si>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</si>
  <si>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</si>
  <si>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</si>
  <si>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</si>
  <si>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</si>
  <si>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</si>
  <si>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</si>
  <si>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</si>
  <si>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</si>
  <si>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</si>
  <si>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</si>
  <si>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</si>
  <si>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</si>
  <si>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</si>
  <si>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</si>
  <si>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</si>
  <si>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</si>
  <si>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</si>
  <si>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</si>
  <si>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</si>
  <si>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</si>
  <si>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</si>
  <si>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</si>
  <si>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</si>
  <si>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</si>
  <si>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</si>
  <si>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</si>
  <si>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</si>
  <si>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</si>
  <si>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</si>
  <si>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</si>
  <si>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</si>
  <si>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</si>
  <si>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</si>
  <si>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</si>
  <si>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</si>
  <si>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</si>
  <si>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</si>
  <si>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</si>
  <si>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</si>
  <si>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</si>
  <si>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</si>
  <si>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</si>
  <si>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</si>
  <si>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</si>
  <si>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</si>
  <si>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</si>
  <si>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</si>
  <si>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</si>
  <si>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</si>
  <si>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</si>
  <si>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</si>
  <si>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</si>
  <si>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</si>
  <si>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</si>
  <si>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</si>
  <si>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</si>
  <si>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</si>
  <si>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</si>
  <si>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</si>
  <si>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</si>
  <si>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</si>
  <si>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</si>
  <si>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</si>
  <si>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</si>
  <si>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</si>
  <si>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</si>
  <si>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</si>
  <si>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</si>
  <si>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</si>
  <si>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</si>
  <si>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</si>
  <si>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</si>
  <si>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</si>
  <si>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</si>
  <si>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</si>
  <si>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</si>
  <si>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</si>
  <si>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</si>
  <si>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</si>
  <si>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</si>
  <si>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</si>
  <si>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</si>
  <si>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</si>
  <si>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</si>
  <si>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</si>
  <si>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</si>
  <si>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</si>
  <si>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</si>
  <si>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</si>
  <si>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</si>
  <si>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</si>
  <si>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</si>
  <si>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</si>
  <si>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</si>
  <si>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</si>
  <si>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</si>
  <si>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</si>
  <si>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</si>
  <si>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</si>
  <si>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</si>
  <si>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</si>
  <si>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</si>
  <si>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</si>
  <si>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</si>
  <si>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</si>
  <si>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</si>
  <si>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</si>
  <si>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</si>
  <si>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</si>
  <si>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</si>
  <si>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</si>
  <si>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</si>
  <si>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</si>
  <si>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</si>
  <si>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</si>
  <si>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</si>
  <si>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</si>
  <si>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</si>
  <si>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</si>
  <si>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</si>
  <si>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</si>
  <si>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</si>
  <si>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</si>
  <si>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</si>
  <si>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</si>
  <si>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</si>
  <si>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</si>
  <si>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</si>
  <si>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</si>
  <si>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</si>
  <si>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</si>
  <si>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</si>
  <si>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</si>
  <si>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</si>
  <si>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</si>
  <si>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</si>
  <si>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</si>
  <si>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</si>
  <si>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</si>
  <si>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</si>
  <si>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</si>
  <si>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</si>
  <si>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</si>
  <si>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</si>
  <si>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</si>
  <si>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</si>
  <si>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</si>
  <si>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</si>
  <si>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</si>
  <si>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</si>
  <si>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</si>
  <si>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</si>
  <si>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</si>
  <si>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</si>
  <si>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</si>
  <si>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</si>
  <si>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</si>
  <si>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</si>
  <si>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</si>
  <si>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</si>
  <si>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</si>
  <si>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</si>
  <si>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</si>
  <si>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</si>
  <si>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</si>
  <si>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</si>
  <si>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</si>
  <si>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</si>
  <si>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</si>
  <si>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</si>
  <si>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</si>
  <si>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</si>
  <si>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</si>
  <si>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</si>
  <si>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</si>
  <si>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</si>
  <si>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</si>
  <si>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</si>
  <si>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</si>
  <si>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</si>
  <si>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</si>
  <si>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</si>
  <si>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</si>
  <si>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</si>
  <si>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</si>
  <si>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</si>
  <si>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</si>
  <si>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</si>
  <si>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</si>
  <si>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</si>
  <si>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</si>
  <si>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</si>
  <si>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</si>
  <si>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</si>
  <si>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</si>
  <si>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</si>
  <si>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</si>
  <si>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</si>
  <si>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</si>
  <si>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</si>
  <si>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</si>
  <si>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</si>
  <si>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</si>
  <si>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</si>
  <si>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</si>
  <si>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</si>
  <si>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</si>
  <si>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</si>
  <si>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</si>
  <si>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</si>
  <si>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</si>
  <si>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</si>
  <si>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</si>
  <si>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</si>
  <si>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</si>
  <si>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</si>
  <si>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</si>
  <si>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</si>
  <si>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</si>
  <si>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</si>
  <si>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</si>
  <si>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</si>
  <si>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</si>
  <si>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</si>
  <si>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</si>
  <si>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</si>
  <si>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</si>
  <si>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</si>
  <si>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</si>
  <si>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</si>
  <si>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</si>
  <si>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</si>
  <si>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</si>
  <si>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</si>
  <si>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</si>
  <si>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</si>
  <si>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</si>
  <si>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</si>
  <si>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</si>
  <si>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</si>
  <si>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</si>
  <si>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</si>
  <si>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</si>
  <si>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</si>
  <si>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</si>
  <si>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</si>
  <si>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</si>
  <si>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</si>
  <si>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</si>
  <si>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</si>
  <si>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</si>
  <si>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</si>
  <si>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</si>
  <si>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</si>
  <si>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</si>
  <si>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</si>
  <si>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</si>
  <si>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</si>
  <si>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</si>
  <si>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</si>
  <si>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</si>
  <si>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</si>
  <si>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</si>
  <si>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</si>
  <si>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</si>
  <si>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</si>
  <si>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</si>
  <si>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</si>
  <si>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</si>
  <si>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</si>
  <si>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</si>
  <si>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</si>
  <si>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</si>
  <si>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</si>
  <si>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</si>
  <si>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</si>
  <si>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</si>
  <si>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</si>
  <si>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</si>
  <si>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</si>
  <si>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</si>
  <si>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</si>
  <si>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</si>
  <si>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</si>
  <si>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</si>
  <si>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</si>
  <si>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</si>
  <si>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</si>
  <si>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</si>
  <si>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</si>
  <si>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</si>
  <si>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</si>
  <si>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</si>
  <si>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</si>
  <si>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</si>
  <si>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</si>
  <si>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</si>
  <si>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</si>
  <si>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</si>
  <si>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</si>
  <si>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</si>
  <si>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</si>
  <si>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</si>
  <si>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</si>
  <si>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</si>
  <si>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</si>
  <si>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</si>
  <si>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</si>
  <si>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</si>
  <si>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</si>
  <si>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</si>
  <si>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</si>
  <si>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</si>
  <si>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</si>
  <si>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</si>
  <si>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</si>
  <si>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</si>
  <si>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</si>
  <si>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</si>
  <si>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</si>
  <si>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</si>
  <si>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</si>
  <si>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</si>
  <si>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</si>
  <si>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</si>
  <si>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</si>
  <si>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</si>
  <si>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</si>
  <si>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</si>
  <si>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</si>
  <si>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</si>
  <si>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</si>
  <si>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</si>
  <si>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</si>
  <si>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</si>
  <si>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</si>
  <si>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</si>
  <si>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</si>
  <si>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</si>
  <si>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</si>
  <si>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</si>
  <si>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</si>
  <si>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</si>
  <si>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</si>
  <si>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</si>
  <si>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</si>
  <si>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</si>
  <si>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</si>
  <si>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</si>
  <si>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</si>
  <si>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</si>
  <si>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</si>
  <si>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</si>
  <si>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</si>
  <si>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</si>
  <si>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</si>
  <si>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</si>
  <si>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</si>
  <si>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</si>
  <si>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</si>
  <si>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</si>
  <si>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</si>
  <si>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</si>
  <si>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</si>
  <si>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</si>
  <si>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</si>
  <si>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</si>
  <si>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</si>
  <si>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</si>
  <si>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</si>
  <si>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</si>
  <si>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</si>
  <si>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</si>
  <si>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</si>
  <si>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</si>
  <si>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</si>
  <si>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</si>
  <si>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</si>
  <si>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</si>
  <si>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</si>
  <si>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</si>
  <si>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</si>
  <si>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</si>
  <si>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</si>
  <si>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</si>
  <si>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</si>
  <si>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</si>
  <si>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</si>
  <si>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</si>
  <si>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</si>
  <si>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</si>
  <si>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</si>
  <si>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</si>
  <si>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</si>
  <si>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</si>
  <si>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</si>
  <si>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</si>
  <si>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</si>
  <si>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</si>
  <si>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</si>
  <si>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</si>
  <si>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</si>
  <si>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</si>
  <si>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</si>
  <si>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</si>
  <si>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</si>
  <si>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</si>
  <si>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</si>
  <si>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</si>
  <si>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</si>
  <si>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</si>
  <si>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</si>
  <si>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</si>
  <si>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</si>
  <si>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</si>
  <si>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</si>
  <si>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</si>
  <si>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</si>
  <si>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</si>
  <si>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</si>
  <si>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</si>
  <si>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</si>
  <si>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</si>
  <si>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</si>
  <si>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</si>
  <si>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</si>
  <si>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</si>
  <si>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</si>
  <si>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</si>
  <si>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</si>
  <si>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</si>
  <si>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</si>
  <si>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</si>
  <si>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</si>
  <si>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</si>
  <si>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</si>
  <si>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</si>
  <si>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</si>
  <si>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</si>
  <si>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</si>
  <si>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</si>
  <si>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</si>
  <si>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</si>
  <si>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</si>
  <si>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</si>
  <si>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</si>
  <si>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</si>
  <si>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</si>
  <si>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</si>
  <si>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</si>
  <si>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</si>
  <si>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</si>
  <si>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</si>
  <si>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</si>
  <si>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</si>
  <si>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</si>
  <si>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</si>
  <si>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</si>
  <si>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</si>
  <si>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</si>
  <si>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</si>
  <si>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</si>
  <si>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</si>
  <si>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</si>
  <si>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</si>
  <si>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</si>
  <si>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</si>
  <si>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</si>
  <si>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</si>
  <si>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</si>
  <si>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</si>
  <si>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</si>
  <si>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</si>
  <si>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</si>
  <si>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</si>
  <si>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</si>
  <si>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</si>
  <si>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</si>
  <si>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</si>
  <si>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</si>
  <si>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</si>
  <si>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</si>
  <si>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</si>
  <si>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</si>
  <si>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</si>
  <si>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</si>
  <si>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</si>
  <si>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</si>
  <si>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</si>
  <si>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</si>
  <si>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</si>
  <si>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</si>
  <si>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</si>
  <si>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</si>
  <si>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</si>
  <si>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</si>
  <si>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</si>
  <si>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</si>
  <si>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</si>
  <si>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</si>
  <si>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</si>
  <si>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</si>
  <si>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</si>
  <si>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</si>
  <si>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</si>
  <si>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</si>
  <si>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</si>
  <si>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</si>
  <si>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</si>
  <si>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</si>
  <si>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</si>
  <si>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</si>
  <si>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</si>
  <si>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</si>
  <si>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</si>
  <si>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</si>
  <si>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</si>
  <si>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</si>
  <si>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</si>
  <si>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</si>
  <si>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</si>
  <si>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</si>
  <si>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</si>
  <si>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</si>
  <si>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</si>
  <si>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</si>
  <si>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</si>
  <si>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</si>
  <si>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</si>
  <si>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</si>
  <si>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</si>
  <si>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</si>
  <si>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</si>
  <si>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</si>
  <si>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</si>
  <si>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</si>
  <si>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</si>
  <si>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</si>
  <si>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</si>
  <si>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</si>
  <si>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</si>
  <si>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</si>
  <si>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</si>
  <si>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</si>
  <si>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</si>
  <si>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</si>
  <si>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</si>
  <si>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</si>
  <si>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</si>
  <si>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</si>
  <si>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</si>
  <si>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</si>
  <si>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</si>
  <si>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</si>
  <si>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</si>
  <si>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</si>
  <si>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</si>
  <si>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</si>
  <si>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</si>
  <si>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</si>
  <si>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</si>
  <si>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</si>
  <si>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</si>
  <si>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</si>
  <si>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</si>
  <si>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</si>
  <si>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</si>
  <si>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</si>
  <si>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</si>
  <si>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</si>
  <si>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</si>
  <si>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</si>
  <si>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</si>
  <si>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</si>
  <si>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</si>
  <si>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</si>
  <si>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</si>
  <si>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</si>
  <si>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</si>
  <si>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</si>
  <si>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</si>
  <si>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</si>
  <si>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</si>
  <si>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</si>
  <si>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</si>
  <si>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</si>
  <si>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</si>
  <si>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</si>
  <si>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</si>
  <si>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</si>
  <si>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</si>
  <si>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</si>
  <si>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</si>
  <si>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</si>
  <si>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</si>
  <si>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</si>
  <si>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</si>
  <si>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</si>
  <si>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</si>
  <si>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</si>
  <si>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</si>
  <si>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</si>
  <si>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</si>
  <si>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</si>
  <si>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</si>
  <si>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</si>
  <si>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</si>
  <si>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</si>
  <si>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</si>
  <si>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</si>
  <si>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</si>
  <si>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</si>
  <si>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</si>
  <si>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</si>
  <si>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</si>
  <si>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</si>
  <si>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</si>
  <si>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</si>
  <si>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</si>
  <si>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</si>
  <si>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</si>
  <si>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</si>
  <si>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</si>
  <si>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</si>
  <si>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</si>
  <si>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</si>
  <si>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</si>
  <si>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</si>
  <si>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</si>
  <si>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</si>
  <si>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</si>
  <si>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</si>
  <si>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</si>
  <si>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</si>
  <si>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</si>
  <si>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</si>
  <si>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</si>
  <si>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</si>
  <si>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</si>
  <si>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</si>
  <si>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</si>
  <si>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</si>
  <si>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</si>
  <si>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</si>
  <si>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</si>
  <si>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</si>
  <si>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</si>
  <si>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</si>
  <si>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</si>
  <si>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</si>
  <si>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</si>
  <si>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</si>
  <si>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</si>
  <si>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</si>
  <si>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</si>
  <si>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</si>
  <si>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</si>
  <si>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</si>
  <si>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</si>
  <si>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</si>
  <si>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</si>
  <si>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</si>
  <si>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</si>
  <si>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</si>
  <si>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</si>
  <si>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</si>
  <si>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</si>
  <si>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</si>
  <si>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</si>
  <si>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</si>
  <si>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</si>
  <si>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</si>
  <si>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</si>
  <si>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</si>
  <si>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</si>
  <si>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</si>
  <si>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</si>
  <si>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</si>
  <si>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</si>
  <si>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</si>
  <si>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</si>
  <si>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</si>
  <si>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</si>
  <si>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</si>
  <si>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</si>
  <si>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</si>
  <si>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</si>
  <si>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</si>
  <si>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</si>
  <si>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</si>
  <si>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</si>
  <si>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</si>
  <si>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</si>
  <si>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</si>
  <si>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</si>
  <si>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</si>
  <si>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</si>
  <si>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</si>
  <si>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</si>
  <si>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</si>
  <si>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</si>
  <si>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</si>
  <si>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</si>
  <si>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</si>
  <si>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</si>
  <si>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</si>
  <si>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</si>
  <si>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</si>
  <si>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</si>
  <si>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</si>
  <si>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</si>
  <si>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</si>
  <si>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</si>
  <si>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</si>
  <si>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</si>
  <si>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</si>
  <si>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</si>
  <si>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</si>
  <si>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</si>
  <si>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</si>
  <si>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</si>
  <si>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</si>
  <si>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</si>
  <si>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</si>
  <si>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</si>
  <si>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</si>
  <si>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</si>
  <si>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</si>
  <si>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</si>
  <si>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</si>
  <si>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</si>
  <si>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</si>
  <si>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</si>
  <si>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</si>
  <si>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</si>
  <si>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</si>
  <si>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</si>
  <si>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</si>
  <si>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</si>
  <si>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</si>
  <si>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</si>
  <si>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</si>
  <si>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</si>
  <si>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</si>
  <si>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</si>
  <si>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</si>
  <si>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</si>
  <si>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</si>
  <si>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</si>
  <si>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</si>
  <si>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</si>
  <si>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</si>
  <si>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</si>
  <si>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</si>
  <si>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</si>
  <si>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</si>
  <si>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</si>
  <si>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</si>
  <si>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</si>
  <si>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</si>
  <si>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</si>
  <si>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</si>
  <si>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</si>
  <si>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</si>
  <si>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</si>
  <si>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</si>
  <si>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</si>
  <si>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</si>
  <si>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</si>
  <si>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</si>
  <si>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</si>
  <si>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</si>
  <si>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</si>
  <si>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</si>
  <si>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</si>
  <si>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</si>
  <si>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</si>
  <si>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</si>
  <si>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</si>
  <si>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</si>
  <si>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</si>
  <si>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</si>
  <si>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</si>
  <si>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</si>
  <si>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</si>
  <si>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</si>
  <si>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</si>
  <si>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</si>
  <si>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</si>
  <si>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</si>
  <si>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</si>
  <si>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</si>
  <si>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</si>
  <si>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</si>
  <si>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</si>
  <si>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</si>
  <si>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</si>
  <si>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</si>
  <si>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</si>
  <si>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</si>
  <si>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</si>
  <si>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</si>
  <si>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</si>
  <si>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</si>
  <si>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</si>
  <si>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</si>
  <si>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</si>
  <si>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</si>
  <si>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</si>
  <si>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</si>
  <si>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</si>
  <si>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</si>
  <si>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</si>
  <si>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</si>
  <si>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</si>
  <si>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</si>
  <si>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</si>
  <si>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</si>
  <si>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</si>
  <si>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</si>
  <si>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</si>
  <si>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</si>
  <si>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</si>
  <si>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</si>
  <si>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</si>
  <si>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</si>
  <si>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</si>
  <si>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</si>
  <si>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</si>
  <si>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</si>
  <si>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</si>
  <si>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</si>
  <si>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</si>
  <si>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</si>
  <si>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</si>
  <si>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</si>
  <si>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</si>
  <si>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</si>
  <si>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</si>
  <si>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</si>
  <si>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</si>
  <si>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</si>
  <si>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</si>
  <si>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</si>
  <si>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</si>
  <si>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</si>
  <si>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</si>
  <si>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</si>
  <si>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</si>
  <si>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</si>
  <si>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</si>
  <si>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</si>
  <si>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</si>
  <si>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</si>
  <si>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</si>
  <si>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</si>
  <si>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</si>
  <si>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</si>
  <si>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</si>
  <si>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</si>
  <si>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</si>
  <si>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</si>
  <si>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</si>
  <si>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</si>
  <si>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</si>
  <si>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</si>
  <si>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</si>
  <si>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</si>
  <si>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</si>
  <si>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</si>
  <si>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</si>
  <si>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</si>
  <si>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</si>
  <si>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</si>
  <si>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</si>
  <si>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</si>
  <si>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</si>
  <si>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</si>
  <si>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</si>
  <si>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</si>
  <si>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</si>
  <si>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</si>
  <si>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</si>
  <si>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</si>
  <si>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</si>
  <si>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</si>
  <si>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</si>
  <si>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</si>
  <si>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</si>
  <si>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</si>
  <si>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</si>
  <si>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</si>
  <si>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</si>
  <si>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</si>
  <si>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</si>
  <si>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</si>
  <si>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</si>
  <si>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</si>
  <si>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</si>
  <si>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</si>
  <si>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</si>
  <si>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</si>
  <si>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</si>
  <si>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</si>
  <si>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</si>
  <si>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</si>
  <si>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</si>
  <si>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</si>
  <si>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</si>
  <si>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</si>
  <si>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</si>
  <si>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</si>
  <si>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</si>
  <si>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</si>
  <si>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</si>
  <si>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</si>
  <si>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</si>
  <si>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</si>
  <si>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</si>
  <si>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</si>
  <si>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</si>
  <si>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</si>
  <si>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</si>
  <si>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</si>
  <si>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</si>
  <si>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</si>
  <si>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</si>
  <si>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</si>
  <si>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</si>
  <si>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</si>
  <si>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</si>
  <si>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</si>
  <si>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</si>
  <si>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</si>
  <si>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</si>
  <si>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</si>
  <si>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</si>
  <si>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</si>
  <si>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</si>
  <si>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</si>
  <si>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</si>
  <si>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</si>
  <si>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</si>
  <si>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</si>
  <si>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</si>
  <si>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</si>
  <si>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</si>
  <si>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</si>
  <si>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</si>
  <si>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</si>
  <si>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</si>
  <si>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</si>
  <si>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</si>
  <si>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</si>
  <si>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</si>
  <si>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</si>
  <si>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</si>
  <si>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</si>
  <si>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</si>
  <si>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</si>
  <si>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</si>
  <si>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</si>
  <si>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</si>
  <si>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</si>
  <si>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</si>
  <si>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</si>
  <si>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</si>
  <si>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</si>
  <si>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</si>
  <si>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</si>
  <si>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</si>
  <si>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</si>
  <si>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</si>
  <si>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</si>
  <si>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</si>
  <si>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</si>
  <si>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</si>
  <si>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</si>
  <si>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</si>
  <si>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</si>
  <si>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</si>
  <si>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</si>
  <si>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</si>
  <si>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</si>
  <si>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</si>
  <si>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</si>
  <si>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</si>
  <si>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</si>
  <si>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</si>
  <si>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</si>
  <si>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</si>
  <si>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</si>
  <si>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</si>
  <si>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</si>
  <si>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</si>
  <si>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</si>
  <si>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</si>
  <si>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</si>
  <si>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</si>
  <si>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</si>
  <si>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</si>
  <si>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</si>
  <si>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</si>
  <si>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</si>
  <si>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</si>
  <si>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</si>
  <si>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</si>
  <si>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</si>
  <si>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</si>
  <si>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</si>
  <si>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</si>
  <si>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</si>
  <si>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</si>
  <si>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</si>
  <si>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</si>
  <si>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</si>
  <si>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</si>
  <si>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</si>
  <si>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</si>
  <si>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</si>
  <si>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</si>
  <si>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</si>
  <si>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</si>
  <si>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</si>
  <si>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</si>
  <si>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</si>
  <si>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</si>
  <si>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</si>
  <si>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</si>
  <si>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</si>
  <si>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</si>
  <si>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</si>
  <si>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</si>
  <si>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</si>
  <si>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</si>
  <si>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</si>
  <si>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</si>
  <si>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</si>
  <si>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</si>
  <si>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</si>
  <si>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</si>
  <si>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</si>
  <si>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</si>
  <si>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</si>
  <si>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</si>
  <si>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</si>
  <si>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</si>
  <si>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</si>
  <si>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</si>
  <si>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</si>
  <si>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</si>
  <si>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</si>
  <si>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</si>
  <si>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</si>
  <si>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</si>
  <si>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</si>
  <si>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</si>
  <si>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</si>
  <si>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</si>
  <si>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</si>
  <si>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</si>
  <si>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</si>
  <si>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</si>
  <si>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</si>
  <si>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</si>
  <si>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</si>
  <si>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</si>
  <si>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</si>
  <si>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</si>
  <si>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</si>
  <si>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</si>
  <si>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</si>
  <si>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</si>
  <si>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</si>
  <si>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</si>
  <si>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</si>
  <si>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</si>
  <si>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</si>
  <si>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</si>
  <si>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</si>
  <si>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</si>
  <si>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</si>
  <si>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</si>
  <si>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</si>
  <si>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</si>
  <si>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</si>
  <si>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</si>
  <si>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</si>
  <si>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</si>
  <si>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</si>
  <si>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</si>
  <si>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</si>
  <si>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</si>
  <si>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</si>
  <si>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</si>
  <si>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</si>
  <si>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</si>
  <si>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</si>
  <si>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</si>
  <si>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</si>
  <si>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</si>
  <si>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</si>
  <si>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</si>
  <si>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</si>
  <si>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</si>
  <si>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</si>
  <si>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</si>
  <si>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</si>
  <si>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</si>
  <si>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</si>
  <si>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</si>
  <si>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</si>
  <si>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</si>
  <si>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</si>
  <si>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</si>
  <si>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</si>
  <si>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</si>
  <si>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</si>
  <si>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</si>
  <si>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</si>
  <si>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</si>
  <si>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</si>
  <si>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</si>
  <si>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</si>
  <si>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</si>
  <si>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</si>
  <si>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</si>
  <si>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</si>
  <si>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</si>
  <si>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</si>
  <si>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</si>
  <si>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</si>
  <si>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</si>
  <si>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</si>
  <si>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</si>
  <si>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</si>
  <si>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</si>
  <si>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</si>
  <si>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</si>
  <si>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</si>
  <si>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</si>
  <si>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</si>
  <si>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</si>
  <si>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</si>
  <si>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</si>
  <si>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</si>
  <si>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</si>
  <si>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</si>
  <si>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</si>
  <si>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</si>
  <si>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</si>
  <si>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</si>
  <si>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</si>
  <si>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</si>
  <si>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</si>
  <si>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</si>
  <si>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</si>
  <si>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</si>
  <si>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</si>
  <si>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</si>
  <si>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</si>
  <si>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</si>
  <si>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</si>
  <si>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</si>
  <si>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</si>
  <si>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</si>
  <si>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</si>
  <si>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</si>
  <si>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</si>
  <si>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</si>
  <si>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</si>
  <si>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</si>
  <si>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</si>
  <si>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</si>
  <si>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</si>
  <si>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</si>
  <si>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</si>
  <si>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</si>
  <si>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</si>
  <si>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</si>
  <si>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</si>
  <si>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</si>
  <si>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</si>
  <si>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</si>
  <si>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</si>
  <si>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</si>
  <si>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</si>
  <si>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</si>
  <si>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</si>
  <si>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</si>
  <si>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</si>
  <si>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</si>
  <si>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</si>
  <si>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</si>
  <si>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</si>
  <si>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</si>
  <si>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</si>
  <si>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</si>
  <si>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</si>
  <si>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</si>
  <si>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</si>
  <si>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</si>
  <si>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</si>
  <si>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</si>
  <si>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</si>
  <si>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</si>
  <si>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</si>
  <si>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</si>
  <si>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</si>
  <si>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</si>
  <si>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</si>
  <si>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</si>
  <si>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</si>
  <si>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</si>
  <si>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</si>
  <si>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</si>
  <si>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</si>
  <si>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</si>
  <si>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</si>
  <si>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</si>
  <si>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</si>
  <si>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</si>
  <si>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</si>
  <si>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</si>
  <si>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</si>
  <si>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</si>
  <si>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</si>
  <si>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</si>
  <si>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</si>
  <si>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</si>
  <si>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</si>
  <si>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</si>
  <si>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</si>
  <si>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</si>
  <si>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</si>
  <si>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</si>
  <si>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</si>
  <si>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</si>
  <si>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</si>
  <si>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</si>
  <si>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</si>
  <si>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</si>
  <si>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</si>
  <si>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</si>
  <si>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</si>
  <si>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</si>
  <si>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</si>
  <si>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</si>
  <si>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</si>
  <si>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</si>
  <si>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</si>
  <si>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</si>
  <si>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</si>
  <si>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</si>
  <si>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</si>
  <si>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</si>
  <si>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</si>
  <si>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</si>
  <si>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</si>
  <si>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</si>
  <si>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</si>
  <si>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</si>
  <si>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</si>
  <si>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</si>
  <si>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</si>
  <si>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</si>
  <si>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</si>
  <si>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</si>
  <si>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</si>
  <si>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</si>
  <si>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</si>
  <si>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</si>
  <si>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</si>
  <si>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</si>
  <si>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</si>
  <si>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</si>
  <si>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</si>
  <si>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</si>
  <si>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</si>
  <si>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</si>
  <si>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</si>
  <si>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</si>
  <si>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</si>
  <si>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</si>
  <si>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</si>
  <si>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</si>
  <si>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</si>
  <si>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</si>
  <si>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</si>
  <si>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</si>
  <si>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</si>
  <si>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</si>
  <si>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</si>
  <si>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</si>
  <si>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</si>
  <si>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</si>
  <si>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</si>
  <si>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</si>
  <si>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</si>
  <si>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</si>
  <si>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</si>
  <si>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</si>
  <si>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</si>
  <si>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</si>
  <si>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</si>
  <si>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</si>
  <si>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</si>
  <si>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</si>
  <si>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</si>
  <si>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</si>
  <si>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</si>
  <si>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</si>
  <si>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</si>
  <si>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</si>
  <si>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</si>
  <si>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</si>
  <si>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</si>
  <si>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</si>
  <si>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</si>
  <si>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</si>
  <si>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</si>
  <si>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</si>
  <si>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</si>
  <si>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</si>
  <si>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</si>
  <si>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</si>
  <si>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</si>
  <si>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</si>
  <si>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</si>
  <si>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</si>
  <si>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</si>
  <si>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</si>
  <si>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</si>
  <si>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</si>
  <si>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</si>
  <si>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</si>
  <si>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</si>
  <si>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</si>
  <si>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</si>
  <si>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</si>
  <si>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</si>
  <si>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</si>
  <si>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</si>
  <si>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</si>
  <si>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</si>
  <si>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</si>
  <si>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</si>
  <si>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</si>
  <si>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</si>
  <si>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</si>
  <si>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</si>
  <si>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</si>
  <si>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</si>
  <si>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</si>
  <si>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</si>
  <si>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</si>
  <si>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</si>
  <si>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</si>
  <si>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</si>
  <si>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</si>
  <si>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</si>
  <si>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</si>
  <si>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</si>
  <si>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</si>
  <si>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</si>
  <si>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</si>
  <si>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</si>
  <si>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</si>
  <si>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</si>
  <si>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</si>
  <si>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</si>
  <si>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</si>
  <si>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</si>
  <si>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</si>
  <si>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</si>
  <si>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</si>
  <si>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</si>
  <si>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</si>
  <si>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</si>
  <si>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</si>
  <si>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</si>
  <si>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</si>
  <si>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</si>
  <si>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</si>
  <si>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</si>
  <si>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</si>
  <si>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</si>
  <si>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</si>
  <si>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</si>
  <si>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</si>
  <si>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</si>
  <si>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</si>
  <si>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</si>
  <si>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</si>
  <si>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</si>
  <si>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</si>
  <si>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</si>
  <si>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</si>
  <si>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</si>
  <si>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</si>
  <si>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</si>
  <si>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</si>
  <si>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</si>
  <si>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</si>
  <si>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</si>
  <si>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</si>
  <si>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</si>
  <si>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</si>
  <si>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</si>
  <si>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</si>
  <si>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</si>
  <si>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</si>
  <si>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</si>
  <si>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</si>
  <si>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</si>
  <si>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</si>
  <si>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</si>
  <si>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</si>
  <si>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</si>
  <si>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</si>
  <si>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</si>
  <si>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</si>
  <si>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</si>
  <si>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</si>
  <si>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</si>
  <si>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</si>
  <si>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</si>
  <si>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</si>
  <si>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</si>
  <si>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</si>
  <si>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</si>
  <si>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</si>
  <si>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</si>
  <si>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</si>
  <si>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</si>
  <si>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</si>
  <si>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</si>
  <si>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</si>
  <si>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</si>
  <si>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</si>
  <si>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</si>
  <si>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</si>
  <si>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</si>
  <si>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</si>
  <si>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</si>
  <si>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</si>
  <si>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</si>
  <si>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</si>
  <si>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</si>
  <si>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</si>
  <si>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</si>
  <si>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</si>
  <si>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</si>
  <si>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</si>
  <si>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</si>
  <si>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</si>
  <si>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</si>
  <si>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</si>
  <si>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</si>
  <si>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</si>
  <si>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</si>
  <si>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</si>
  <si>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</si>
  <si>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</si>
  <si>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</si>
  <si>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</si>
  <si>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</si>
  <si>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</si>
  <si>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</si>
  <si>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</si>
  <si>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</si>
  <si>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</si>
  <si>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</si>
  <si>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</si>
  <si>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</si>
  <si>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</si>
  <si>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</si>
  <si>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</si>
  <si>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</si>
  <si>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</si>
  <si>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</si>
  <si>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</si>
  <si>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</si>
  <si>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</si>
  <si>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</si>
  <si>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</si>
  <si>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</si>
  <si>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</si>
  <si>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</si>
  <si>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</si>
  <si>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</si>
  <si>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</si>
  <si>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</si>
  <si>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</si>
  <si>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</si>
  <si>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</si>
  <si>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</si>
  <si>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</si>
  <si>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</si>
  <si>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</si>
  <si>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</si>
  <si>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</si>
  <si>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</si>
  <si>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</si>
  <si>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</si>
  <si>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</si>
  <si>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</si>
  <si>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</si>
  <si>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</si>
  <si>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</si>
  <si>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</si>
  <si>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</si>
  <si>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</si>
  <si>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</si>
  <si>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</si>
  <si>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</si>
  <si>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</si>
  <si>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</si>
  <si>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</si>
  <si>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</si>
  <si>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</si>
  <si>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</si>
  <si>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</si>
  <si>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</si>
  <si>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</si>
  <si>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</si>
  <si>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</si>
  <si>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</si>
  <si>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</si>
  <si>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</si>
  <si>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</si>
  <si>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</si>
  <si>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</si>
  <si>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</si>
  <si>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</si>
  <si>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</si>
  <si>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</si>
  <si>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</si>
  <si>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</si>
  <si>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</si>
  <si>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</si>
  <si>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</si>
  <si>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</si>
  <si>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</si>
  <si>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</si>
  <si>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</si>
  <si>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</si>
  <si>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</si>
  <si>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</si>
  <si>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</si>
  <si>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</si>
  <si>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</si>
  <si>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</si>
  <si>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</si>
  <si>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</si>
  <si>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</si>
  <si>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</si>
  <si>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</si>
  <si>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</si>
  <si>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</si>
  <si>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</si>
  <si>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</si>
  <si>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</si>
  <si>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</si>
  <si>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</si>
  <si>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</si>
  <si>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</si>
  <si>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</si>
  <si>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</si>
  <si>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</si>
  <si>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</si>
  <si>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</si>
  <si>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</si>
  <si>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</si>
  <si>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</si>
  <si>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</si>
  <si>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</si>
  <si>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</si>
  <si>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</si>
  <si>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</si>
  <si>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</si>
  <si>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</si>
  <si>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</si>
  <si>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</si>
  <si>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</si>
  <si>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</si>
  <si>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</si>
  <si>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</si>
  <si>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</si>
  <si>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</si>
  <si>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</si>
  <si>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</si>
  <si>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</si>
  <si>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</si>
  <si>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</si>
  <si>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</si>
  <si>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</si>
  <si>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</si>
  <si>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</si>
  <si>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</si>
  <si>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</si>
  <si>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</si>
  <si>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</si>
  <si>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</si>
  <si>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</si>
  <si>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</si>
  <si>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</si>
  <si>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</si>
  <si>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</si>
  <si>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</si>
  <si>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</si>
  <si>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</si>
  <si>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</si>
  <si>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</si>
  <si>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</si>
  <si>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</si>
  <si>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</si>
  <si>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</si>
  <si>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</si>
  <si>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</si>
  <si>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</si>
  <si>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</si>
  <si>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</si>
  <si>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</si>
  <si>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</si>
  <si>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</si>
  <si>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</si>
  <si>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</si>
  <si>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</si>
  <si>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</si>
  <si>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</si>
  <si>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</si>
  <si>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</si>
  <si>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</si>
  <si>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</si>
  <si>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</si>
  <si>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</si>
  <si>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</si>
  <si>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</si>
  <si>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</si>
  <si>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</si>
  <si>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</si>
  <si>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</si>
  <si>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</si>
  <si>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</si>
  <si>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</si>
  <si>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</si>
  <si>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</si>
  <si>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</si>
  <si>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</si>
  <si>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</si>
  <si>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</si>
  <si>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</si>
  <si>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</si>
  <si>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</si>
  <si>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</si>
  <si>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</si>
  <si>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</si>
  <si>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</si>
  <si>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</si>
  <si>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</si>
  <si>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</si>
  <si>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</si>
  <si>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</si>
  <si>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</si>
  <si>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</si>
  <si>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</si>
  <si>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</si>
  <si>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</si>
  <si>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</si>
  <si>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</si>
  <si>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</si>
  <si>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</si>
  <si>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</si>
  <si>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</si>
  <si>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</si>
  <si>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</si>
  <si>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</si>
  <si>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</si>
  <si>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</si>
  <si>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</si>
  <si>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</si>
  <si>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</si>
  <si>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</si>
  <si>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</si>
  <si>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</si>
  <si>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</si>
  <si>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</si>
  <si>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</si>
  <si>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</si>
  <si>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</si>
  <si>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</si>
  <si>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</si>
  <si>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</si>
  <si>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</si>
  <si>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</si>
  <si>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</si>
  <si>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</si>
  <si>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</si>
  <si>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</si>
  <si>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</si>
  <si>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</si>
  <si>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</si>
  <si>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</si>
  <si>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</si>
  <si>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</si>
  <si>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</si>
  <si>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</si>
  <si>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</si>
  <si>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</si>
  <si>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</si>
  <si>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</si>
  <si>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</si>
  <si>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</si>
  <si>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</si>
  <si>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</si>
  <si>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</si>
  <si>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</si>
  <si>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</si>
  <si>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</si>
  <si>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</si>
  <si>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</si>
  <si>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</si>
  <si>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</si>
  <si>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</si>
  <si>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</si>
  <si>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</si>
  <si>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</si>
  <si>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</si>
  <si>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</si>
  <si>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</si>
  <si>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</si>
  <si>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</si>
  <si>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</si>
  <si>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</si>
  <si>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</si>
  <si>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</si>
  <si>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</si>
  <si>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</si>
  <si>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</si>
  <si>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</si>
  <si>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</si>
  <si>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</si>
  <si>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</si>
  <si>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</si>
  <si>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</si>
  <si>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</si>
  <si>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</si>
  <si>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</si>
  <si>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</si>
  <si>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</si>
  <si>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</si>
  <si>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</si>
  <si>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</si>
  <si>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</si>
  <si>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</si>
  <si>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</si>
  <si>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</si>
  <si>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</si>
  <si>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</si>
  <si>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</si>
  <si>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</si>
  <si>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</si>
  <si>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</si>
  <si>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</si>
  <si>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</si>
  <si>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</si>
  <si>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</si>
  <si>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</si>
  <si>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</si>
  <si>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</si>
  <si>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</si>
  <si>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</si>
  <si>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</si>
  <si>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</si>
  <si>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</si>
  <si>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</si>
  <si>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</si>
  <si>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</si>
  <si>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</si>
  <si>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</si>
  <si>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</si>
  <si>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</si>
  <si>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</si>
  <si>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</si>
  <si>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</si>
  <si>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</si>
  <si>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</si>
  <si>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</si>
  <si>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</si>
  <si>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</si>
  <si>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</si>
  <si>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</si>
  <si>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</si>
  <si>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</si>
  <si>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</si>
  <si>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</si>
  <si>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</si>
  <si>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</si>
  <si>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</si>
  <si>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</si>
  <si>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</si>
  <si>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</si>
  <si>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</si>
  <si>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</si>
  <si>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</si>
  <si>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</si>
  <si>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</si>
  <si>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</si>
  <si>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</si>
  <si>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</si>
  <si>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房地产抵押价值</t>
  </si>
  <si>
    <t>北京市</t>
  </si>
  <si>
    <t>S1-S4</t>
  </si>
  <si>
    <t>地上</t>
  </si>
  <si>
    <t>地下</t>
  </si>
  <si>
    <r>
      <rPr>
        <sz val="11"/>
        <color rgb="FF000000"/>
        <rFont val="宋体"/>
        <family val="3"/>
        <charset val="134"/>
      </rPr>
      <t>项目地址</t>
    </r>
  </si>
  <si>
    <r>
      <rPr>
        <sz val="11"/>
        <color rgb="FF000000"/>
        <rFont val="宋体"/>
        <family val="3"/>
        <charset val="134"/>
      </rPr>
      <t>用途</t>
    </r>
  </si>
  <si>
    <r>
      <rPr>
        <sz val="11"/>
        <color rgb="FF000000"/>
        <rFont val="宋体"/>
        <family val="3"/>
        <charset val="134"/>
      </rPr>
      <t>办公</t>
    </r>
  </si>
  <si>
    <r>
      <rPr>
        <sz val="11"/>
        <color rgb="FF000000"/>
        <rFont val="宋体"/>
        <family val="3"/>
        <charset val="134"/>
      </rPr>
      <t>商业设施</t>
    </r>
  </si>
  <si>
    <r>
      <rPr>
        <sz val="11"/>
        <color rgb="FF000000"/>
        <rFont val="宋体"/>
        <family val="3"/>
        <charset val="134"/>
      </rPr>
      <t>停车场</t>
    </r>
  </si>
  <si>
    <r>
      <rPr>
        <sz val="11"/>
        <color rgb="FF000000"/>
        <rFont val="宋体"/>
        <family val="3"/>
        <charset val="134"/>
      </rPr>
      <t>合计</t>
    </r>
  </si>
  <si>
    <r>
      <rPr>
        <sz val="11"/>
        <color rgb="FF000000"/>
        <rFont val="宋体"/>
        <family val="3"/>
        <charset val="134"/>
      </rPr>
      <t>地下二层</t>
    </r>
  </si>
  <si>
    <r>
      <rPr>
        <sz val="11"/>
        <color rgb="FF000000"/>
        <rFont val="宋体"/>
        <family val="3"/>
        <charset val="134"/>
      </rPr>
      <t>地下一层</t>
    </r>
  </si>
  <si>
    <r>
      <t>S1</t>
    </r>
    <r>
      <rPr>
        <sz val="11"/>
        <color rgb="FF000000"/>
        <rFont val="宋体"/>
        <family val="3"/>
        <charset val="134"/>
      </rPr>
      <t>商业设施及地下室</t>
    </r>
    <phoneticPr fontId="135" type="noConversion"/>
  </si>
  <si>
    <r>
      <rPr>
        <sz val="11"/>
        <color rgb="FF000000"/>
        <rFont val="宋体"/>
        <family val="3"/>
        <charset val="134"/>
      </rPr>
      <t>地下车库可出租</t>
    </r>
  </si>
  <si>
    <r>
      <rPr>
        <sz val="11"/>
        <color rgb="FF000000"/>
        <rFont val="宋体"/>
        <family val="3"/>
        <charset val="134"/>
      </rPr>
      <t>地上商业可出租</t>
    </r>
  </si>
  <si>
    <r>
      <t>S2</t>
    </r>
    <r>
      <rPr>
        <sz val="11"/>
        <color rgb="FF000000"/>
        <rFont val="宋体"/>
        <family val="3"/>
        <charset val="134"/>
      </rPr>
      <t>商业设施及地下室</t>
    </r>
    <phoneticPr fontId="135" type="noConversion"/>
  </si>
  <si>
    <r>
      <rPr>
        <sz val="10.5"/>
        <color rgb="FF000000"/>
        <rFont val="宋体"/>
        <family val="3"/>
        <charset val="134"/>
      </rPr>
      <t>合计</t>
    </r>
  </si>
  <si>
    <r>
      <rPr>
        <sz val="10.5"/>
        <color rgb="FF000000"/>
        <rFont val="宋体"/>
        <family val="3"/>
        <charset val="134"/>
      </rPr>
      <t>地下车库可出租</t>
    </r>
  </si>
  <si>
    <r>
      <rPr>
        <sz val="10.5"/>
        <color rgb="FF000000"/>
        <rFont val="宋体"/>
        <family val="3"/>
        <charset val="134"/>
      </rPr>
      <t>地上商业可出租</t>
    </r>
  </si>
  <si>
    <r>
      <rPr>
        <sz val="11"/>
        <color rgb="FF000000"/>
        <rFont val="宋体"/>
        <family val="3"/>
        <charset val="134"/>
      </rPr>
      <t>建筑面积</t>
    </r>
    <r>
      <rPr>
        <sz val="11"/>
        <color rgb="FF000000"/>
        <rFont val="Arial"/>
        <family val="2"/>
      </rPr>
      <t>(</t>
    </r>
    <r>
      <rPr>
        <sz val="11"/>
        <color rgb="FF000000"/>
        <rFont val="宋体"/>
        <family val="3"/>
        <charset val="134"/>
      </rPr>
      <t>平方米</t>
    </r>
    <r>
      <rPr>
        <sz val="11"/>
        <color rgb="FF000000"/>
        <rFont val="Arial"/>
        <family val="2"/>
      </rPr>
      <t>)</t>
    </r>
  </si>
  <si>
    <r>
      <rPr>
        <sz val="11"/>
        <color rgb="FF000000"/>
        <rFont val="宋体"/>
        <family val="3"/>
        <charset val="134"/>
      </rPr>
      <t>大族广场</t>
    </r>
    <r>
      <rPr>
        <sz val="11"/>
        <color rgb="FF000000"/>
        <rFont val="Arial"/>
        <family val="2"/>
      </rPr>
      <t>Tl#</t>
    </r>
    <r>
      <rPr>
        <sz val="11"/>
        <color rgb="FF000000"/>
        <rFont val="宋体"/>
        <family val="3"/>
        <charset val="134"/>
      </rPr>
      <t>办公楼</t>
    </r>
  </si>
  <si>
    <r>
      <rPr>
        <sz val="11"/>
        <color rgb="FF000000"/>
        <rFont val="宋体"/>
        <family val="3"/>
        <charset val="134"/>
      </rPr>
      <t>大族广场</t>
    </r>
    <r>
      <rPr>
        <sz val="11"/>
        <color rgb="FF000000"/>
        <rFont val="Arial"/>
        <family val="2"/>
      </rPr>
      <t>S1#</t>
    </r>
    <r>
      <rPr>
        <sz val="11"/>
        <color rgb="FF000000"/>
        <rFont val="宋体"/>
        <family val="3"/>
        <charset val="134"/>
      </rPr>
      <t>楼</t>
    </r>
    <r>
      <rPr>
        <sz val="11"/>
        <color rgb="FF000000"/>
        <rFont val="Arial"/>
        <family val="2"/>
      </rPr>
      <t>1-3</t>
    </r>
    <r>
      <rPr>
        <sz val="11"/>
        <color rgb="FF000000"/>
        <rFont val="宋体"/>
        <family val="3"/>
        <charset val="134"/>
      </rPr>
      <t>层</t>
    </r>
  </si>
  <si>
    <r>
      <rPr>
        <sz val="11"/>
        <color rgb="FF000000"/>
        <rFont val="宋体"/>
        <family val="3"/>
        <charset val="134"/>
      </rPr>
      <t>大族广场</t>
    </r>
    <r>
      <rPr>
        <sz val="11"/>
        <color rgb="FF000000"/>
        <rFont val="Arial"/>
        <family val="2"/>
      </rPr>
      <t>S1#</t>
    </r>
    <r>
      <rPr>
        <sz val="11"/>
        <color rgb="FF000000"/>
        <rFont val="宋体"/>
        <family val="3"/>
        <charset val="134"/>
      </rPr>
      <t>楼地下室</t>
    </r>
  </si>
  <si>
    <r>
      <rPr>
        <sz val="11"/>
        <color rgb="FF000000"/>
        <rFont val="宋体"/>
        <family val="3"/>
        <charset val="134"/>
      </rPr>
      <t>大族广场</t>
    </r>
    <r>
      <rPr>
        <sz val="11"/>
        <color rgb="FF000000"/>
        <rFont val="Arial"/>
        <family val="2"/>
      </rPr>
      <t>T2#</t>
    </r>
    <r>
      <rPr>
        <sz val="11"/>
        <color rgb="FF000000"/>
        <rFont val="宋体"/>
        <family val="3"/>
        <charset val="134"/>
      </rPr>
      <t>办公楼</t>
    </r>
  </si>
  <si>
    <r>
      <rPr>
        <sz val="11"/>
        <color rgb="FF000000"/>
        <rFont val="宋体"/>
        <family val="3"/>
        <charset val="134"/>
      </rPr>
      <t>大族广场</t>
    </r>
    <r>
      <rPr>
        <sz val="11"/>
        <color rgb="FF000000"/>
        <rFont val="Arial"/>
        <family val="2"/>
      </rPr>
      <t>S2#</t>
    </r>
    <r>
      <rPr>
        <sz val="11"/>
        <color rgb="FF000000"/>
        <rFont val="宋体"/>
        <family val="3"/>
        <charset val="134"/>
      </rPr>
      <t>楼</t>
    </r>
    <r>
      <rPr>
        <sz val="11"/>
        <color rgb="FF000000"/>
        <rFont val="Arial"/>
        <family val="2"/>
      </rPr>
      <t>1-3</t>
    </r>
    <r>
      <rPr>
        <sz val="11"/>
        <color rgb="FF000000"/>
        <rFont val="宋体"/>
        <family val="3"/>
        <charset val="134"/>
      </rPr>
      <t>层</t>
    </r>
  </si>
  <si>
    <r>
      <rPr>
        <sz val="11"/>
        <color rgb="FF000000"/>
        <rFont val="宋体"/>
        <family val="3"/>
        <charset val="134"/>
      </rPr>
      <t>大族广场</t>
    </r>
    <r>
      <rPr>
        <sz val="11"/>
        <color rgb="FF000000"/>
        <rFont val="Arial"/>
        <family val="2"/>
      </rPr>
      <t>S2#</t>
    </r>
    <r>
      <rPr>
        <sz val="11"/>
        <color rgb="FF000000"/>
        <rFont val="宋体"/>
        <family val="3"/>
        <charset val="134"/>
      </rPr>
      <t>楼地下室</t>
    </r>
  </si>
  <si>
    <r>
      <rPr>
        <sz val="11"/>
        <color rgb="FF000000"/>
        <rFont val="宋体"/>
        <family val="3"/>
        <charset val="134"/>
      </rPr>
      <t>大族广场</t>
    </r>
    <r>
      <rPr>
        <sz val="11"/>
        <color rgb="FF000000"/>
        <rFont val="Arial"/>
        <family val="2"/>
      </rPr>
      <t>T3#</t>
    </r>
    <r>
      <rPr>
        <sz val="11"/>
        <color rgb="FF000000"/>
        <rFont val="宋体"/>
        <family val="3"/>
        <charset val="134"/>
      </rPr>
      <t>办公楼</t>
    </r>
  </si>
  <si>
    <r>
      <rPr>
        <sz val="11"/>
        <color rgb="FF000000"/>
        <rFont val="宋体"/>
        <family val="3"/>
        <charset val="134"/>
      </rPr>
      <t>大族广场</t>
    </r>
    <r>
      <rPr>
        <sz val="11"/>
        <color rgb="FF000000"/>
        <rFont val="Arial"/>
        <family val="2"/>
      </rPr>
      <t>T4#</t>
    </r>
    <r>
      <rPr>
        <sz val="11"/>
        <color rgb="FF000000"/>
        <rFont val="宋体"/>
        <family val="3"/>
        <charset val="134"/>
      </rPr>
      <t>办公楼</t>
    </r>
  </si>
  <si>
    <r>
      <rPr>
        <sz val="11"/>
        <color rgb="FF000000"/>
        <rFont val="宋体"/>
        <family val="3"/>
        <charset val="134"/>
      </rPr>
      <t>大族广场</t>
    </r>
    <r>
      <rPr>
        <sz val="11"/>
        <color rgb="FF000000"/>
        <rFont val="Arial"/>
        <family val="2"/>
      </rPr>
      <t>S3#</t>
    </r>
    <r>
      <rPr>
        <sz val="11"/>
        <color rgb="FF000000"/>
        <rFont val="宋体"/>
        <family val="3"/>
        <charset val="134"/>
      </rPr>
      <t>楼</t>
    </r>
    <r>
      <rPr>
        <sz val="11"/>
        <color rgb="FF000000"/>
        <rFont val="Arial"/>
        <family val="2"/>
      </rPr>
      <t>1-3</t>
    </r>
    <r>
      <rPr>
        <sz val="11"/>
        <color rgb="FF000000"/>
        <rFont val="宋体"/>
        <family val="3"/>
        <charset val="134"/>
      </rPr>
      <t>层</t>
    </r>
  </si>
  <si>
    <r>
      <rPr>
        <sz val="11"/>
        <color rgb="FF000000"/>
        <rFont val="宋体"/>
        <family val="3"/>
        <charset val="134"/>
      </rPr>
      <t>大族广场</t>
    </r>
    <r>
      <rPr>
        <sz val="11"/>
        <color rgb="FF000000"/>
        <rFont val="Arial"/>
        <family val="2"/>
      </rPr>
      <t>S3#</t>
    </r>
    <r>
      <rPr>
        <sz val="11"/>
        <color rgb="FF000000"/>
        <rFont val="宋体"/>
        <family val="3"/>
        <charset val="134"/>
      </rPr>
      <t>楼地下室</t>
    </r>
  </si>
  <si>
    <r>
      <rPr>
        <sz val="11"/>
        <color rgb="FF000000"/>
        <rFont val="宋体"/>
        <family val="3"/>
        <charset val="134"/>
      </rPr>
      <t>大族广场</t>
    </r>
    <r>
      <rPr>
        <sz val="11"/>
        <color rgb="FF000000"/>
        <rFont val="Arial"/>
        <family val="2"/>
      </rPr>
      <t>T5#</t>
    </r>
    <r>
      <rPr>
        <sz val="11"/>
        <color rgb="FF000000"/>
        <rFont val="宋体"/>
        <family val="3"/>
        <charset val="134"/>
      </rPr>
      <t>办公楼</t>
    </r>
  </si>
  <si>
    <r>
      <rPr>
        <sz val="11"/>
        <color rgb="FF000000"/>
        <rFont val="宋体"/>
        <family val="3"/>
        <charset val="134"/>
      </rPr>
      <t>大族广场</t>
    </r>
    <r>
      <rPr>
        <sz val="11"/>
        <color rgb="FF000000"/>
        <rFont val="Arial"/>
        <family val="2"/>
      </rPr>
      <t>T6#</t>
    </r>
    <r>
      <rPr>
        <sz val="11"/>
        <color rgb="FF000000"/>
        <rFont val="宋体"/>
        <family val="3"/>
        <charset val="134"/>
      </rPr>
      <t>办公楼</t>
    </r>
  </si>
  <si>
    <r>
      <rPr>
        <sz val="11"/>
        <color rgb="FF000000"/>
        <rFont val="宋体"/>
        <family val="3"/>
        <charset val="134"/>
      </rPr>
      <t>大族广场</t>
    </r>
    <r>
      <rPr>
        <sz val="11"/>
        <color rgb="FF000000"/>
        <rFont val="Arial"/>
        <family val="2"/>
      </rPr>
      <t>S4#</t>
    </r>
    <r>
      <rPr>
        <sz val="11"/>
        <color rgb="FF000000"/>
        <rFont val="宋体"/>
        <family val="3"/>
        <charset val="134"/>
      </rPr>
      <t>楼</t>
    </r>
    <r>
      <rPr>
        <sz val="11"/>
        <color rgb="FF000000"/>
        <rFont val="Arial"/>
        <family val="2"/>
      </rPr>
      <t>1</t>
    </r>
    <r>
      <rPr>
        <sz val="11"/>
        <color rgb="FF000000"/>
        <rFont val="宋体"/>
        <family val="3"/>
        <charset val="134"/>
      </rPr>
      <t>层</t>
    </r>
  </si>
  <si>
    <r>
      <rPr>
        <sz val="11"/>
        <color rgb="FF000000"/>
        <rFont val="宋体"/>
        <family val="3"/>
        <charset val="134"/>
      </rPr>
      <t>大族广场</t>
    </r>
    <r>
      <rPr>
        <sz val="11"/>
        <color rgb="FF000000"/>
        <rFont val="Arial"/>
        <family val="2"/>
      </rPr>
      <t>S4#</t>
    </r>
    <r>
      <rPr>
        <sz val="11"/>
        <color rgb="FF000000"/>
        <rFont val="宋体"/>
        <family val="3"/>
        <charset val="134"/>
      </rPr>
      <t>楼地下室</t>
    </r>
  </si>
  <si>
    <r>
      <rPr>
        <sz val="11"/>
        <color rgb="FF000000"/>
        <rFont val="宋体"/>
        <family val="3"/>
        <charset val="134"/>
      </rPr>
      <t>建筑面积</t>
    </r>
    <r>
      <rPr>
        <sz val="11"/>
        <color rgb="FF000000"/>
        <rFont val="Arial"/>
        <family val="2"/>
      </rPr>
      <t>(</t>
    </r>
    <r>
      <rPr>
        <sz val="11"/>
        <color rgb="FF000000"/>
        <rFont val="宋体"/>
        <family val="3"/>
        <charset val="134"/>
      </rPr>
      <t>平方</t>
    </r>
  </si>
  <si>
    <r>
      <rPr>
        <sz val="11"/>
        <color rgb="FF000000"/>
        <rFont val="宋体"/>
        <family val="3"/>
        <charset val="134"/>
      </rPr>
      <t>人防及设备</t>
    </r>
    <r>
      <rPr>
        <sz val="11"/>
        <color rgb="FF000000"/>
        <rFont val="Arial"/>
        <family val="2"/>
      </rPr>
      <t>(</t>
    </r>
    <r>
      <rPr>
        <sz val="11"/>
        <color rgb="FF000000"/>
        <rFont val="宋体"/>
        <family val="3"/>
        <charset val="134"/>
      </rPr>
      <t>平方</t>
    </r>
  </si>
  <si>
    <r>
      <rPr>
        <sz val="11"/>
        <color rgb="FF000000"/>
        <rFont val="宋体"/>
        <family val="3"/>
        <charset val="134"/>
      </rPr>
      <t>可出租面积</t>
    </r>
    <r>
      <rPr>
        <sz val="11"/>
        <color rgb="FF000000"/>
        <rFont val="Arial"/>
        <family val="2"/>
      </rPr>
      <t>(</t>
    </r>
    <r>
      <rPr>
        <sz val="11"/>
        <color rgb="FF000000"/>
        <rFont val="宋体"/>
        <family val="3"/>
        <charset val="134"/>
      </rPr>
      <t>平方</t>
    </r>
  </si>
  <si>
    <r>
      <rPr>
        <sz val="11"/>
        <color rgb="FF000000"/>
        <rFont val="宋体"/>
        <family val="3"/>
        <charset val="134"/>
      </rPr>
      <t>米</t>
    </r>
    <r>
      <rPr>
        <sz val="11"/>
        <color rgb="FF000000"/>
        <rFont val="Arial"/>
        <family val="2"/>
      </rPr>
      <t xml:space="preserve"> )</t>
    </r>
  </si>
  <si>
    <r>
      <rPr>
        <sz val="11"/>
        <color rgb="FF000000"/>
        <rFont val="宋体"/>
        <family val="3"/>
        <charset val="134"/>
      </rPr>
      <t>附属用房</t>
    </r>
    <r>
      <rPr>
        <sz val="11"/>
        <color rgb="FF000000"/>
        <rFont val="Arial"/>
        <family val="2"/>
      </rPr>
      <t xml:space="preserve"> </t>
    </r>
    <r>
      <rPr>
        <sz val="11"/>
        <color rgb="FF000000"/>
        <rFont val="宋体"/>
        <family val="3"/>
        <charset val="134"/>
      </rPr>
      <t>层</t>
    </r>
  </si>
  <si>
    <r>
      <rPr>
        <sz val="11"/>
        <color theme="1"/>
        <rFont val="宋体"/>
        <family val="3"/>
        <charset val="134"/>
      </rPr>
      <t>建面</t>
    </r>
    <phoneticPr fontId="135" type="noConversion"/>
  </si>
  <si>
    <r>
      <rPr>
        <sz val="11"/>
        <color theme="1"/>
        <rFont val="宋体"/>
        <family val="3"/>
        <charset val="134"/>
      </rPr>
      <t>出租面</t>
    </r>
    <phoneticPr fontId="135" type="noConversion"/>
  </si>
  <si>
    <r>
      <t>S3</t>
    </r>
    <r>
      <rPr>
        <sz val="11"/>
        <color rgb="FF000000"/>
        <rFont val="宋体"/>
        <family val="3"/>
        <charset val="134"/>
      </rPr>
      <t>商业设施及地</t>
    </r>
    <r>
      <rPr>
        <sz val="11"/>
        <color rgb="FF000000"/>
        <rFont val="宋体"/>
        <family val="3"/>
        <charset val="134"/>
      </rPr>
      <t>下室</t>
    </r>
    <phoneticPr fontId="135" type="noConversion"/>
  </si>
  <si>
    <r>
      <t>S4</t>
    </r>
    <r>
      <rPr>
        <sz val="11"/>
        <color rgb="FF000000"/>
        <rFont val="宋体"/>
        <family val="3"/>
        <charset val="134"/>
      </rPr>
      <t>商业设施及地</t>
    </r>
    <r>
      <rPr>
        <sz val="11"/>
        <color rgb="FF000000"/>
        <rFont val="宋体"/>
        <family val="3"/>
        <charset val="134"/>
      </rPr>
      <t>下室</t>
    </r>
    <phoneticPr fontId="135" type="noConversion"/>
  </si>
  <si>
    <r>
      <rPr>
        <b/>
        <sz val="11"/>
        <color theme="1"/>
        <rFont val="宋体"/>
        <family val="3"/>
        <charset val="134"/>
      </rPr>
      <t>附属用房</t>
    </r>
    <phoneticPr fontId="135" type="noConversion"/>
  </si>
  <si>
    <r>
      <rPr>
        <b/>
        <sz val="11"/>
        <color theme="1"/>
        <rFont val="宋体"/>
        <family val="3"/>
        <charset val="134"/>
      </rPr>
      <t>地下</t>
    </r>
    <r>
      <rPr>
        <b/>
        <sz val="11"/>
        <color theme="1"/>
        <rFont val="Arial"/>
        <family val="2"/>
      </rPr>
      <t>1</t>
    </r>
    <r>
      <rPr>
        <b/>
        <sz val="11"/>
        <color theme="1"/>
        <rFont val="宋体"/>
        <family val="3"/>
        <charset val="134"/>
      </rPr>
      <t>层</t>
    </r>
    <phoneticPr fontId="135" type="noConversion"/>
  </si>
  <si>
    <r>
      <rPr>
        <b/>
        <sz val="11"/>
        <color theme="1"/>
        <rFont val="宋体"/>
        <family val="3"/>
        <charset val="134"/>
      </rPr>
      <t>地下</t>
    </r>
    <r>
      <rPr>
        <b/>
        <sz val="11"/>
        <color theme="1"/>
        <rFont val="Arial"/>
        <family val="2"/>
      </rPr>
      <t>2</t>
    </r>
    <r>
      <rPr>
        <b/>
        <sz val="11"/>
        <color theme="1"/>
        <rFont val="宋体"/>
        <family val="3"/>
        <charset val="134"/>
      </rPr>
      <t>层</t>
    </r>
    <phoneticPr fontId="135" type="noConversion"/>
  </si>
  <si>
    <t>地上商业</t>
    <phoneticPr fontId="135" type="noConversion"/>
  </si>
  <si>
    <t>地下车库</t>
    <phoneticPr fontId="135" type="noConversion"/>
  </si>
  <si>
    <t>是</t>
  </si>
  <si>
    <t>公共服务</t>
  </si>
  <si>
    <t>地上小计</t>
    <phoneticPr fontId="135" type="noConversion"/>
  </si>
  <si>
    <t>地下小计</t>
    <phoneticPr fontId="135" type="noConversion"/>
  </si>
  <si>
    <r>
      <rPr>
        <b/>
        <sz val="11"/>
        <color theme="1"/>
        <rFont val="宋体"/>
        <family val="3"/>
        <charset val="134"/>
      </rPr>
      <t>合计</t>
    </r>
    <phoneticPr fontId="135" type="noConversion"/>
  </si>
  <si>
    <r>
      <rPr>
        <sz val="11"/>
        <color theme="1"/>
        <rFont val="宋体"/>
        <family val="3"/>
        <charset val="134"/>
      </rPr>
      <t>建面</t>
    </r>
    <phoneticPr fontId="135" type="noConversion"/>
  </si>
  <si>
    <r>
      <rPr>
        <sz val="11"/>
        <color theme="1"/>
        <rFont val="宋体"/>
        <family val="3"/>
        <charset val="134"/>
      </rPr>
      <t>出租面</t>
    </r>
    <phoneticPr fontId="135" type="noConversion"/>
  </si>
  <si>
    <t>宗地容积率</t>
  </si>
  <si>
    <t>Ⅵ-亦1</t>
  </si>
  <si>
    <t>不临65条商业街</t>
  </si>
  <si>
    <t>通路</t>
  </si>
  <si>
    <t>通电</t>
  </si>
  <si>
    <t>通讯</t>
  </si>
  <si>
    <t>通上水</t>
  </si>
  <si>
    <t>通下水</t>
  </si>
  <si>
    <t>燃气</t>
  </si>
  <si>
    <t>平整</t>
  </si>
  <si>
    <t>中心城区以外</t>
  </si>
  <si>
    <t>商业</t>
    <phoneticPr fontId="8" type="noConversion"/>
  </si>
  <si>
    <t>办公</t>
    <phoneticPr fontId="8" type="noConversion"/>
  </si>
  <si>
    <t>地下车库</t>
    <phoneticPr fontId="8"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</si>
  <si>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</si>
  <si>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</si>
  <si>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</si>
  <si>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</si>
  <si>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</si>
  <si>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</si>
  <si>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</si>
  <si>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</si>
  <si>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</si>
  <si>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</si>
  <si>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</si>
  <si>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</si>
  <si>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</si>
  <si>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</si>
  <si>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</si>
  <si>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</si>
  <si>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</si>
  <si>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</si>
  <si>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</si>
  <si>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</si>
  <si>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</si>
  <si>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成新度</t>
  </si>
  <si>
    <t>较好</t>
  </si>
  <si>
    <t>一般</t>
  </si>
  <si>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荣京东街</t>
    </r>
    <phoneticPr fontId="25" type="noConversion"/>
  </si>
  <si>
    <t>收益法</t>
  </si>
  <si>
    <t>系数</t>
    <phoneticPr fontId="135" type="noConversion"/>
  </si>
  <si>
    <t>押一</t>
  </si>
  <si>
    <t>钢混</t>
  </si>
  <si>
    <t>非生产用房</t>
  </si>
  <si>
    <t>否</t>
  </si>
  <si>
    <t>收益法办</t>
  </si>
  <si>
    <t>收益法办</t>
    <phoneticPr fontId="17" type="noConversion"/>
  </si>
  <si>
    <t>现房</t>
  </si>
  <si>
    <t>项目全部</t>
  </si>
  <si>
    <t>成本法</t>
  </si>
  <si>
    <t>收益法（汇总）</t>
  </si>
  <si>
    <t>总价</t>
  </si>
  <si>
    <t>成本比率</t>
  </si>
  <si>
    <t>地下车库</t>
  </si>
  <si>
    <t>收益法车</t>
  </si>
  <si>
    <t>收益法车</t>
    <phoneticPr fontId="17" type="noConversion"/>
  </si>
  <si>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</si>
  <si>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</si>
  <si>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</si>
  <si>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</si>
  <si>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</si>
  <si>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</si>
  <si>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</si>
  <si>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</si>
  <si>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</si>
  <si>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</si>
  <si>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</si>
  <si>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</si>
  <si>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</si>
  <si>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</si>
  <si>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</si>
  <si>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</si>
  <si>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</si>
  <si>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</si>
  <si>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</si>
  <si>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</si>
  <si>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</si>
  <si>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</si>
  <si>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</si>
  <si>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</si>
  <si>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</si>
  <si>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</si>
  <si>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</si>
  <si>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</si>
  <si>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</si>
  <si>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</si>
  <si>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</si>
  <si>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</si>
  <si>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</si>
  <si>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</si>
  <si>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</si>
  <si>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</si>
  <si>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</si>
  <si>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</si>
  <si>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</si>
  <si>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</si>
  <si>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</si>
  <si>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</si>
  <si>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</si>
  <si>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</si>
  <si>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</si>
  <si>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</si>
  <si>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</si>
  <si>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</si>
  <si>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</si>
  <si>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</si>
  <si>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</si>
  <si>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</si>
  <si>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</si>
  <si>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</si>
  <si>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</si>
  <si>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</si>
  <si>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</si>
  <si>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</si>
  <si>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</si>
  <si>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</si>
  <si>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</si>
  <si>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</si>
  <si>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</si>
  <si>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</si>
  <si>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</si>
  <si>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</si>
  <si>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</si>
  <si>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</si>
  <si>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</si>
  <si>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</si>
  <si>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</si>
  <si>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</si>
  <si>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</si>
  <si>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</si>
  <si>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</si>
  <si>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</si>
  <si>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</si>
  <si>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</si>
  <si>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</si>
  <si>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max空港企业园15#1-3</t>
    <phoneticPr fontId="4" type="noConversion"/>
  </si>
  <si>
    <t xml:space="preserve">	顺义区空港工业区B区裕华路</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</si>
  <si>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</si>
  <si>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</si>
  <si>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</si>
  <si>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</si>
  <si>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</si>
  <si>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</si>
  <si>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</si>
  <si>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</si>
  <si>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</si>
  <si>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</si>
  <si>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</si>
  <si>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</si>
  <si>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</si>
  <si>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</si>
  <si>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</si>
  <si>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</si>
  <si>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</si>
  <si>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</si>
  <si>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</si>
  <si>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</si>
  <si>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</si>
  <si>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</si>
  <si>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</si>
  <si>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</si>
  <si>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</si>
  <si>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</si>
  <si>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</si>
  <si>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</si>
  <si>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</si>
  <si>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</si>
  <si>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地上4地下1层</t>
    <phoneticPr fontId="4" type="noConversion"/>
  </si>
  <si>
    <t>电子城科技园401楼</t>
    <phoneticPr fontId="4" type="noConversion"/>
  </si>
  <si>
    <t>朝阳区酒仙桥9号院电子城401楼</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</si>
  <si>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</si>
  <si>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</si>
  <si>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</si>
  <si>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</si>
  <si>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</si>
  <si>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首钢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</si>
  <si>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</si>
  <si>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</si>
  <si>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</si>
  <si>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</si>
  <si>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</si>
  <si>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</si>
  <si>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</si>
  <si>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</si>
  <si>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</si>
  <si>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</si>
  <si>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</si>
  <si>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</si>
  <si>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</si>
  <si>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</si>
  <si>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</si>
  <si>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</si>
  <si>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</si>
  <si>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西山</t>
    <phoneticPr fontId="4" type="noConversion"/>
  </si>
  <si>
    <t>科研办公楼</t>
    <phoneticPr fontId="4" type="noConversion"/>
  </si>
  <si>
    <t>B1至3层</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</si>
  <si>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</si>
  <si>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</si>
  <si>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</si>
  <si>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</si>
  <si>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</si>
  <si>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</si>
  <si>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</si>
  <si>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</si>
  <si>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</si>
  <si>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</si>
  <si>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</si>
  <si>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</si>
  <si>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</si>
  <si>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</si>
  <si>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</si>
  <si>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</si>
  <si>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</si>
  <si>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</si>
  <si>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</si>
  <si>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</si>
  <si>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</si>
  <si>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</si>
  <si>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</si>
  <si>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</si>
  <si>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</si>
  <si>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</si>
  <si>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</si>
  <si>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</si>
  <si>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</si>
  <si>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</si>
  <si>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</si>
  <si>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</si>
  <si>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</si>
  <si>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</si>
  <si>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</si>
  <si>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</si>
  <si>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</si>
  <si>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</si>
  <si>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</si>
  <si>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</si>
  <si>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</si>
  <si>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</si>
  <si>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</si>
  <si>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</si>
  <si>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</si>
  <si>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</si>
  <si>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</si>
  <si>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</si>
  <si>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</si>
  <si>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</si>
  <si>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</si>
  <si>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</si>
  <si>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</si>
  <si>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</si>
  <si>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</si>
  <si>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</si>
  <si>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</si>
  <si>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</si>
  <si>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</si>
  <si>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</si>
  <si>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</si>
  <si>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</si>
  <si>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</si>
  <si>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</si>
  <si>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</si>
  <si>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</si>
  <si>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</si>
  <si>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</si>
  <si>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</si>
  <si>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</si>
  <si>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</si>
  <si>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</si>
  <si>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</si>
  <si>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</si>
  <si>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</si>
  <si>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</si>
  <si>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</si>
  <si>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</si>
  <si>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</si>
  <si>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</si>
  <si>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</si>
  <si>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</si>
  <si>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</si>
  <si>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</si>
  <si>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</si>
  <si>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</si>
  <si>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</si>
  <si>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</si>
  <si>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</si>
  <si>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</si>
  <si>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</si>
  <si>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</si>
  <si>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</si>
  <si>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</si>
  <si>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</si>
  <si>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</si>
  <si>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</si>
  <si>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</si>
  <si>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</si>
  <si>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</si>
  <si>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</si>
  <si>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</si>
  <si>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</si>
  <si>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</si>
  <si>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</si>
  <si>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</si>
  <si>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</si>
  <si>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</si>
  <si>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</si>
  <si>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</si>
  <si>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</si>
  <si>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</si>
  <si>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</si>
  <si>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正常</t>
  </si>
  <si>
    <t>科研（办公）</t>
  </si>
  <si>
    <t>科研（办公）</t>
    <phoneticPr fontId="32" type="noConversion"/>
  </si>
  <si>
    <t>工业（办公）</t>
  </si>
  <si>
    <t>工业（办公）</t>
    <phoneticPr fontId="32" type="noConversion"/>
  </si>
  <si>
    <t>东北旺西路8号中关村软件园10号楼研发用途（国永融通大厦）</t>
    <phoneticPr fontId="4" type="noConversion"/>
  </si>
  <si>
    <t>较差</t>
  </si>
  <si>
    <t>七通</t>
  </si>
  <si>
    <t>项目模式</t>
  </si>
  <si>
    <t>售价</t>
  </si>
  <si>
    <t>比较法-办公</t>
  </si>
  <si>
    <t>情况3</t>
  </si>
  <si>
    <t>自行开发建设</t>
  </si>
  <si>
    <t>非个人房产</t>
  </si>
  <si>
    <t>高速路</t>
    <phoneticPr fontId="4" type="noConversion"/>
  </si>
  <si>
    <t>快速路</t>
    <phoneticPr fontId="4" type="noConversion"/>
  </si>
  <si>
    <t>主干道</t>
    <phoneticPr fontId="4" type="noConversion"/>
  </si>
  <si>
    <t>次干道</t>
    <phoneticPr fontId="4" type="noConversion"/>
  </si>
  <si>
    <t>支路</t>
    <phoneticPr fontId="4" type="noConversion"/>
  </si>
  <si>
    <t>精装修</t>
  </si>
  <si>
    <t>普通装修</t>
  </si>
  <si>
    <t>简单装修</t>
  </si>
  <si>
    <t>毛坯</t>
  </si>
  <si>
    <t>专业物业</t>
  </si>
  <si>
    <t>普通物业</t>
  </si>
  <si>
    <t>六通</t>
  </si>
  <si>
    <t>五通</t>
  </si>
  <si>
    <t>四通</t>
  </si>
  <si>
    <t>三通</t>
  </si>
  <si>
    <t>地下面积占比</t>
  </si>
  <si>
    <t>0-10%</t>
    <phoneticPr fontId="4" type="noConversion"/>
  </si>
  <si>
    <t>10-20%</t>
    <phoneticPr fontId="4" type="noConversion"/>
  </si>
  <si>
    <t>20-30%</t>
    <phoneticPr fontId="4" type="noConversion"/>
  </si>
  <si>
    <t>30-40%</t>
    <phoneticPr fontId="4" type="noConversion"/>
  </si>
  <si>
    <r>
      <rPr>
        <sz val="11"/>
        <color indexed="8"/>
        <rFont val="宋体"/>
        <family val="3"/>
        <charset val="134"/>
      </rPr>
      <t>大于4</t>
    </r>
    <r>
      <rPr>
        <sz val="11"/>
        <color indexed="8"/>
        <rFont val="Arial"/>
        <family val="2"/>
      </rPr>
      <t>0%</t>
    </r>
    <phoneticPr fontId="4" type="noConversion"/>
  </si>
  <si>
    <t>出让金+开发费</t>
  </si>
  <si>
    <t>企业提供（在右侧录入）</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</si>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</sst>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5"/>
      <color rgb="FF000000"/>
      <name val="Arial"/>
      <family val="2"/>
    </font>
    <font>
      <sz val="11"/>
      <color rgb="FF000000"/>
      <name val="宋体"/>
      <family val="3"/>
      <charset val="134"/>
    </font>
    <font>
      <sz val="10.5"/>
      <color rgb="FF000000"/>
      <name val="宋体"/>
      <family val="3"/>
      <charset val="134"/>
    </font>
    <font>
      <sz val="1"/>
      <color rgb="FF000000"/>
      <name val="Arial"/>
      <family val="2"/>
    </font>
    <font>
      <sz val="11"/>
      <color rgb="FF000000"/>
      <name val="Arial"/>
      <family val="2"/>
    </font>
    <font>
      <sz val="9"/>
      <name val="Palatino Linotype"/>
      <family val="1"/>
    </font>
    <font>
      <sz val="10"/>
      <color rgb="FF000000"/>
      <name val="Times New Roman"/>
      <family val="1"/>
    </font>
    <font>
      <sz val="10"/>
      <name val="Calibri"/>
      <family val="3"/>
      <charset val="16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5" fillId="0" borderId="0"/>
    <xf numFmtId="191" fontId="96" fillId="0" borderId="0">
      <alignment vertical="center"/>
    </xf>
    <xf numFmtId="191" fontId="96" fillId="0" borderId="0">
      <alignment vertical="center"/>
    </xf>
    <xf numFmtId="191" fontId="96" fillId="0" borderId="0"/>
    <xf numFmtId="191" fontId="54" fillId="0" borderId="0"/>
    <xf numFmtId="9" fontId="160" fillId="0" borderId="0" applyFont="0" applyFill="0" applyBorder="0" applyAlignment="0" applyProtection="0">
      <alignment vertical="center"/>
    </xf>
    <xf numFmtId="0" fontId="222" fillId="0" borderId="0"/>
    <xf numFmtId="0" fontId="276"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90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70" fillId="0" borderId="0" xfId="0" applyFont="1">
      <alignment vertical="center"/>
    </xf>
    <xf numFmtId="0" fontId="270" fillId="0" borderId="1" xfId="0" applyFont="1" applyBorder="1" applyAlignment="1">
      <alignment vertical="center" wrapText="1"/>
    </xf>
    <xf numFmtId="0" fontId="273" fillId="0" borderId="0" xfId="0" applyFont="1">
      <alignment vertical="center"/>
    </xf>
    <xf numFmtId="0" fontId="274" fillId="0" borderId="1" xfId="0" applyFont="1" applyBorder="1" applyAlignment="1">
      <alignment horizontal="left" vertical="center" wrapText="1" indent="3"/>
    </xf>
    <xf numFmtId="0" fontId="274" fillId="0" borderId="1" xfId="0" applyFont="1" applyBorder="1" applyAlignment="1">
      <alignment horizontal="left" vertical="center" wrapText="1" indent="1"/>
    </xf>
    <xf numFmtId="0" fontId="99" fillId="0" borderId="1" xfId="0" applyFont="1" applyBorder="1">
      <alignment vertical="center"/>
    </xf>
    <xf numFmtId="0" fontId="274" fillId="0" borderId="1" xfId="0" applyFont="1" applyBorder="1" applyAlignment="1">
      <alignment horizontal="left" vertical="center" wrapText="1" indent="2"/>
    </xf>
    <xf numFmtId="0" fontId="274" fillId="5" borderId="1" xfId="0" applyFont="1" applyFill="1" applyBorder="1" applyAlignment="1">
      <alignment horizontal="left" vertical="center" wrapText="1" indent="1"/>
    </xf>
    <xf numFmtId="0" fontId="274" fillId="5" borderId="1" xfId="0" applyFont="1" applyFill="1" applyBorder="1" applyAlignment="1">
      <alignment vertical="center" wrapText="1"/>
    </xf>
    <xf numFmtId="0" fontId="274" fillId="5" borderId="1" xfId="0" applyFont="1" applyFill="1" applyBorder="1" applyAlignment="1">
      <alignment horizontal="left" vertical="center" wrapText="1" indent="3"/>
    </xf>
    <xf numFmtId="0" fontId="274" fillId="5" borderId="1" xfId="0" applyFont="1" applyFill="1" applyBorder="1" applyAlignment="1">
      <alignment horizontal="left" vertical="center" wrapText="1" indent="2"/>
    </xf>
    <xf numFmtId="0" fontId="274" fillId="0" borderId="1" xfId="0" applyFont="1" applyBorder="1" applyAlignment="1">
      <alignment vertical="center" wrapText="1"/>
    </xf>
    <xf numFmtId="0" fontId="99" fillId="0" borderId="1" xfId="0" applyFont="1" applyBorder="1" applyAlignment="1">
      <alignment vertical="top" wrapText="1"/>
    </xf>
    <xf numFmtId="0" fontId="270" fillId="0" borderId="1" xfId="0" applyFont="1" applyBorder="1" applyAlignment="1">
      <alignment horizontal="left" vertical="center" wrapText="1" indent="1"/>
    </xf>
    <xf numFmtId="0" fontId="99" fillId="22" borderId="1" xfId="0" applyFont="1" applyFill="1" applyBorder="1">
      <alignment vertical="center"/>
    </xf>
    <xf numFmtId="0" fontId="99" fillId="23" borderId="1" xfId="0" applyFont="1" applyFill="1" applyBorder="1">
      <alignment vertical="center"/>
    </xf>
    <xf numFmtId="0" fontId="99" fillId="14" borderId="1" xfId="0" applyFont="1" applyFill="1" applyBorder="1">
      <alignment vertical="center"/>
    </xf>
    <xf numFmtId="0" fontId="205" fillId="0" borderId="1" xfId="0" applyFont="1" applyBorder="1" applyAlignment="1">
      <alignment horizontal="left" vertical="center"/>
    </xf>
    <xf numFmtId="0" fontId="205" fillId="0" borderId="1" xfId="0" applyFont="1" applyBorder="1">
      <alignment vertical="center"/>
    </xf>
    <xf numFmtId="0" fontId="230" fillId="0" borderId="1" xfId="0" applyFont="1" applyBorder="1">
      <alignment vertical="center"/>
    </xf>
    <xf numFmtId="0" fontId="115" fillId="0" borderId="0" xfId="0" applyFont="1">
      <alignment vertical="center"/>
    </xf>
    <xf numFmtId="0" fontId="205" fillId="22" borderId="5" xfId="0" applyFont="1" applyFill="1" applyBorder="1" applyAlignment="1">
      <alignment horizontal="center" vertical="center"/>
    </xf>
    <xf numFmtId="0" fontId="205" fillId="22" borderId="3" xfId="0" applyFont="1" applyFill="1" applyBorder="1" applyAlignment="1">
      <alignment horizontal="center" vertical="center"/>
    </xf>
    <xf numFmtId="0" fontId="205" fillId="10" borderId="5" xfId="0" applyFont="1" applyFill="1" applyBorder="1" applyAlignment="1">
      <alignment horizontal="center" vertical="center"/>
    </xf>
    <xf numFmtId="0" fontId="205" fillId="10" borderId="3" xfId="0" applyFont="1" applyFill="1" applyBorder="1" applyAlignment="1">
      <alignment horizontal="center" vertical="center"/>
    </xf>
    <xf numFmtId="0" fontId="99" fillId="10" borderId="1" xfId="0" applyFont="1" applyFill="1" applyBorder="1">
      <alignment vertical="center"/>
    </xf>
    <xf numFmtId="0" fontId="205" fillId="23" borderId="5" xfId="0" applyFont="1" applyFill="1" applyBorder="1" applyAlignment="1">
      <alignment horizontal="center" vertical="center"/>
    </xf>
    <xf numFmtId="0" fontId="205" fillId="23" borderId="3" xfId="0" applyFont="1" applyFill="1" applyBorder="1" applyAlignment="1">
      <alignment horizontal="center" vertical="center"/>
    </xf>
    <xf numFmtId="0" fontId="205" fillId="14" borderId="5" xfId="0" applyFont="1" applyFill="1" applyBorder="1" applyAlignment="1">
      <alignment horizontal="center" vertical="center"/>
    </xf>
    <xf numFmtId="0" fontId="205" fillId="14" borderId="3" xfId="0" applyFont="1" applyFill="1" applyBorder="1" applyAlignment="1">
      <alignment horizontal="center" vertical="center"/>
    </xf>
    <xf numFmtId="0" fontId="205" fillId="22" borderId="1" xfId="0" applyFont="1" applyFill="1" applyBorder="1">
      <alignment vertical="center"/>
    </xf>
    <xf numFmtId="0" fontId="205" fillId="10" borderId="1" xfId="0" applyFont="1" applyFill="1" applyBorder="1">
      <alignment vertical="center"/>
    </xf>
    <xf numFmtId="0" fontId="205" fillId="23" borderId="1" xfId="0" applyFont="1" applyFill="1" applyBorder="1">
      <alignment vertical="center"/>
    </xf>
    <xf numFmtId="0" fontId="205" fillId="14" borderId="1" xfId="0" applyFont="1" applyFill="1" applyBorder="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0" fontId="54" fillId="0" borderId="8" xfId="1" applyFont="1" applyBorder="1" applyAlignment="1" applyProtection="1">
      <alignment horizontal="center" vertical="center"/>
      <protection locked="0"/>
    </xf>
    <xf numFmtId="10" fontId="45" fillId="0" borderId="61"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2" fontId="99" fillId="0" borderId="0" xfId="0" applyNumberFormat="1" applyFont="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0" fillId="0" borderId="1" xfId="12" applyFont="1" applyFill="1" applyBorder="1" applyAlignment="1">
      <alignment horizontal="center" vertical="center" wrapText="1"/>
    </xf>
    <xf numFmtId="176" fontId="20" fillId="0" borderId="1" xfId="12" applyNumberFormat="1" applyFont="1" applyFill="1" applyBorder="1" applyAlignment="1">
      <alignment horizontal="center" vertical="center" wrapText="1"/>
    </xf>
    <xf numFmtId="183" fontId="20" fillId="0" borderId="1" xfId="12" applyNumberFormat="1" applyFont="1" applyFill="1" applyBorder="1" applyAlignment="1">
      <alignment horizontal="center" vertical="center" wrapText="1"/>
    </xf>
    <xf numFmtId="0" fontId="160" fillId="0" borderId="0" xfId="12" applyFill="1"/>
    <xf numFmtId="0" fontId="20" fillId="24" borderId="1" xfId="12" applyFont="1" applyFill="1" applyBorder="1" applyAlignment="1">
      <alignment horizontal="center" vertical="center" wrapText="1"/>
    </xf>
    <xf numFmtId="0" fontId="20" fillId="24" borderId="1" xfId="12" applyFont="1" applyFill="1" applyBorder="1" applyAlignment="1">
      <alignment horizontal="center" vertical="center"/>
    </xf>
    <xf numFmtId="176" fontId="20" fillId="24" borderId="1" xfId="12" applyNumberFormat="1" applyFont="1" applyFill="1" applyBorder="1" applyAlignment="1">
      <alignment horizontal="center" vertical="center"/>
    </xf>
    <xf numFmtId="1" fontId="20" fillId="24" borderId="1" xfId="12" applyNumberFormat="1" applyFont="1" applyFill="1" applyBorder="1" applyAlignment="1">
      <alignment horizontal="center" vertical="center"/>
    </xf>
    <xf numFmtId="189" fontId="20" fillId="24" borderId="1" xfId="12" applyNumberFormat="1" applyFont="1" applyFill="1" applyBorder="1" applyAlignment="1">
      <alignment horizontal="center" vertical="center"/>
    </xf>
    <xf numFmtId="0" fontId="20" fillId="24" borderId="1" xfId="12" applyFont="1" applyFill="1" applyBorder="1" applyAlignment="1">
      <alignment horizontal="left" vertical="center"/>
    </xf>
    <xf numFmtId="9" fontId="20" fillId="24" borderId="1" xfId="36" applyFont="1" applyFill="1" applyBorder="1" applyAlignment="1">
      <alignment horizontal="center" vertical="center"/>
    </xf>
    <xf numFmtId="0" fontId="160" fillId="24" borderId="0" xfId="12" applyFill="1"/>
    <xf numFmtId="0" fontId="20" fillId="0" borderId="1" xfId="12" applyFont="1" applyFill="1" applyBorder="1" applyAlignment="1">
      <alignment horizontal="center" vertical="center"/>
    </xf>
    <xf numFmtId="176" fontId="20" fillId="0" borderId="1" xfId="12" applyNumberFormat="1" applyFont="1" applyFill="1" applyBorder="1" applyAlignment="1">
      <alignment horizontal="center" vertical="center"/>
    </xf>
    <xf numFmtId="183" fontId="20" fillId="0" borderId="1" xfId="12" applyNumberFormat="1" applyFont="1" applyFill="1" applyBorder="1" applyAlignment="1">
      <alignment horizontal="center" vertical="center"/>
    </xf>
    <xf numFmtId="0" fontId="20" fillId="0" borderId="1" xfId="12" applyFont="1" applyFill="1" applyBorder="1" applyAlignment="1">
      <alignment vertical="center" wrapText="1"/>
    </xf>
    <xf numFmtId="31" fontId="20" fillId="0" borderId="1" xfId="12" applyNumberFormat="1" applyFont="1" applyFill="1" applyBorder="1" applyAlignment="1">
      <alignment horizontal="center" vertical="center" wrapText="1"/>
    </xf>
    <xf numFmtId="1" fontId="20" fillId="0" borderId="1" xfId="12" applyNumberFormat="1" applyFont="1" applyFill="1" applyBorder="1" applyAlignment="1">
      <alignment horizontal="center" vertical="center"/>
    </xf>
    <xf numFmtId="0" fontId="20" fillId="0" borderId="1" xfId="12" applyFont="1" applyFill="1" applyBorder="1" applyAlignment="1">
      <alignment horizontal="left" vertical="center" wrapText="1"/>
    </xf>
    <xf numFmtId="9" fontId="20" fillId="0" borderId="1" xfId="36" applyFont="1" applyFill="1" applyBorder="1" applyAlignment="1">
      <alignment horizontal="center" vertical="center"/>
    </xf>
    <xf numFmtId="0" fontId="20" fillId="0" borderId="1" xfId="12" applyFont="1" applyFill="1" applyBorder="1" applyAlignment="1">
      <alignment horizontal="left" vertical="center"/>
    </xf>
    <xf numFmtId="1" fontId="20" fillId="0" borderId="1" xfId="12" applyNumberFormat="1" applyFont="1" applyFill="1" applyBorder="1" applyAlignment="1">
      <alignment horizontal="center" vertical="center" wrapText="1"/>
    </xf>
    <xf numFmtId="2" fontId="20" fillId="24" borderId="1" xfId="12" applyNumberFormat="1" applyFont="1" applyFill="1" applyBorder="1" applyAlignment="1">
      <alignment horizontal="center" vertical="center"/>
    </xf>
    <xf numFmtId="183" fontId="20" fillId="24" borderId="1" xfId="12" applyNumberFormat="1" applyFont="1" applyFill="1" applyBorder="1" applyAlignment="1">
      <alignment horizontal="center" vertical="center"/>
    </xf>
    <xf numFmtId="189" fontId="20" fillId="0" borderId="1" xfId="12" applyNumberFormat="1" applyFont="1" applyFill="1" applyBorder="1" applyAlignment="1">
      <alignment horizontal="center" vertical="center"/>
    </xf>
    <xf numFmtId="0" fontId="20" fillId="24" borderId="1" xfId="12" applyFont="1" applyFill="1" applyBorder="1" applyAlignment="1">
      <alignment vertical="center" wrapText="1"/>
    </xf>
    <xf numFmtId="31" fontId="20" fillId="24" borderId="1" xfId="12" applyNumberFormat="1" applyFont="1" applyFill="1" applyBorder="1" applyAlignment="1">
      <alignment horizontal="center" vertical="center" wrapText="1"/>
    </xf>
    <xf numFmtId="0" fontId="20" fillId="24" borderId="0" xfId="12" applyFont="1" applyFill="1" applyAlignment="1">
      <alignment horizontal="center" vertical="center"/>
    </xf>
    <xf numFmtId="0" fontId="20" fillId="0" borderId="13" xfId="12" applyFont="1" applyFill="1" applyBorder="1" applyAlignment="1">
      <alignment horizontal="center" vertical="center" wrapText="1"/>
    </xf>
    <xf numFmtId="189" fontId="20" fillId="0" borderId="13" xfId="12" applyNumberFormat="1" applyFont="1" applyFill="1" applyBorder="1" applyAlignment="1">
      <alignment horizontal="center" vertical="center" wrapText="1"/>
    </xf>
    <xf numFmtId="4" fontId="20" fillId="0" borderId="1" xfId="12" applyNumberFormat="1" applyFont="1" applyFill="1" applyBorder="1" applyAlignment="1">
      <alignment horizontal="center" vertical="center"/>
    </xf>
    <xf numFmtId="189" fontId="45" fillId="6" borderId="9"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48" fillId="8" borderId="5" xfId="0" applyFont="1" applyFill="1" applyBorder="1" applyAlignment="1" applyProtection="1">
      <alignment horizontal="left" vertical="center"/>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9" fontId="48" fillId="12" borderId="1" xfId="19" applyFont="1" applyFill="1" applyBorder="1" applyAlignment="1" applyProtection="1">
      <alignment horizontal="center" vertical="center"/>
      <protection locked="0"/>
    </xf>
    <xf numFmtId="9" fontId="45" fillId="0" borderId="41" xfId="17" applyFont="1" applyFill="1" applyBorder="1" applyAlignment="1" applyProtection="1">
      <alignment horizontal="center" vertical="center" wrapText="1"/>
      <protection locked="0"/>
    </xf>
    <xf numFmtId="181" fontId="45" fillId="0" borderId="41" xfId="17"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0" fillId="0" borderId="1" xfId="0" applyFont="1" applyBorder="1" applyAlignment="1">
      <alignment vertical="center" wrapText="1"/>
    </xf>
    <xf numFmtId="0" fontId="205" fillId="0" borderId="5" xfId="0" applyFont="1" applyBorder="1" applyAlignment="1">
      <alignment horizontal="center" vertical="center"/>
    </xf>
    <xf numFmtId="0" fontId="205" fillId="0" borderId="3" xfId="0" applyFont="1" applyBorder="1" applyAlignment="1">
      <alignment horizontal="center" vertical="center"/>
    </xf>
    <xf numFmtId="0" fontId="274" fillId="0" borderId="1" xfId="0" applyFont="1" applyBorder="1" applyAlignment="1">
      <alignment horizontal="left" vertical="center" wrapText="1" indent="1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 ca="1">'预评函-封皮'!B46</f>
        <v>郑燚（注册号：1120070131)、吴薇（注册号：1419970001)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估价对象为北京市房地产，为所有。根据《国有土地使用证》[]，估价对象（分摊）出让国有建设用地使用权面积为65012.5平方米，建筑面积为316967.99平方米。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估价对象为北京市房地产,为开发建设的，该项目尚在开发建设中。根据《国有土地使用证》[]，估价对象（分摊）出让国有建设用地使用权面积为65012.5平方米，规划建筑面积为316967.99平方米。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2024年5月9日（评估专业人员实地查勘之日）</v>
      </c>
    </row>
    <row r="13" spans="1:2" s="1199" customFormat="1">
      <c r="A13" s="1197" t="s">
        <v>529</v>
      </c>
      <c r="B13" s="1198" t="str">
        <f>'预评函-1'!A18</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621680</v>
      </c>
    </row>
    <row r="21" spans="1:2" s="1199" customFormat="1">
      <c r="A21" s="1197" t="s">
        <v>537</v>
      </c>
      <c r="B21" s="1198">
        <f ca="1">'预评函-2'!D7</f>
        <v>19613</v>
      </c>
    </row>
    <row r="22" spans="1:2" s="1199" customFormat="1">
      <c r="A22" s="1197" t="s">
        <v>538</v>
      </c>
      <c r="B22" s="1198" t="str">
        <f ca="1">'预评函-2'!D6</f>
        <v>陆拾贰亿壹仟陆佰捌拾万元整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621680</v>
      </c>
    </row>
    <row r="31" spans="1:2" s="1199" customFormat="1">
      <c r="A31" s="1197" t="s">
        <v>576</v>
      </c>
      <c r="B31" s="1198">
        <f ca="1">'预评函-2'!D15</f>
        <v>19613</v>
      </c>
    </row>
    <row r="32" spans="1:2" s="1199" customFormat="1">
      <c r="A32" s="1197" t="s">
        <v>543</v>
      </c>
      <c r="B32" s="1198" t="str">
        <f ca="1">'预评函-2'!D14</f>
        <v>陆拾贰亿壹仟陆佰捌拾万元整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4.抵押净值</v>
      </c>
    </row>
    <row r="38" spans="1:2" s="1199" customFormat="1">
      <c r="A38" s="1197" t="s">
        <v>597</v>
      </c>
      <c r="B38" s="1198">
        <f ca="1">'预评函-2'!D19</f>
        <v>559201</v>
      </c>
    </row>
    <row r="39" spans="1:2" s="1199" customFormat="1">
      <c r="A39" s="1197" t="s">
        <v>545</v>
      </c>
      <c r="B39" s="1198">
        <f ca="1">'预评函-2'!D21</f>
        <v>17642</v>
      </c>
    </row>
    <row r="40" spans="1:2" s="1199" customFormat="1">
      <c r="A40" s="1197" t="s">
        <v>546</v>
      </c>
      <c r="B40" s="1198" t="str">
        <f ca="1">'预评函-2'!D20</f>
        <v>伍拾伍亿玖仟贰佰零壹万元整</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316967.99</v>
      </c>
    </row>
    <row r="44" spans="1:2" s="1199" customFormat="1">
      <c r="A44" s="1197" t="s">
        <v>575</v>
      </c>
      <c r="B44" s="1198" t="str">
        <f>'预评函-3'!C2</f>
        <v>(分摊)土地面积</v>
      </c>
    </row>
    <row r="45" spans="1:2" s="1199" customFormat="1">
      <c r="A45" s="1197" t="s">
        <v>547</v>
      </c>
      <c r="B45" s="1198">
        <f>'预评函-3'!C4</f>
        <v>65012.5</v>
      </c>
    </row>
    <row r="46" spans="1:2" s="1199" customFormat="1">
      <c r="A46" s="1197" t="s">
        <v>573</v>
      </c>
      <c r="B46" s="1198" t="str">
        <f>'预评函-3'!D2</f>
        <v>出让国有建设用地使用权价值</v>
      </c>
    </row>
    <row r="47" spans="1:2" s="1199" customFormat="1">
      <c r="A47" s="1197" t="s">
        <v>548</v>
      </c>
      <c r="B47" s="1198">
        <f ca="1">'预评函-3'!D4</f>
        <v>272296</v>
      </c>
    </row>
    <row r="48" spans="1:2" s="1199" customFormat="1">
      <c r="A48" s="1197" t="s">
        <v>549</v>
      </c>
      <c r="B48" s="1198">
        <f ca="1">'预评函-3'!E4</f>
        <v>8590</v>
      </c>
    </row>
    <row r="49" spans="1:2" s="1199" customFormat="1">
      <c r="A49" s="1197" t="s">
        <v>550</v>
      </c>
      <c r="B49" s="1198" t="str">
        <f ca="1">'预评函-3'!D5</f>
        <v>贰拾柒亿贰仟贰佰玖拾陆万元整</v>
      </c>
    </row>
    <row r="50" spans="1:2" s="1199" customFormat="1">
      <c r="A50" s="1197" t="s">
        <v>574</v>
      </c>
      <c r="B50" s="1198" t="str">
        <f>'预评函-3'!F2</f>
        <v>在建建筑物价值</v>
      </c>
    </row>
    <row r="51" spans="1:2" s="1199" customFormat="1">
      <c r="A51" s="1197" t="s">
        <v>551</v>
      </c>
      <c r="B51" s="1198">
        <f ca="1">'预评函-3'!F4</f>
        <v>349384</v>
      </c>
    </row>
    <row r="52" spans="1:2" s="1199" customFormat="1">
      <c r="A52" s="1197" t="s">
        <v>552</v>
      </c>
      <c r="B52" s="1198">
        <f ca="1">'预评函-3'!G4</f>
        <v>11023</v>
      </c>
    </row>
    <row r="53" spans="1:2" s="1199" customFormat="1">
      <c r="A53" s="1197" t="s">
        <v>580</v>
      </c>
      <c r="B53" s="1198" t="str">
        <f ca="1">'预评函-3'!F5</f>
        <v>叁拾肆亿玖仟叁佰捌拾肆万元整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抵押净值</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吴薇</v>
      </c>
    </row>
    <row r="73" spans="1:2" s="1193" customFormat="1" ht="15" thickBot="1">
      <c r="A73" s="1200" t="s">
        <v>565</v>
      </c>
      <c r="B73" s="1201">
        <f ca="1">'预评函-4'!B5</f>
        <v>1419970001</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3345</v>
      </c>
    </row>
    <row r="8" spans="1:23">
      <c r="A8" s="1542" t="s">
        <v>1026</v>
      </c>
      <c r="B8" s="1542" t="s">
        <v>1027</v>
      </c>
      <c r="C8" s="1543" t="s">
        <v>319</v>
      </c>
      <c r="F8" s="1544" t="s">
        <v>1028</v>
      </c>
      <c r="H8" s="1544" t="s">
        <v>2581</v>
      </c>
      <c r="I8" s="1544" t="s">
        <v>3346</v>
      </c>
    </row>
    <row r="9" spans="1:23">
      <c r="A9" s="1542" t="s">
        <v>1029</v>
      </c>
      <c r="B9" s="1542" t="s">
        <v>1030</v>
      </c>
      <c r="C9" s="1543" t="s">
        <v>320</v>
      </c>
      <c r="F9" s="1544" t="s">
        <v>1031</v>
      </c>
      <c r="H9" s="1544"/>
      <c r="I9" s="1547" t="s">
        <v>3347</v>
      </c>
    </row>
    <row r="10" spans="1:23">
      <c r="A10" s="1542" t="s">
        <v>1032</v>
      </c>
      <c r="B10" s="1542" t="s">
        <v>1033</v>
      </c>
      <c r="C10" s="1543" t="s">
        <v>321</v>
      </c>
      <c r="F10" s="1544" t="s">
        <v>2582</v>
      </c>
      <c r="I10" s="1547" t="s">
        <v>3348</v>
      </c>
    </row>
    <row r="11" spans="1:23">
      <c r="A11" s="1542" t="s">
        <v>1034</v>
      </c>
      <c r="B11" s="1542" t="s">
        <v>1035</v>
      </c>
      <c r="C11" s="1543" t="s">
        <v>322</v>
      </c>
      <c r="F11" s="1544" t="s">
        <v>13</v>
      </c>
      <c r="I11" s="1547" t="s">
        <v>3349</v>
      </c>
    </row>
    <row r="12" spans="1:23">
      <c r="A12" s="1542" t="s">
        <v>1036</v>
      </c>
      <c r="B12" s="1542" t="s">
        <v>1037</v>
      </c>
      <c r="C12" s="1543" t="s">
        <v>323</v>
      </c>
      <c r="I12" s="1547" t="s">
        <v>3350</v>
      </c>
    </row>
    <row r="13" spans="1:23">
      <c r="A13" s="1542" t="s">
        <v>1038</v>
      </c>
      <c r="B13" s="1542" t="s">
        <v>1039</v>
      </c>
      <c r="C13" s="1543" t="s">
        <v>324</v>
      </c>
      <c r="I13" s="1547" t="s">
        <v>3351</v>
      </c>
    </row>
    <row r="14" spans="1:23">
      <c r="A14" s="1542" t="s">
        <v>1040</v>
      </c>
      <c r="B14" s="1542" t="s">
        <v>1041</v>
      </c>
      <c r="C14" s="1544" t="s">
        <v>13</v>
      </c>
      <c r="I14" s="1547" t="s">
        <v>3352</v>
      </c>
    </row>
    <row r="15" spans="1:23">
      <c r="A15" s="1542" t="s">
        <v>1042</v>
      </c>
      <c r="B15" s="1542" t="s">
        <v>1043</v>
      </c>
      <c r="C15" s="1543"/>
      <c r="I15" s="1547" t="s">
        <v>3353</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3487</v>
      </c>
      <c r="C19" s="1543"/>
    </row>
    <row r="20" spans="1:3">
      <c r="A20" s="1542" t="s">
        <v>1048</v>
      </c>
      <c r="B20" s="1542" t="s">
        <v>3496</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9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8"/>
      <c r="B54" s="1550" t="s">
        <v>385</v>
      </c>
      <c r="C54" s="1547" t="s">
        <v>583</v>
      </c>
    </row>
    <row r="55" spans="1:4">
      <c r="A55" s="3598"/>
      <c r="B55" s="1550" t="s">
        <v>386</v>
      </c>
      <c r="C55" s="1547" t="s">
        <v>584</v>
      </c>
    </row>
    <row r="56" spans="1:4">
      <c r="A56" s="3598"/>
      <c r="B56" s="1550" t="s">
        <v>387</v>
      </c>
      <c r="C56" s="1547" t="s">
        <v>588</v>
      </c>
    </row>
    <row r="57" spans="1:4">
      <c r="A57" s="359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99" t="s">
        <v>2584</v>
      </c>
      <c r="J2" s="3599"/>
      <c r="K2" s="3599"/>
      <c r="L2" s="3599"/>
      <c r="M2" s="3599"/>
      <c r="N2" s="3599"/>
      <c r="O2" s="3599"/>
      <c r="P2" s="3599"/>
      <c r="Q2" s="3599"/>
      <c r="R2" s="3599"/>
    </row>
    <row r="3" spans="1:18">
      <c r="A3" s="3016" t="s">
        <v>2505</v>
      </c>
      <c r="B3" s="3017">
        <f>项目基本情况!D3</f>
        <v>45421</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2.61</v>
      </c>
      <c r="D5" s="3021">
        <f>IF(ISERROR(ROUND(POWER(1+E5,A5-C5)*(POWER(1+E5,C5)-1)/(POWER(1+E5,A5)-1),3)),0,ROUND(POWER(1+E5,A5-C5)*(POWER(1+E5,C5)-1)/(POWER(1+E5,A5)-1),4))</f>
        <v>0.1229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12.62</v>
      </c>
      <c r="D6" s="3021">
        <f>IF(ISERROR(ROUND(POWER(1+E6,A6-C6)*(POWER(1+E6,C6)-1)/(POWER(1+E6,A6)-1),3)),0,ROUND(POWER(1+E6,A6-C6)*(POWER(1+E6,C6)-1)/(POWER(1+E6,A6)-1),4))</f>
        <v>0.45429999999999998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32.630000000000003</v>
      </c>
      <c r="D7" s="3021">
        <f>IF(ISERROR(ROUND(POWER(1+E7,A7-C7)*(POWER(1+E7,C7)-1)/(POWER(1+E7,A7)-1),3)),0,ROUND(POWER(1+E7,A7-C7)*(POWER(1+E7,C7)-1)/(POWER(1+E7,A7)-1),4))</f>
        <v>0.77139999999999997</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16" sqref="F16:I16"/>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608" t="str">
        <f>IF(B10="北京市","北京市",C10)&amp;F10&amp;IF(结果表!G1="在建","出让国有建设用地使用权及在建建筑物",IF(结果表!G1="土地","出让国有建设用地使用权",))&amp;B9&amp;"预评估"</f>
        <v>北京市房地产抵押价值预评估</v>
      </c>
      <c r="C1" s="3609"/>
      <c r="D1" s="3609"/>
      <c r="E1" s="3609"/>
      <c r="F1" s="3609"/>
      <c r="G1" s="3609"/>
      <c r="H1" s="3609"/>
      <c r="I1" s="3610"/>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9">
        <v>45421</v>
      </c>
      <c r="C3" s="2370" t="s">
        <v>2171</v>
      </c>
      <c r="D3" s="2369">
        <v>45421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t="s">
        <v>3383</v>
      </c>
      <c r="C4" s="2372">
        <f ca="1">SUMIF(注册房地产估价师,B4,估价师及机构信息!B3:B24)</f>
        <v>1120070131</v>
      </c>
      <c r="D4" s="2371" t="s">
        <v>3384</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3379</v>
      </c>
      <c r="C8" s="2386"/>
      <c r="D8" s="3611" t="s">
        <v>2177</v>
      </c>
      <c r="E8" s="2387" t="s">
        <v>3385</v>
      </c>
      <c r="F8" s="2388"/>
      <c r="G8" s="2659"/>
      <c r="H8" s="2659"/>
      <c r="I8" s="2659"/>
      <c r="J8" s="2435"/>
      <c r="K8" s="2610"/>
      <c r="L8" s="2609"/>
      <c r="M8" s="2609"/>
      <c r="N8" s="2435"/>
      <c r="O8" s="2446"/>
      <c r="P8" s="2435"/>
      <c r="Q8" s="2435"/>
      <c r="R8" s="2435"/>
    </row>
    <row r="9" spans="1:30" ht="13.5" thickBot="1">
      <c r="A9" s="2389" t="s">
        <v>2178</v>
      </c>
      <c r="B9" s="2390" t="s">
        <v>3385</v>
      </c>
      <c r="C9" s="2391"/>
      <c r="D9" s="3612"/>
      <c r="E9" s="2390" t="s">
        <v>587</v>
      </c>
      <c r="F9" s="2392"/>
      <c r="G9" s="2661"/>
      <c r="H9" s="2661"/>
      <c r="I9" s="2661"/>
      <c r="J9" s="2435"/>
      <c r="K9" s="2612"/>
      <c r="L9" s="2609"/>
      <c r="M9" s="2609"/>
      <c r="N9" s="2435"/>
      <c r="O9" s="2446"/>
      <c r="P9" s="2435"/>
      <c r="Q9" s="2435"/>
      <c r="R9" s="2435"/>
    </row>
    <row r="10" spans="1:30" ht="13.5" thickTop="1">
      <c r="A10" s="2393" t="s">
        <v>2179</v>
      </c>
      <c r="B10" s="2394" t="s">
        <v>3386</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c r="C11" s="2399"/>
      <c r="D11" s="2400"/>
      <c r="E11" s="2366"/>
      <c r="F11" s="2366"/>
      <c r="G11" s="2366"/>
      <c r="H11" s="2366"/>
      <c r="I11" s="2366"/>
      <c r="J11" s="3057"/>
      <c r="K11" s="3056"/>
      <c r="L11" s="2609"/>
      <c r="M11" s="2609"/>
      <c r="N11" s="2435"/>
      <c r="O11" s="2446"/>
      <c r="P11" s="2435"/>
      <c r="Q11" s="2435"/>
      <c r="R11" s="2435"/>
    </row>
    <row r="12" spans="1:30">
      <c r="A12" s="2401" t="s">
        <v>2182</v>
      </c>
      <c r="B12" s="320"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1"/>
    </row>
    <row r="13" spans="1:30">
      <c r="A13" s="3419" t="s">
        <v>3335</v>
      </c>
      <c r="B13" s="2403" t="s">
        <v>2190</v>
      </c>
      <c r="C13" s="852"/>
      <c r="D13" s="852"/>
      <c r="E13" s="852"/>
      <c r="F13" s="852">
        <v>57734</v>
      </c>
      <c r="G13" s="852"/>
      <c r="H13" s="852"/>
      <c r="I13" s="852">
        <v>57734</v>
      </c>
      <c r="J13" s="3058"/>
      <c r="K13" s="2609"/>
      <c r="L13" s="2609"/>
      <c r="M13" s="2435"/>
      <c r="N13" s="2446"/>
      <c r="O13" s="2435"/>
      <c r="P13" s="2435"/>
      <c r="Q13" s="2435"/>
      <c r="AD13" s="1741"/>
    </row>
    <row r="14" spans="1:30">
      <c r="A14" s="1077"/>
      <c r="B14" s="2403" t="s">
        <v>2191</v>
      </c>
      <c r="C14" s="2404"/>
      <c r="D14" s="2404"/>
      <c r="E14" s="2404"/>
      <c r="F14" s="2404">
        <v>50</v>
      </c>
      <c r="G14" s="2404"/>
      <c r="H14" s="2404"/>
      <c r="I14" s="2404">
        <v>50</v>
      </c>
      <c r="J14" s="3059"/>
      <c r="K14" s="2609"/>
      <c r="L14" s="2609"/>
      <c r="M14" s="2435"/>
      <c r="N14" s="2446"/>
      <c r="O14" s="2435"/>
      <c r="P14" s="2435"/>
      <c r="Q14" s="2435"/>
      <c r="AD14" s="1741"/>
    </row>
    <row r="15" spans="1:30">
      <c r="A15" s="317"/>
      <c r="B15" s="2405" t="s">
        <v>2192</v>
      </c>
      <c r="C15" s="2406" t="str">
        <f>IF(A13="出让",IF(C13="","",ROUNDDOWN(MIN((C13-$D$3)/365,C14),2)),C14)</f>
        <v/>
      </c>
      <c r="D15" s="2406" t="str">
        <f>IF(A13="出让",IF(D13="","",ROUNDDOWN(MIN((D13-$D$3)/365,D14),2)),D14)</f>
        <v/>
      </c>
      <c r="E15" s="2406" t="str">
        <f>IF(A13="出让",IF(E13="","",ROUNDDOWN(MIN((E13-$D$3)/365,E14),2)),E14)</f>
        <v/>
      </c>
      <c r="F15" s="2406">
        <f>IF(A13="出让",IF(F13="","",ROUNDDOWN(MIN((F13-$D$3)/365,F14),2)),F14)</f>
        <v>33.729999999999997</v>
      </c>
      <c r="G15" s="2406" t="str">
        <f>IF(A13="出让",IF(G13="","",ROUNDDOWN(MIN((G13-$D$3)/365,G14),2)),G14)</f>
        <v/>
      </c>
      <c r="H15" s="2406" t="str">
        <f>IF(A13="出让",IF(H13="","",ROUNDDOWN(MIN((H13-$D$3)/365,H14),2)),H14)</f>
        <v/>
      </c>
      <c r="I15" s="2406">
        <f>IF(A13="出让",IF(I13="","",ROUNDDOWN(MIN((I13-$D$3)/365,I14),2)),I14)</f>
        <v>33.729999999999997</v>
      </c>
      <c r="J15" s="3060"/>
      <c r="K15" s="2447"/>
      <c r="L15" s="2447"/>
      <c r="M15" s="2505"/>
      <c r="N15" s="2447"/>
      <c r="O15" s="2505"/>
      <c r="P15" s="2435"/>
      <c r="Q15" s="2435"/>
      <c r="AD15" s="1741"/>
    </row>
    <row r="16" spans="1:30">
      <c r="A16" s="2396" t="s">
        <v>2193</v>
      </c>
      <c r="B16" s="3618"/>
      <c r="C16" s="3619"/>
      <c r="D16" s="3620"/>
      <c r="E16" s="2409" t="s">
        <v>2194</v>
      </c>
      <c r="F16" s="3621"/>
      <c r="G16" s="3622"/>
      <c r="H16" s="3622"/>
      <c r="I16" s="3623"/>
      <c r="J16" s="2435"/>
      <c r="K16" s="2613"/>
      <c r="L16" s="2447"/>
      <c r="M16" s="2447"/>
      <c r="N16" s="2505"/>
      <c r="O16" s="2447"/>
      <c r="P16" s="2505"/>
      <c r="Q16" s="2435"/>
      <c r="R16" s="2435"/>
    </row>
    <row r="17" spans="1:28">
      <c r="A17" s="310" t="s">
        <v>2195</v>
      </c>
      <c r="B17" s="299" t="s">
        <v>2196</v>
      </c>
      <c r="C17" s="8">
        <f>'数据-汇总表'!E3</f>
        <v>316967.99</v>
      </c>
      <c r="D17" s="2318" t="s">
        <v>2197</v>
      </c>
      <c r="E17" s="3624" t="s">
        <v>2198</v>
      </c>
      <c r="F17" s="3625"/>
      <c r="G17" s="3625"/>
      <c r="H17" s="3625"/>
      <c r="I17" s="3626"/>
      <c r="J17" s="2435"/>
      <c r="K17" s="2614"/>
      <c r="L17" s="2447"/>
      <c r="M17" s="2447"/>
      <c r="N17" s="2505"/>
      <c r="O17" s="2447"/>
      <c r="P17" s="2505"/>
      <c r="Q17" s="2435"/>
      <c r="R17" s="2435"/>
      <c r="S17" s="2435"/>
      <c r="T17" s="2435"/>
      <c r="U17" s="2435"/>
      <c r="V17" s="2435"/>
    </row>
    <row r="18" spans="1:28" ht="24.75" thickBot="1">
      <c r="A18" s="2410" t="s">
        <v>2199</v>
      </c>
      <c r="B18" s="1086" t="s">
        <v>2200</v>
      </c>
      <c r="C18" s="2411">
        <f>'数据-汇总表'!D3</f>
        <v>65012.5</v>
      </c>
      <c r="D18" s="1088" t="s">
        <v>2201</v>
      </c>
      <c r="E18" s="3627" t="s">
        <v>2202</v>
      </c>
      <c r="F18" s="3628"/>
      <c r="G18" s="3628"/>
      <c r="H18" s="3628"/>
      <c r="I18" s="3629"/>
      <c r="J18" s="2435"/>
      <c r="K18" s="2614"/>
      <c r="L18" s="2447"/>
      <c r="M18" s="2447"/>
      <c r="N18" s="2505"/>
      <c r="O18" s="2447"/>
      <c r="P18" s="2505"/>
      <c r="Q18" s="2435"/>
      <c r="R18" s="2435"/>
      <c r="S18" s="2435"/>
      <c r="T18" s="2435"/>
      <c r="U18" s="2435"/>
      <c r="V18" s="2435"/>
    </row>
    <row r="19" spans="1:28" ht="37.5" thickTop="1" thickBot="1">
      <c r="A19" s="324" t="s">
        <v>1055</v>
      </c>
      <c r="B19" s="304"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614" t="s">
        <v>2206</v>
      </c>
      <c r="C20" s="3615"/>
      <c r="D20" s="3616" t="s">
        <v>2207</v>
      </c>
      <c r="E20" s="3617"/>
      <c r="F20" s="2643" t="s">
        <v>1056</v>
      </c>
      <c r="G20" s="2660"/>
      <c r="H20" s="2660"/>
      <c r="I20" s="2660"/>
      <c r="J20" s="2435"/>
      <c r="K20" s="3613"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613"/>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613"/>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01" t="s">
        <v>2214</v>
      </c>
      <c r="B27" s="317"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01"/>
      <c r="B28" s="299"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01"/>
      <c r="B29" s="299"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02"/>
      <c r="B30" s="299" t="s">
        <v>2218</v>
      </c>
      <c r="C30" s="3603"/>
      <c r="D30" s="3604"/>
      <c r="E30" s="2660"/>
      <c r="F30" s="2660"/>
      <c r="G30" s="2660"/>
      <c r="H30" s="2660"/>
      <c r="I30" s="2660"/>
      <c r="J30" s="2435"/>
      <c r="K30" s="2612"/>
      <c r="L30" s="2609"/>
      <c r="M30" s="2609"/>
      <c r="N30" s="2435"/>
      <c r="O30" s="2446"/>
      <c r="P30" s="2435"/>
      <c r="Q30" s="2435"/>
      <c r="R30" s="2435"/>
      <c r="S30" s="2435"/>
      <c r="T30" s="2435"/>
      <c r="U30" s="2435"/>
      <c r="V30" s="2435"/>
    </row>
    <row r="31" spans="1:28">
      <c r="A31" s="3605"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06"/>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06"/>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299" t="s">
        <v>2220</v>
      </c>
      <c r="B34" s="2022"/>
      <c r="C34" s="2022"/>
      <c r="D34" s="2022"/>
      <c r="E34" s="2022"/>
      <c r="F34" s="2022"/>
      <c r="G34" s="2022"/>
      <c r="H34" s="2022"/>
      <c r="I34" s="2660"/>
      <c r="J34" s="2435"/>
      <c r="K34" s="2423">
        <f>COUNTIF(B34:H34,"——")</f>
        <v>0</v>
      </c>
      <c r="L34" s="320" t="s">
        <v>2221</v>
      </c>
      <c r="M34" s="320" t="s">
        <v>2222</v>
      </c>
      <c r="N34" s="320" t="s">
        <v>2223</v>
      </c>
      <c r="O34" s="320" t="s">
        <v>2224</v>
      </c>
      <c r="P34" s="320" t="s">
        <v>2225</v>
      </c>
      <c r="Q34" s="320" t="s">
        <v>2226</v>
      </c>
      <c r="R34" s="320" t="s">
        <v>2227</v>
      </c>
      <c r="S34" s="3600" t="s">
        <v>2228</v>
      </c>
      <c r="T34" s="2424" t="str">
        <f>NUMBERSTRING(7-K34,1)&amp;"通"</f>
        <v>七通</v>
      </c>
      <c r="U34" s="2435"/>
      <c r="V34" s="2435"/>
    </row>
    <row r="35" spans="1:30">
      <c r="A35" s="2425"/>
      <c r="B35" s="3607" t="s">
        <v>2229</v>
      </c>
      <c r="C35" s="3607"/>
      <c r="D35" s="3607"/>
      <c r="E35" s="3607"/>
      <c r="F35" s="661">
        <f>C10</f>
        <v>0</v>
      </c>
      <c r="G35" s="2660"/>
      <c r="H35" s="2660"/>
      <c r="I35" s="2660"/>
      <c r="J35" s="2435"/>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600"/>
      <c r="T35" s="326" t="str">
        <f>IF(T34="一通",L35,IF(T34="二通",M35,IF(T34="三通",N35,IF(T34="四通",O35,IF(T34="五通",P35,IF(T34="六通",Q35,R35))))))</f>
        <v>、、、、、、</v>
      </c>
      <c r="U35" s="2435"/>
      <c r="V35" s="2435"/>
    </row>
    <row r="36" spans="1:30">
      <c r="A36" s="2426"/>
      <c r="B36" s="661" t="s">
        <v>2185</v>
      </c>
      <c r="C36" s="661" t="s">
        <v>2186</v>
      </c>
      <c r="D36" s="661" t="s">
        <v>2184</v>
      </c>
      <c r="E36" s="661"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29</v>
      </c>
      <c r="F37" s="2427" t="s">
        <v>29</v>
      </c>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c r="E38" s="2428" t="s">
        <v>3442</v>
      </c>
      <c r="F38" s="2428" t="s">
        <v>3442</v>
      </c>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0"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S74"/>
  <sheetViews>
    <sheetView topLeftCell="C1" workbookViewId="0">
      <selection activeCell="R13" sqref="R13"/>
    </sheetView>
  </sheetViews>
  <sheetFormatPr defaultRowHeight="14.25"/>
  <cols>
    <col min="1" max="1" width="9" style="1473"/>
    <col min="2" max="2" width="26" style="1473" customWidth="1"/>
    <col min="3" max="3" width="16.125" style="1473" customWidth="1"/>
    <col min="4" max="4" width="20.625" style="1473" bestFit="1" customWidth="1"/>
    <col min="5" max="5" width="13.125" style="1473" bestFit="1" customWidth="1"/>
    <col min="6" max="6" width="16.75" style="1473" customWidth="1"/>
    <col min="7" max="7" width="12" style="1473" customWidth="1"/>
    <col min="8" max="8" width="10.5" style="1473" customWidth="1"/>
    <col min="9" max="9" width="10.625" style="1473" customWidth="1"/>
    <col min="10" max="10" width="10" style="1473" customWidth="1"/>
    <col min="11" max="11" width="9" style="1473"/>
    <col min="12" max="12" width="10.625" style="1473" customWidth="1"/>
    <col min="13" max="13" width="10.125" style="1473" customWidth="1"/>
    <col min="14" max="14" width="9" style="1473"/>
    <col min="15" max="15" width="10.5" style="1473" customWidth="1"/>
    <col min="16" max="16" width="10.125" style="1473" customWidth="1"/>
    <col min="17" max="16384" width="9" style="1473"/>
  </cols>
  <sheetData>
    <row r="3" spans="2:19" ht="15">
      <c r="F3" s="3461"/>
      <c r="G3" s="3477" t="str">
        <f>B31</f>
        <v>S1商业设施及地下室</v>
      </c>
      <c r="H3" s="3478"/>
      <c r="I3" s="3479" t="str">
        <f>B45</f>
        <v>S2商业设施及地下室</v>
      </c>
      <c r="J3" s="3480"/>
      <c r="K3" s="3482" t="str">
        <f>B57</f>
        <v>S3商业设施及地下室</v>
      </c>
      <c r="L3" s="3483"/>
      <c r="M3" s="3484" t="str">
        <f>B70</f>
        <v>S4商业设施及地下室</v>
      </c>
      <c r="N3" s="3485"/>
      <c r="O3" s="3631" t="s">
        <v>3438</v>
      </c>
      <c r="P3" s="3632"/>
    </row>
    <row r="4" spans="2:19">
      <c r="F4" s="3461"/>
      <c r="G4" s="3470" t="s">
        <v>3425</v>
      </c>
      <c r="H4" s="3470" t="s">
        <v>3426</v>
      </c>
      <c r="I4" s="3481" t="s">
        <v>3425</v>
      </c>
      <c r="J4" s="3481" t="s">
        <v>3426</v>
      </c>
      <c r="K4" s="3471" t="s">
        <v>3425</v>
      </c>
      <c r="L4" s="3471" t="s">
        <v>3426</v>
      </c>
      <c r="M4" s="3472" t="s">
        <v>3425</v>
      </c>
      <c r="N4" s="3472" t="s">
        <v>3426</v>
      </c>
      <c r="O4" s="3461" t="s">
        <v>3439</v>
      </c>
      <c r="P4" s="3461" t="s">
        <v>3440</v>
      </c>
      <c r="Q4" s="3476" t="s">
        <v>3481</v>
      </c>
    </row>
    <row r="5" spans="2:19" ht="15">
      <c r="B5" s="3459" t="s">
        <v>3390</v>
      </c>
      <c r="C5" s="3460" t="s">
        <v>3391</v>
      </c>
      <c r="D5" s="3460" t="s">
        <v>3405</v>
      </c>
      <c r="F5" s="3473">
        <v>1</v>
      </c>
      <c r="G5" s="3470">
        <f>D30</f>
        <v>8356.07</v>
      </c>
      <c r="H5" s="3470">
        <f>F30</f>
        <v>8261.0300000000007</v>
      </c>
      <c r="I5" s="3481">
        <f>D44</f>
        <v>4623.45</v>
      </c>
      <c r="J5" s="3481">
        <f>F44</f>
        <v>4599.57</v>
      </c>
      <c r="K5" s="3471">
        <f>D56</f>
        <v>6967.55</v>
      </c>
      <c r="L5" s="3471">
        <f>F56</f>
        <v>6967.55</v>
      </c>
      <c r="M5" s="3472">
        <f>D68</f>
        <v>4959.51</v>
      </c>
      <c r="N5" s="3472">
        <f>F68</f>
        <v>4959.51</v>
      </c>
      <c r="O5" s="3461">
        <f>SUM(G5,I5,K5,M5)</f>
        <v>24906.58</v>
      </c>
      <c r="P5" s="3461">
        <f>SUM(H5,J5,L5,N5)</f>
        <v>24787.660000000003</v>
      </c>
      <c r="Q5" s="1473">
        <v>1</v>
      </c>
      <c r="R5" s="1473">
        <v>8</v>
      </c>
    </row>
    <row r="6" spans="2:19" ht="15">
      <c r="B6" s="3462" t="s">
        <v>3406</v>
      </c>
      <c r="C6" s="3460" t="s">
        <v>3392</v>
      </c>
      <c r="D6" s="3459">
        <v>33342.730000000003</v>
      </c>
      <c r="F6" s="3473">
        <v>2</v>
      </c>
      <c r="G6" s="3470">
        <f>D31</f>
        <v>8312.31</v>
      </c>
      <c r="H6" s="3470">
        <f>F31</f>
        <v>8312.31</v>
      </c>
      <c r="I6" s="3481">
        <f>D45</f>
        <v>5189.17</v>
      </c>
      <c r="J6" s="3481">
        <f>F45</f>
        <v>5189.17</v>
      </c>
      <c r="K6" s="3471">
        <f>D57</f>
        <v>6768.5</v>
      </c>
      <c r="L6" s="3471">
        <f>F57</f>
        <v>6768.5</v>
      </c>
      <c r="M6" s="3472"/>
      <c r="N6" s="3472"/>
      <c r="O6" s="3461">
        <f t="shared" ref="O6:O13" si="0">SUM(G6,I6,K6,M6)</f>
        <v>20269.98</v>
      </c>
      <c r="P6" s="3461">
        <f t="shared" ref="P6:P13" si="1">SUM(H6,J6,L6,N6)</f>
        <v>20269.98</v>
      </c>
      <c r="Q6" s="1473">
        <v>0.75</v>
      </c>
      <c r="R6" s="1473">
        <f>R5*Q6</f>
        <v>6</v>
      </c>
    </row>
    <row r="7" spans="2:19" ht="15">
      <c r="B7" s="3463" t="s">
        <v>3407</v>
      </c>
      <c r="C7" s="3464" t="s">
        <v>3393</v>
      </c>
      <c r="D7" s="3465">
        <v>25328.42</v>
      </c>
      <c r="F7" s="3473">
        <v>3</v>
      </c>
      <c r="G7" s="3470">
        <f>D32</f>
        <v>8316.89</v>
      </c>
      <c r="H7" s="3470">
        <f>F32</f>
        <v>8316.89</v>
      </c>
      <c r="I7" s="3481">
        <f>D46</f>
        <v>5194.9399999999996</v>
      </c>
      <c r="J7" s="3481">
        <f>F46</f>
        <v>5194.9399999999996</v>
      </c>
      <c r="K7" s="3471">
        <f>D58</f>
        <v>6938.7</v>
      </c>
      <c r="L7" s="3471">
        <f>F58</f>
        <v>6938.7</v>
      </c>
      <c r="M7" s="3472"/>
      <c r="N7" s="3472"/>
      <c r="O7" s="3461">
        <f t="shared" si="0"/>
        <v>20450.53</v>
      </c>
      <c r="P7" s="3461">
        <f t="shared" si="1"/>
        <v>20450.53</v>
      </c>
      <c r="Q7" s="1473">
        <v>0.75</v>
      </c>
      <c r="R7" s="1473">
        <f>R5*Q7</f>
        <v>6</v>
      </c>
    </row>
    <row r="8" spans="2:19" ht="15">
      <c r="B8" s="3463" t="s">
        <v>3408</v>
      </c>
      <c r="C8" s="3463" t="s">
        <v>3394</v>
      </c>
      <c r="D8" s="3465">
        <v>25957.83</v>
      </c>
      <c r="F8" s="3474" t="s">
        <v>3429</v>
      </c>
      <c r="G8" s="3470">
        <f>D33</f>
        <v>343.15</v>
      </c>
      <c r="H8" s="3470">
        <f>F33</f>
        <v>343.15</v>
      </c>
      <c r="I8" s="3481">
        <f>D47</f>
        <v>68.64</v>
      </c>
      <c r="J8" s="3481">
        <f>F47</f>
        <v>68.64</v>
      </c>
      <c r="K8" s="3471"/>
      <c r="L8" s="3471"/>
      <c r="M8" s="3472">
        <f>D71</f>
        <v>175.12</v>
      </c>
      <c r="N8" s="3472">
        <f>M8</f>
        <v>175.12</v>
      </c>
      <c r="O8" s="3461">
        <f t="shared" si="0"/>
        <v>586.91</v>
      </c>
      <c r="P8" s="3461">
        <f t="shared" si="1"/>
        <v>586.91</v>
      </c>
    </row>
    <row r="9" spans="2:19" ht="15">
      <c r="B9" s="3462" t="s">
        <v>3409</v>
      </c>
      <c r="C9" s="3460" t="s">
        <v>3392</v>
      </c>
      <c r="D9" s="3459">
        <v>33423.61</v>
      </c>
      <c r="F9" s="3475" t="s">
        <v>3436</v>
      </c>
      <c r="G9" s="3486">
        <f>SUM(G5:G8)</f>
        <v>25328.42</v>
      </c>
      <c r="H9" s="3486">
        <f>SUM(H5:H8)</f>
        <v>25233.38</v>
      </c>
      <c r="I9" s="3487">
        <f t="shared" ref="I9:N9" si="2">SUM(I5:I8)</f>
        <v>15076.199999999997</v>
      </c>
      <c r="J9" s="3487">
        <f t="shared" si="2"/>
        <v>15052.32</v>
      </c>
      <c r="K9" s="3488">
        <f t="shared" si="2"/>
        <v>20674.75</v>
      </c>
      <c r="L9" s="3488">
        <f t="shared" si="2"/>
        <v>20674.75</v>
      </c>
      <c r="M9" s="3489">
        <f t="shared" si="2"/>
        <v>5134.63</v>
      </c>
      <c r="N9" s="3489">
        <f t="shared" si="2"/>
        <v>5134.63</v>
      </c>
      <c r="O9" s="3474">
        <f t="shared" si="0"/>
        <v>66214</v>
      </c>
      <c r="P9" s="3474">
        <f t="shared" si="1"/>
        <v>66095.08</v>
      </c>
      <c r="R9" s="3506">
        <f>SUMPRODUCT(R5:R8,P5:P8)/P9</f>
        <v>6.6967819692479384</v>
      </c>
      <c r="S9" s="3506">
        <f>R9*P9/O9</f>
        <v>6.6847545836227988</v>
      </c>
    </row>
    <row r="10" spans="2:19" ht="15">
      <c r="B10" s="3463" t="s">
        <v>3410</v>
      </c>
      <c r="C10" s="3464" t="s">
        <v>3393</v>
      </c>
      <c r="D10" s="3465">
        <v>15076.2</v>
      </c>
      <c r="F10" s="3473" t="s">
        <v>3430</v>
      </c>
      <c r="G10" s="3470">
        <f>D29</f>
        <v>12965.31</v>
      </c>
      <c r="H10" s="3470">
        <f>F29</f>
        <v>12965.31</v>
      </c>
      <c r="I10" s="3481">
        <f>D43</f>
        <v>6758.85</v>
      </c>
      <c r="J10" s="3481">
        <f>F43</f>
        <v>6758.85</v>
      </c>
      <c r="K10" s="3471">
        <f>D55</f>
        <v>7719</v>
      </c>
      <c r="L10" s="3471">
        <f>F55</f>
        <v>7719</v>
      </c>
      <c r="M10" s="3472">
        <f>D67</f>
        <v>7481.67</v>
      </c>
      <c r="N10" s="3472">
        <f>M10</f>
        <v>7481.67</v>
      </c>
      <c r="O10" s="3461">
        <f t="shared" si="0"/>
        <v>34924.83</v>
      </c>
      <c r="P10" s="3461">
        <f t="shared" si="1"/>
        <v>34924.83</v>
      </c>
    </row>
    <row r="11" spans="2:19" ht="15">
      <c r="B11" s="3463" t="s">
        <v>3411</v>
      </c>
      <c r="C11" s="3463" t="s">
        <v>3394</v>
      </c>
      <c r="D11" s="3465">
        <v>13517.7</v>
      </c>
      <c r="F11" s="3473" t="s">
        <v>3431</v>
      </c>
      <c r="G11" s="3470">
        <f>D28</f>
        <v>12992.52</v>
      </c>
      <c r="H11" s="3470">
        <f>F28</f>
        <v>1701.01</v>
      </c>
      <c r="I11" s="3481">
        <f>D42</f>
        <v>6758.85</v>
      </c>
      <c r="J11" s="3481">
        <f>F42</f>
        <v>771.3</v>
      </c>
      <c r="K11" s="3471">
        <f>D54</f>
        <v>7719</v>
      </c>
      <c r="L11" s="3471">
        <f>F54</f>
        <v>7719</v>
      </c>
      <c r="M11" s="3472">
        <f>D66</f>
        <v>7481.67</v>
      </c>
      <c r="N11" s="3472">
        <f>M11</f>
        <v>7481.67</v>
      </c>
      <c r="O11" s="3461">
        <f t="shared" si="0"/>
        <v>34952.04</v>
      </c>
      <c r="P11" s="3461">
        <f t="shared" si="1"/>
        <v>17672.98</v>
      </c>
    </row>
    <row r="12" spans="2:19" ht="15">
      <c r="B12" s="3462" t="s">
        <v>3412</v>
      </c>
      <c r="C12" s="3460" t="s">
        <v>3392</v>
      </c>
      <c r="D12" s="3459">
        <v>27552.37</v>
      </c>
      <c r="F12" s="3475" t="s">
        <v>3437</v>
      </c>
      <c r="G12" s="3486">
        <f>SUM(G10:G11)</f>
        <v>25957.83</v>
      </c>
      <c r="H12" s="3486">
        <f>SUM(H10:H11)</f>
        <v>14666.32</v>
      </c>
      <c r="I12" s="3487">
        <f t="shared" ref="I12:N12" si="3">SUM(I10:I11)</f>
        <v>13517.7</v>
      </c>
      <c r="J12" s="3487">
        <f t="shared" si="3"/>
        <v>7530.1500000000005</v>
      </c>
      <c r="K12" s="3488">
        <f t="shared" si="3"/>
        <v>15438</v>
      </c>
      <c r="L12" s="3488">
        <f t="shared" si="3"/>
        <v>15438</v>
      </c>
      <c r="M12" s="3489">
        <f t="shared" si="3"/>
        <v>14963.34</v>
      </c>
      <c r="N12" s="3489">
        <f t="shared" si="3"/>
        <v>14963.34</v>
      </c>
      <c r="O12" s="3474">
        <f t="shared" si="0"/>
        <v>69876.87</v>
      </c>
      <c r="P12" s="3474">
        <f t="shared" si="1"/>
        <v>52597.81</v>
      </c>
    </row>
    <row r="13" spans="2:19" ht="15">
      <c r="B13" s="3462" t="s">
        <v>3413</v>
      </c>
      <c r="C13" s="3460" t="s">
        <v>3392</v>
      </c>
      <c r="D13" s="3459">
        <v>27552.37</v>
      </c>
      <c r="F13" s="3475" t="s">
        <v>2596</v>
      </c>
      <c r="G13" s="3486">
        <f>SUM(G9,G12)</f>
        <v>51286.25</v>
      </c>
      <c r="H13" s="3486">
        <f t="shared" ref="H13:N13" si="4">SUM(H9,H12)</f>
        <v>39899.699999999997</v>
      </c>
      <c r="I13" s="3487">
        <f t="shared" si="4"/>
        <v>28593.899999999998</v>
      </c>
      <c r="J13" s="3487">
        <f t="shared" si="4"/>
        <v>22582.47</v>
      </c>
      <c r="K13" s="3488">
        <f t="shared" si="4"/>
        <v>36112.75</v>
      </c>
      <c r="L13" s="3488">
        <f t="shared" si="4"/>
        <v>36112.75</v>
      </c>
      <c r="M13" s="3489">
        <f t="shared" si="4"/>
        <v>20097.97</v>
      </c>
      <c r="N13" s="3489">
        <f t="shared" si="4"/>
        <v>20097.97</v>
      </c>
      <c r="O13" s="3474">
        <f t="shared" si="0"/>
        <v>136090.87</v>
      </c>
      <c r="P13" s="3474">
        <f t="shared" si="1"/>
        <v>118692.89</v>
      </c>
      <c r="R13" s="1473">
        <f>R9*0.6</f>
        <v>4.0180691815487632</v>
      </c>
    </row>
    <row r="14" spans="2:19" ht="15">
      <c r="B14" s="3463" t="s">
        <v>3414</v>
      </c>
      <c r="C14" s="3464" t="s">
        <v>3393</v>
      </c>
      <c r="D14" s="3465">
        <v>20674.75</v>
      </c>
      <c r="F14" s="3474"/>
      <c r="G14" s="3470">
        <f>G13-D7-D8</f>
        <v>0</v>
      </c>
      <c r="H14" s="3470"/>
      <c r="I14" s="3481">
        <f>I13-D10-D11</f>
        <v>0</v>
      </c>
      <c r="J14" s="3481"/>
      <c r="K14" s="3471">
        <f>K13-D14-D15</f>
        <v>0</v>
      </c>
      <c r="L14" s="3471"/>
      <c r="M14" s="3472">
        <f>M13-D18-D19</f>
        <v>0</v>
      </c>
      <c r="N14" s="3472"/>
      <c r="O14" s="3461"/>
      <c r="P14" s="3461"/>
    </row>
    <row r="15" spans="2:19" ht="15">
      <c r="B15" s="3463" t="s">
        <v>3415</v>
      </c>
      <c r="C15" s="3463" t="s">
        <v>3394</v>
      </c>
      <c r="D15" s="3465">
        <v>15438</v>
      </c>
      <c r="F15" s="3475" t="s">
        <v>3432</v>
      </c>
      <c r="G15" s="3470"/>
      <c r="H15" s="3470">
        <f>H5+H6+H7+H8</f>
        <v>25233.38</v>
      </c>
      <c r="I15" s="3481"/>
      <c r="J15" s="3481">
        <f>J5+J6+J7+J8</f>
        <v>15052.32</v>
      </c>
      <c r="K15" s="3471"/>
      <c r="L15" s="3471">
        <f>L5+L6+L7+L8</f>
        <v>20674.75</v>
      </c>
      <c r="M15" s="3472"/>
      <c r="N15" s="3472">
        <f>N5+N6+N7+N8</f>
        <v>5134.63</v>
      </c>
      <c r="O15" s="3461"/>
      <c r="P15" s="3474">
        <f>P5+P6+P7+P8</f>
        <v>66095.08</v>
      </c>
    </row>
    <row r="16" spans="2:19" ht="15">
      <c r="B16" s="3462" t="s">
        <v>3416</v>
      </c>
      <c r="C16" s="3460" t="s">
        <v>3392</v>
      </c>
      <c r="D16" s="3459">
        <v>29503.02</v>
      </c>
      <c r="F16" s="3475" t="s">
        <v>3433</v>
      </c>
      <c r="G16" s="3470"/>
      <c r="H16" s="3470">
        <f>H10+H11</f>
        <v>14666.32</v>
      </c>
      <c r="I16" s="3481"/>
      <c r="J16" s="3481">
        <f>J10+J11</f>
        <v>7530.1500000000005</v>
      </c>
      <c r="K16" s="3471"/>
      <c r="L16" s="3471">
        <f>L10+L11</f>
        <v>15438</v>
      </c>
      <c r="M16" s="3472"/>
      <c r="N16" s="3472">
        <f>N10+N11</f>
        <v>14963.34</v>
      </c>
      <c r="O16" s="3461"/>
      <c r="P16" s="3474">
        <f>P10+P11</f>
        <v>52597.81</v>
      </c>
    </row>
    <row r="17" spans="2:7">
      <c r="B17" s="3462" t="s">
        <v>3417</v>
      </c>
      <c r="C17" s="3460" t="s">
        <v>3392</v>
      </c>
      <c r="D17" s="3459">
        <v>29503.02</v>
      </c>
    </row>
    <row r="18" spans="2:7">
      <c r="B18" s="3466" t="s">
        <v>3418</v>
      </c>
      <c r="C18" s="3464" t="s">
        <v>3393</v>
      </c>
      <c r="D18" s="3465">
        <v>5134.63</v>
      </c>
      <c r="F18" s="3476" t="s">
        <v>2816</v>
      </c>
      <c r="G18" s="1473">
        <f>SUM(D6,D9,D12,D13,D16,D17)</f>
        <v>180877.11999999997</v>
      </c>
    </row>
    <row r="19" spans="2:7">
      <c r="B19" s="3463" t="s">
        <v>3419</v>
      </c>
      <c r="C19" s="3463" t="s">
        <v>3394</v>
      </c>
      <c r="D19" s="3465">
        <v>14963.34</v>
      </c>
    </row>
    <row r="20" spans="2:7">
      <c r="B20" s="3459" t="s">
        <v>3395</v>
      </c>
      <c r="C20" s="3457"/>
      <c r="D20" s="3462">
        <f>SUM(D6:D19)</f>
        <v>316967.99000000005</v>
      </c>
    </row>
    <row r="21" spans="2:7">
      <c r="D21" s="1473">
        <f>'数据-基础表'!B3</f>
        <v>316967.99</v>
      </c>
    </row>
    <row r="22" spans="2:7">
      <c r="D22" s="1473">
        <f>D20-D21</f>
        <v>0</v>
      </c>
    </row>
    <row r="23" spans="2:7">
      <c r="B23" s="3456"/>
    </row>
    <row r="24" spans="2:7">
      <c r="B24" s="3458"/>
    </row>
    <row r="25" spans="2:7">
      <c r="B25" s="3633" t="s">
        <v>3387</v>
      </c>
      <c r="C25" s="3633"/>
      <c r="D25" s="3633"/>
      <c r="E25" s="3633"/>
      <c r="F25" s="3633"/>
    </row>
    <row r="26" spans="2:7" ht="27.75">
      <c r="B26" s="3457"/>
      <c r="C26" s="3630"/>
      <c r="D26" s="3467" t="s">
        <v>3420</v>
      </c>
      <c r="E26" s="3467" t="s">
        <v>3421</v>
      </c>
      <c r="F26" s="3467" t="s">
        <v>3422</v>
      </c>
    </row>
    <row r="27" spans="2:7">
      <c r="B27" s="3457"/>
      <c r="C27" s="3630"/>
      <c r="D27" s="3460" t="s">
        <v>3423</v>
      </c>
      <c r="E27" s="3462" t="s">
        <v>3423</v>
      </c>
      <c r="F27" s="3462" t="s">
        <v>3423</v>
      </c>
    </row>
    <row r="28" spans="2:7">
      <c r="B28" s="3457"/>
      <c r="C28" s="3467" t="s">
        <v>3396</v>
      </c>
      <c r="D28" s="3460">
        <v>12992.52</v>
      </c>
      <c r="E28" s="3460">
        <v>11291.51</v>
      </c>
      <c r="F28" s="3462">
        <v>1701.01</v>
      </c>
    </row>
    <row r="29" spans="2:7">
      <c r="B29" s="3457"/>
      <c r="C29" s="3467" t="s">
        <v>3397</v>
      </c>
      <c r="D29" s="3460">
        <v>12965.31</v>
      </c>
      <c r="E29" s="3457"/>
      <c r="F29" s="3462">
        <v>12965.31</v>
      </c>
    </row>
    <row r="30" spans="2:7">
      <c r="B30" s="3457"/>
      <c r="C30" s="3460">
        <v>1</v>
      </c>
      <c r="D30" s="3460">
        <v>8356.07</v>
      </c>
      <c r="E30" s="3460">
        <v>95.04</v>
      </c>
      <c r="F30" s="3462">
        <v>8261.0300000000007</v>
      </c>
    </row>
    <row r="31" spans="2:7">
      <c r="B31" s="3460" t="s">
        <v>3398</v>
      </c>
      <c r="C31" s="3460">
        <v>2</v>
      </c>
      <c r="D31" s="3460">
        <v>8312.31</v>
      </c>
      <c r="E31" s="3457"/>
      <c r="F31" s="3462">
        <v>8312.31</v>
      </c>
    </row>
    <row r="32" spans="2:7">
      <c r="B32" s="3468"/>
      <c r="C32" s="3460">
        <v>3</v>
      </c>
      <c r="D32" s="3460">
        <v>8316.89</v>
      </c>
      <c r="E32" s="3457"/>
      <c r="F32" s="3462">
        <v>8316.89</v>
      </c>
    </row>
    <row r="33" spans="2:7">
      <c r="B33" s="3468"/>
      <c r="C33" s="3460" t="s">
        <v>3424</v>
      </c>
      <c r="D33" s="3460">
        <v>343.15</v>
      </c>
      <c r="E33" s="3457"/>
      <c r="F33" s="3462">
        <v>343.15</v>
      </c>
    </row>
    <row r="34" spans="2:7">
      <c r="B34" s="3460" t="s">
        <v>3395</v>
      </c>
      <c r="C34" s="3457"/>
      <c r="D34" s="3460">
        <v>51286.25</v>
      </c>
      <c r="E34" s="3460">
        <v>11386.55</v>
      </c>
      <c r="F34" s="3462">
        <v>39899.699999999997</v>
      </c>
    </row>
    <row r="35" spans="2:7">
      <c r="B35" s="3467" t="s">
        <v>3399</v>
      </c>
      <c r="C35" s="3457"/>
      <c r="D35" s="3457"/>
      <c r="E35" s="3457"/>
      <c r="F35" s="3462">
        <v>14666.32</v>
      </c>
      <c r="G35" s="1473">
        <f>F35-F29</f>
        <v>1701.0100000000002</v>
      </c>
    </row>
    <row r="36" spans="2:7">
      <c r="B36" s="3467" t="s">
        <v>3400</v>
      </c>
      <c r="C36" s="3457"/>
      <c r="D36" s="3457"/>
      <c r="E36" s="3457"/>
      <c r="F36" s="3462">
        <v>25233.38</v>
      </c>
    </row>
    <row r="37" spans="2:7">
      <c r="B37" s="3456"/>
    </row>
    <row r="39" spans="2:7">
      <c r="B39" s="3456"/>
    </row>
    <row r="40" spans="2:7" ht="27.75">
      <c r="B40" s="3457"/>
      <c r="C40" s="3630"/>
      <c r="D40" s="3467" t="s">
        <v>3420</v>
      </c>
      <c r="E40" s="3467" t="s">
        <v>3421</v>
      </c>
      <c r="F40" s="3467" t="s">
        <v>3422</v>
      </c>
    </row>
    <row r="41" spans="2:7">
      <c r="B41" s="3457"/>
      <c r="C41" s="3630"/>
      <c r="D41" s="3460" t="s">
        <v>3423</v>
      </c>
      <c r="E41" s="3462" t="s">
        <v>3423</v>
      </c>
      <c r="F41" s="3462" t="s">
        <v>3423</v>
      </c>
    </row>
    <row r="42" spans="2:7">
      <c r="B42" s="3457"/>
      <c r="C42" s="3467" t="s">
        <v>3396</v>
      </c>
      <c r="D42" s="3460">
        <v>6758.85</v>
      </c>
      <c r="E42" s="3460">
        <v>5987.55</v>
      </c>
      <c r="F42" s="3460">
        <v>771.3</v>
      </c>
    </row>
    <row r="43" spans="2:7">
      <c r="B43" s="3457"/>
      <c r="C43" s="3467" t="s">
        <v>3397</v>
      </c>
      <c r="D43" s="3460">
        <v>6758.85</v>
      </c>
      <c r="E43" s="3457"/>
      <c r="F43" s="3460">
        <v>6758.85</v>
      </c>
    </row>
    <row r="44" spans="2:7">
      <c r="B44" s="3457"/>
      <c r="C44" s="3457"/>
      <c r="D44" s="3460">
        <v>4623.45</v>
      </c>
      <c r="E44" s="3460">
        <v>23.88</v>
      </c>
      <c r="F44" s="3460">
        <v>4599.57</v>
      </c>
    </row>
    <row r="45" spans="2:7">
      <c r="B45" s="3460" t="s">
        <v>3401</v>
      </c>
      <c r="C45" s="3460">
        <v>2</v>
      </c>
      <c r="D45" s="3460">
        <v>5189.17</v>
      </c>
      <c r="E45" s="3457"/>
      <c r="F45" s="3460">
        <v>5189.17</v>
      </c>
    </row>
    <row r="46" spans="2:7">
      <c r="B46" s="3468"/>
      <c r="C46" s="3460">
        <v>3</v>
      </c>
      <c r="D46" s="3460">
        <v>5194.9399999999996</v>
      </c>
      <c r="E46" s="3457"/>
      <c r="F46" s="3460">
        <v>5194.9399999999996</v>
      </c>
    </row>
    <row r="47" spans="2:7">
      <c r="B47" s="3468"/>
      <c r="C47" s="3460" t="s">
        <v>3424</v>
      </c>
      <c r="D47" s="3460">
        <v>68.64</v>
      </c>
      <c r="E47" s="3457"/>
      <c r="F47" s="3460">
        <v>68.64</v>
      </c>
    </row>
    <row r="48" spans="2:7">
      <c r="B48" s="3460" t="s">
        <v>3395</v>
      </c>
      <c r="C48" s="3457"/>
      <c r="D48" s="3460">
        <v>28593.9</v>
      </c>
      <c r="E48" s="3460">
        <v>6011.43</v>
      </c>
      <c r="F48" s="3460">
        <v>22513.83</v>
      </c>
    </row>
    <row r="49" spans="2:6">
      <c r="B49" s="3467" t="s">
        <v>3399</v>
      </c>
      <c r="C49" s="3457"/>
      <c r="D49" s="3457"/>
      <c r="E49" s="3457"/>
      <c r="F49" s="3460">
        <v>7530.15</v>
      </c>
    </row>
    <row r="50" spans="2:6">
      <c r="B50" s="3467" t="s">
        <v>3400</v>
      </c>
      <c r="C50" s="3457"/>
      <c r="D50" s="3457"/>
      <c r="E50" s="3457"/>
      <c r="F50" s="3460">
        <v>15052.32</v>
      </c>
    </row>
    <row r="51" spans="2:6">
      <c r="B51" s="3456"/>
    </row>
    <row r="52" spans="2:6" ht="27.75">
      <c r="B52" s="3457"/>
      <c r="C52" s="3630"/>
      <c r="D52" s="3467" t="s">
        <v>3420</v>
      </c>
      <c r="E52" s="3467" t="s">
        <v>3421</v>
      </c>
      <c r="F52" s="3467" t="s">
        <v>3422</v>
      </c>
    </row>
    <row r="53" spans="2:6">
      <c r="B53" s="3457"/>
      <c r="C53" s="3630"/>
      <c r="D53" s="3460" t="s">
        <v>3423</v>
      </c>
      <c r="E53" s="3462" t="s">
        <v>3423</v>
      </c>
      <c r="F53" s="3462" t="s">
        <v>3423</v>
      </c>
    </row>
    <row r="54" spans="2:6">
      <c r="B54" s="3457"/>
      <c r="C54" s="3467" t="s">
        <v>3396</v>
      </c>
      <c r="D54" s="3460">
        <v>7719</v>
      </c>
      <c r="E54" s="3457"/>
      <c r="F54" s="3462">
        <v>7719</v>
      </c>
    </row>
    <row r="55" spans="2:6">
      <c r="B55" s="3457"/>
      <c r="C55" s="3467" t="s">
        <v>3397</v>
      </c>
      <c r="D55" s="3460">
        <v>7719</v>
      </c>
      <c r="E55" s="3457"/>
      <c r="F55" s="3462">
        <v>7719</v>
      </c>
    </row>
    <row r="56" spans="2:6">
      <c r="B56" s="3457"/>
      <c r="C56" s="3460">
        <v>1</v>
      </c>
      <c r="D56" s="3460">
        <v>6967.55</v>
      </c>
      <c r="E56" s="3457"/>
      <c r="F56" s="3460">
        <v>6967.55</v>
      </c>
    </row>
    <row r="57" spans="2:6">
      <c r="B57" s="3460" t="s">
        <v>3427</v>
      </c>
      <c r="C57" s="3460">
        <v>2</v>
      </c>
      <c r="D57" s="3460">
        <v>6768.5</v>
      </c>
      <c r="E57" s="3457"/>
      <c r="F57" s="3460">
        <v>6768.5</v>
      </c>
    </row>
    <row r="58" spans="2:6">
      <c r="B58" s="3468"/>
      <c r="C58" s="3460">
        <v>3</v>
      </c>
      <c r="D58" s="3460">
        <v>6938.7</v>
      </c>
      <c r="E58" s="3457"/>
      <c r="F58" s="3460">
        <v>6938.7</v>
      </c>
    </row>
    <row r="59" spans="2:6">
      <c r="B59" s="3468"/>
      <c r="C59" s="3460" t="s">
        <v>3424</v>
      </c>
      <c r="D59" s="3462">
        <v>0</v>
      </c>
      <c r="E59" s="3457"/>
      <c r="F59" s="3462">
        <v>0</v>
      </c>
    </row>
    <row r="60" spans="2:6">
      <c r="B60" s="3460" t="s">
        <v>3395</v>
      </c>
      <c r="C60" s="3457"/>
      <c r="D60" s="3460">
        <v>36112.75</v>
      </c>
      <c r="E60" s="3462">
        <v>0</v>
      </c>
      <c r="F60" s="3460">
        <v>36112.75</v>
      </c>
    </row>
    <row r="61" spans="2:6">
      <c r="B61" s="3467" t="s">
        <v>3399</v>
      </c>
      <c r="C61" s="3457"/>
      <c r="D61" s="3457"/>
      <c r="E61" s="3457"/>
      <c r="F61" s="3460">
        <v>15438</v>
      </c>
    </row>
    <row r="62" spans="2:6">
      <c r="B62" s="3467" t="s">
        <v>3400</v>
      </c>
      <c r="C62" s="3457"/>
      <c r="D62" s="3457"/>
      <c r="E62" s="3457"/>
      <c r="F62" s="3460">
        <v>20674.75</v>
      </c>
    </row>
    <row r="63" spans="2:6">
      <c r="B63" s="3456"/>
    </row>
    <row r="64" spans="2:6" ht="27.75">
      <c r="B64" s="3457"/>
      <c r="C64" s="3630"/>
      <c r="D64" s="3467" t="s">
        <v>3420</v>
      </c>
      <c r="E64" s="3467" t="s">
        <v>3421</v>
      </c>
      <c r="F64" s="3467" t="s">
        <v>3422</v>
      </c>
    </row>
    <row r="65" spans="2:6">
      <c r="B65" s="3457"/>
      <c r="C65" s="3630"/>
      <c r="D65" s="3460" t="s">
        <v>3423</v>
      </c>
      <c r="E65" s="3462" t="s">
        <v>3423</v>
      </c>
      <c r="F65" s="3462" t="s">
        <v>3423</v>
      </c>
    </row>
    <row r="66" spans="2:6">
      <c r="B66" s="3457"/>
      <c r="C66" s="3467" t="s">
        <v>3396</v>
      </c>
      <c r="D66" s="3460">
        <v>7481.67</v>
      </c>
      <c r="E66" s="3457"/>
      <c r="F66" s="3460">
        <v>7481.67</v>
      </c>
    </row>
    <row r="67" spans="2:6">
      <c r="B67" s="3457"/>
      <c r="C67" s="3467" t="s">
        <v>3397</v>
      </c>
      <c r="D67" s="3460">
        <v>7481.67</v>
      </c>
      <c r="E67" s="3457"/>
      <c r="F67" s="3460">
        <v>7481.67</v>
      </c>
    </row>
    <row r="68" spans="2:6">
      <c r="B68" s="3457"/>
      <c r="C68" s="3457"/>
      <c r="D68" s="3460">
        <v>4959.51</v>
      </c>
      <c r="E68" s="3457"/>
      <c r="F68" s="3460">
        <v>4959.51</v>
      </c>
    </row>
    <row r="69" spans="2:6">
      <c r="B69" s="3457"/>
      <c r="C69" s="3460">
        <v>2</v>
      </c>
      <c r="D69" s="3462">
        <v>0</v>
      </c>
      <c r="E69" s="3457"/>
      <c r="F69" s="3462">
        <v>0</v>
      </c>
    </row>
    <row r="70" spans="2:6">
      <c r="B70" s="3460" t="s">
        <v>3428</v>
      </c>
      <c r="C70" s="3460">
        <v>3</v>
      </c>
      <c r="D70" s="3462">
        <v>0</v>
      </c>
      <c r="E70" s="3457"/>
      <c r="F70" s="3462">
        <v>0</v>
      </c>
    </row>
    <row r="71" spans="2:6">
      <c r="B71" s="3468"/>
      <c r="C71" s="3460" t="s">
        <v>3424</v>
      </c>
      <c r="D71" s="3460">
        <v>175.12</v>
      </c>
      <c r="E71" s="3457"/>
      <c r="F71" s="3460">
        <v>175.12</v>
      </c>
    </row>
    <row r="72" spans="2:6">
      <c r="B72" s="3469" t="s">
        <v>3402</v>
      </c>
      <c r="C72" s="3457"/>
      <c r="D72" s="3469">
        <v>20097.97</v>
      </c>
      <c r="E72" s="3469">
        <v>175.12</v>
      </c>
      <c r="F72" s="3469">
        <v>20097.97</v>
      </c>
    </row>
    <row r="73" spans="2:6">
      <c r="B73" s="3457" t="s">
        <v>3403</v>
      </c>
      <c r="C73" s="3457"/>
      <c r="D73" s="3457"/>
      <c r="E73" s="3457"/>
      <c r="F73" s="3469">
        <v>14963.34</v>
      </c>
    </row>
    <row r="74" spans="2:6">
      <c r="B74" s="3457" t="s">
        <v>3404</v>
      </c>
      <c r="C74" s="3457"/>
      <c r="D74" s="3457"/>
      <c r="E74" s="3457"/>
      <c r="F74" s="3469">
        <v>5134.63</v>
      </c>
    </row>
  </sheetData>
  <mergeCells count="6">
    <mergeCell ref="C64:C65"/>
    <mergeCell ref="O3:P3"/>
    <mergeCell ref="B25:F25"/>
    <mergeCell ref="C26:C27"/>
    <mergeCell ref="C40:C41"/>
    <mergeCell ref="C52:C53"/>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47"/>
  <sheetViews>
    <sheetView workbookViewId="0">
      <selection activeCell="E39" sqref="E39"/>
    </sheetView>
  </sheetViews>
  <sheetFormatPr defaultRowHeight="13.5"/>
  <cols>
    <col min="1" max="1" width="9" style="3491"/>
    <col min="2" max="2" width="16.125" style="3491" bestFit="1" customWidth="1"/>
    <col min="3" max="3" width="19.25" style="3491" customWidth="1"/>
    <col min="4" max="4" width="17.625" style="3491" customWidth="1"/>
    <col min="5" max="5" width="15.5" style="3491" bestFit="1" customWidth="1"/>
    <col min="6" max="6" width="15.75" style="3491" customWidth="1"/>
    <col min="7" max="7" width="9" style="3491"/>
    <col min="8" max="8" width="12.75" style="3491" bestFit="1" customWidth="1"/>
    <col min="9" max="9" width="11.625" style="3491" bestFit="1" customWidth="1"/>
    <col min="10" max="10" width="9" style="3491"/>
    <col min="11" max="11" width="10.5" style="3491" bestFit="1" customWidth="1"/>
    <col min="12" max="12" width="9.5" style="3491" bestFit="1" customWidth="1"/>
    <col min="13" max="16384" width="9" style="3491"/>
  </cols>
  <sheetData>
    <row r="2" spans="2:8">
      <c r="B2" s="3490" t="s">
        <v>3455</v>
      </c>
    </row>
    <row r="3" spans="2:8">
      <c r="B3" s="3492"/>
      <c r="C3" s="3493" t="s">
        <v>3456</v>
      </c>
      <c r="D3" s="3493" t="s">
        <v>3457</v>
      </c>
      <c r="E3" s="3493" t="s">
        <v>3458</v>
      </c>
      <c r="F3" s="3492"/>
      <c r="G3" s="3494" t="s">
        <v>3459</v>
      </c>
    </row>
    <row r="4" spans="2:8">
      <c r="B4" s="3495" t="s">
        <v>3460</v>
      </c>
      <c r="C4" s="3496">
        <f>C5+C6</f>
        <v>316967.99</v>
      </c>
      <c r="D4" s="3496">
        <f>E4/C4</f>
        <v>3017.2712771406345</v>
      </c>
      <c r="E4" s="3496">
        <f>E5+E6</f>
        <v>956378411.99999988</v>
      </c>
      <c r="F4" s="3492"/>
      <c r="G4" s="3497">
        <v>1</v>
      </c>
    </row>
    <row r="5" spans="2:8">
      <c r="B5" s="3493" t="s">
        <v>3461</v>
      </c>
      <c r="C5" s="3498">
        <f>'数据-汇总表'!F27</f>
        <v>247091.11999999997</v>
      </c>
      <c r="D5" s="3492">
        <v>2400</v>
      </c>
      <c r="E5" s="3492">
        <f>D5*C5</f>
        <v>593018687.99999988</v>
      </c>
      <c r="F5" s="3492"/>
      <c r="G5" s="3492"/>
    </row>
    <row r="6" spans="2:8">
      <c r="B6" s="3493" t="s">
        <v>2642</v>
      </c>
      <c r="C6" s="3492">
        <f>'数据-汇总表'!G27</f>
        <v>69876.87</v>
      </c>
      <c r="D6" s="3492">
        <v>5200</v>
      </c>
      <c r="E6" s="3492">
        <f t="shared" ref="E6:E9" si="0">D6*C6</f>
        <v>363359724</v>
      </c>
      <c r="F6" s="3492"/>
      <c r="G6" s="3492"/>
      <c r="H6" s="3491" t="s">
        <v>3462</v>
      </c>
    </row>
    <row r="7" spans="2:8">
      <c r="B7" s="3495" t="s">
        <v>3463</v>
      </c>
      <c r="C7" s="3496">
        <f>C4</f>
        <v>316967.99</v>
      </c>
      <c r="D7" s="3496">
        <v>700</v>
      </c>
      <c r="E7" s="3496">
        <f>D7*C7</f>
        <v>221877593</v>
      </c>
      <c r="F7" s="3492"/>
      <c r="G7" s="3497">
        <v>1</v>
      </c>
      <c r="H7" s="3491" t="s">
        <v>3464</v>
      </c>
    </row>
    <row r="8" spans="2:8">
      <c r="B8" s="3495" t="s">
        <v>3465</v>
      </c>
      <c r="C8" s="3496">
        <f>C4</f>
        <v>316967.99</v>
      </c>
      <c r="D8" s="3496">
        <v>2300</v>
      </c>
      <c r="E8" s="3496">
        <f>D8*C8</f>
        <v>729026377</v>
      </c>
      <c r="F8" s="3492"/>
      <c r="G8" s="3497">
        <v>1</v>
      </c>
    </row>
    <row r="9" spans="2:8">
      <c r="B9" s="3495" t="s">
        <v>3466</v>
      </c>
      <c r="C9" s="3496">
        <v>0</v>
      </c>
      <c r="D9" s="3496">
        <f>D6</f>
        <v>5200</v>
      </c>
      <c r="E9" s="3496">
        <f t="shared" si="0"/>
        <v>0</v>
      </c>
      <c r="F9" s="3492"/>
      <c r="G9" s="3492"/>
    </row>
    <row r="10" spans="2:8">
      <c r="B10" s="3493" t="s">
        <v>3467</v>
      </c>
      <c r="C10" s="3492">
        <f>C4</f>
        <v>316967.99</v>
      </c>
      <c r="D10" s="3492">
        <f>E10/C10</f>
        <v>6017.271277140635</v>
      </c>
      <c r="E10" s="3492">
        <f>E4+E7+E8+E9</f>
        <v>1907282382</v>
      </c>
      <c r="F10" s="3492"/>
      <c r="G10" s="3495">
        <f>(G4*E4+G7*E7+G8*E8)/E10</f>
        <v>1</v>
      </c>
    </row>
    <row r="14" spans="2:8">
      <c r="B14" s="3490" t="s">
        <v>3468</v>
      </c>
    </row>
    <row r="15" spans="2:8">
      <c r="B15" s="3492"/>
      <c r="C15" s="3493" t="s">
        <v>3469</v>
      </c>
      <c r="D15" s="3493"/>
      <c r="E15" s="3493" t="s">
        <v>3470</v>
      </c>
      <c r="F15" s="3493" t="s">
        <v>3471</v>
      </c>
      <c r="G15" s="3493" t="s">
        <v>3472</v>
      </c>
      <c r="H15" s="3494" t="s">
        <v>3473</v>
      </c>
    </row>
    <row r="16" spans="2:8">
      <c r="B16" s="3495" t="s">
        <v>3474</v>
      </c>
      <c r="C16" s="3496">
        <v>2016</v>
      </c>
      <c r="D16" s="3496">
        <v>2024</v>
      </c>
      <c r="E16" s="3496">
        <v>50</v>
      </c>
      <c r="F16" s="3492">
        <v>60</v>
      </c>
      <c r="G16" s="3492">
        <v>0</v>
      </c>
      <c r="H16" s="3499">
        <f>ROUND((1-G16)-(D16-C16)/F16,2)</f>
        <v>0.87</v>
      </c>
    </row>
    <row r="17" spans="2:8">
      <c r="B17" s="3493" t="s">
        <v>3475</v>
      </c>
      <c r="C17" s="3498"/>
      <c r="D17" s="3492"/>
      <c r="E17" s="3492"/>
      <c r="F17" s="3492"/>
      <c r="G17" s="3492"/>
      <c r="H17" s="3497">
        <v>0.9</v>
      </c>
    </row>
    <row r="18" spans="2:8">
      <c r="B18" s="3493"/>
      <c r="C18" s="3492"/>
      <c r="D18" s="3492"/>
      <c r="E18" s="3492"/>
      <c r="F18" s="3492"/>
      <c r="G18" s="3492"/>
      <c r="H18" s="3500">
        <f>ROUND((H17+H16)/2,2)</f>
        <v>0.89</v>
      </c>
    </row>
    <row r="22" spans="2:8">
      <c r="B22" s="3501"/>
    </row>
    <row r="23" spans="2:8">
      <c r="B23" s="3501"/>
    </row>
    <row r="24" spans="2:8">
      <c r="B24" s="3501"/>
    </row>
    <row r="25" spans="2:8">
      <c r="B25" s="3501"/>
    </row>
    <row r="26" spans="2:8">
      <c r="B26" s="3501"/>
    </row>
    <row r="27" spans="2:8">
      <c r="B27" s="3501"/>
    </row>
    <row r="28" spans="2:8">
      <c r="B28" s="3501"/>
    </row>
    <row r="29" spans="2:8">
      <c r="B29" s="3501"/>
    </row>
    <row r="30" spans="2:8">
      <c r="B30" s="3501"/>
    </row>
    <row r="31" spans="2:8">
      <c r="B31" s="3501"/>
    </row>
    <row r="32" spans="2:8">
      <c r="B32" s="3501"/>
    </row>
    <row r="33" spans="2:2">
      <c r="B33" s="3501"/>
    </row>
    <row r="34" spans="2:2">
      <c r="B34" s="3501"/>
    </row>
    <row r="35" spans="2:2">
      <c r="B35" s="3501"/>
    </row>
    <row r="36" spans="2:2">
      <c r="B36" s="3501"/>
    </row>
    <row r="37" spans="2:2">
      <c r="B37" s="3501"/>
    </row>
    <row r="38" spans="2:2">
      <c r="B38" s="3501"/>
    </row>
    <row r="39" spans="2:2">
      <c r="B39" s="3501"/>
    </row>
    <row r="40" spans="2:2">
      <c r="B40" s="3501"/>
    </row>
    <row r="41" spans="2:2">
      <c r="B41" s="3501"/>
    </row>
    <row r="42" spans="2:2">
      <c r="B42" s="3501"/>
    </row>
    <row r="43" spans="2:2">
      <c r="B43" s="3501"/>
    </row>
    <row r="44" spans="2:2">
      <c r="B44" s="3501"/>
    </row>
    <row r="45" spans="2:2">
      <c r="B45" s="3501"/>
    </row>
    <row r="46" spans="2:2">
      <c r="B46" s="3501"/>
    </row>
    <row r="47" spans="2:2">
      <c r="B47" s="3501"/>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69" customWidth="1"/>
    <col min="2" max="2" width="11" style="1569" customWidth="1"/>
    <col min="3" max="3" width="20.12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65012.5</v>
      </c>
      <c r="B3" s="11">
        <f>IF(C3="否",G5-AT5,G5)</f>
        <v>316967.99</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316967.99</v>
      </c>
      <c r="H5" s="13">
        <f t="shared" ref="H5:AT5" si="0">SUM(H13:H656)</f>
        <v>316967.99</v>
      </c>
      <c r="I5" s="13">
        <f t="shared" si="0"/>
        <v>247091.11999999997</v>
      </c>
      <c r="J5" s="13">
        <f t="shared" si="0"/>
        <v>0</v>
      </c>
      <c r="K5" s="13">
        <f t="shared" si="0"/>
        <v>69876.87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316967.99</v>
      </c>
      <c r="BA5" s="15">
        <f t="shared" si="1"/>
        <v>316967.99</v>
      </c>
      <c r="BB5" s="15">
        <f t="shared" si="1"/>
        <v>247091.11999999997</v>
      </c>
      <c r="BC5" s="15">
        <f t="shared" si="1"/>
        <v>69876.87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65012.5</v>
      </c>
      <c r="F6" s="13" t="s">
        <v>0</v>
      </c>
      <c r="G6" s="13" t="s">
        <v>1</v>
      </c>
      <c r="H6" s="17">
        <f>SUMIF(I$12:AB$12,"总值",I6:AB6)</f>
        <v>65012.5</v>
      </c>
      <c r="I6" s="13">
        <f t="shared" ref="I6:AB6" si="2">ROUND($A$3*I5/$B$3,2)</f>
        <v>50680.23</v>
      </c>
      <c r="J6" s="13">
        <f t="shared" si="2"/>
        <v>0</v>
      </c>
      <c r="K6" s="13">
        <f t="shared" si="2"/>
        <v>14332.27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65012.5</v>
      </c>
      <c r="AZ6" s="13" t="s">
        <v>2</v>
      </c>
      <c r="BA6" s="13">
        <f>ROUND($AY$6*BA5/$AZ$5,2)</f>
        <v>65012.5</v>
      </c>
      <c r="BB6" s="13">
        <f>ROUND($AY$6*BB5/$AZ$5,2)</f>
        <v>50680.23</v>
      </c>
      <c r="BC6" s="13">
        <f t="shared" ref="BC6:BH6" si="4">ROUND($AY$6*BC5/$AZ$5,2)</f>
        <v>14332.27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3388</v>
      </c>
      <c r="J9" s="805"/>
      <c r="K9" s="1599" t="s">
        <v>3389</v>
      </c>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3435</v>
      </c>
      <c r="J10" s="805"/>
      <c r="K10" s="1605" t="s">
        <v>3435</v>
      </c>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地下</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公共服务</v>
      </c>
      <c r="BC11" s="1595" t="str">
        <f>K10</f>
        <v>公共服务</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3434</v>
      </c>
      <c r="E13" s="13">
        <f>IF($C$3="是",ROUND($A$3*G13/$B$3,2),ROUND($A$3*(G13-AT13)/$B$3,2))</f>
        <v>65012.5</v>
      </c>
      <c r="F13" s="29"/>
      <c r="G13" s="30">
        <f>H13+AC13+AT13</f>
        <v>316967.99</v>
      </c>
      <c r="H13" s="17">
        <f>SUMIF(I$12:AB$12,"总值",I13:AB13)</f>
        <v>316967.99</v>
      </c>
      <c r="I13" s="1622">
        <f>面积!O9+面积!G18</f>
        <v>247091.11999999997</v>
      </c>
      <c r="J13" s="1622"/>
      <c r="K13" s="1622">
        <f>面积!O12</f>
        <v>69876.87</v>
      </c>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65012.5</v>
      </c>
      <c r="AZ13" s="13">
        <f>BA13+BL13</f>
        <v>316967.99</v>
      </c>
      <c r="BA13" s="13">
        <f>SUM(BB13:BK13)</f>
        <v>316967.99</v>
      </c>
      <c r="BB13" s="13">
        <f>IF($D13="是",I13-J13,0)</f>
        <v>247091.11999999997</v>
      </c>
      <c r="BC13" s="13">
        <f>IF($D13="是",K13-L13,0)</f>
        <v>69876.87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047"/>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6"/>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37" sqref="I37"/>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43" t="s">
        <v>1131</v>
      </c>
      <c r="B2" s="3643"/>
      <c r="C2" s="3643"/>
      <c r="D2" s="792" t="s">
        <v>1107</v>
      </c>
      <c r="E2" s="1635" t="s">
        <v>1108</v>
      </c>
      <c r="F2" s="2655"/>
      <c r="G2" s="2646"/>
      <c r="H2" s="2647"/>
      <c r="I2" s="2321" t="s">
        <v>1132</v>
      </c>
      <c r="J2" s="2655"/>
      <c r="K2" s="2655"/>
      <c r="L2" s="2655"/>
      <c r="M2" s="2655"/>
      <c r="N2" s="2657"/>
      <c r="O2" s="2655"/>
      <c r="P2" s="2655"/>
    </row>
    <row r="3" spans="1:16" ht="15.75" thickBot="1">
      <c r="A3" s="3644" t="s">
        <v>1105</v>
      </c>
      <c r="B3" s="3644"/>
      <c r="C3" s="3644"/>
      <c r="D3" s="43">
        <f>'数据-基础表'!AY6</f>
        <v>65012.5</v>
      </c>
      <c r="E3" s="43">
        <f>'数据-基础表'!AZ5</f>
        <v>316967.99</v>
      </c>
      <c r="F3" s="2655"/>
      <c r="G3" s="1141"/>
      <c r="H3" s="1022" t="s">
        <v>1106</v>
      </c>
      <c r="I3" s="851">
        <f>ROUND('数据-基础表'!B3/'数据-基础表'!A3,2)</f>
        <v>4.88</v>
      </c>
      <c r="J3" s="2655"/>
      <c r="K3" s="2655"/>
      <c r="L3" s="2655"/>
      <c r="M3" s="2655"/>
      <c r="N3" s="2657"/>
      <c r="O3" s="2655"/>
      <c r="P3" s="2655"/>
    </row>
    <row r="4" spans="1:16" ht="15">
      <c r="A4" s="3645"/>
      <c r="B4" s="3646"/>
      <c r="C4" s="3647"/>
      <c r="D4" s="1637" t="s">
        <v>1107</v>
      </c>
      <c r="E4" s="1638" t="s">
        <v>1108</v>
      </c>
      <c r="F4" s="2655"/>
      <c r="G4" s="2648" t="s">
        <v>1133</v>
      </c>
      <c r="H4" s="1022" t="s">
        <v>1113</v>
      </c>
      <c r="I4" s="851">
        <f>ROUND(SUMIF('数据-基础表'!I9:AS9,"地上",'数据-基础表'!I5:AS5)/'数据-基础表'!A3,2)</f>
        <v>3.8</v>
      </c>
      <c r="J4" s="2655"/>
      <c r="K4" s="2655"/>
      <c r="L4" s="2655"/>
      <c r="M4" s="2655"/>
      <c r="N4" s="2657"/>
      <c r="O4" s="2655"/>
      <c r="P4" s="2655"/>
    </row>
    <row r="5" spans="1:16">
      <c r="A5" s="44" t="s">
        <v>1109</v>
      </c>
      <c r="B5" s="3648" t="s">
        <v>1110</v>
      </c>
      <c r="C5" s="3648"/>
      <c r="D5" s="45">
        <f>ROUND($D$3*E5/$E$3,2)</f>
        <v>0</v>
      </c>
      <c r="E5" s="46">
        <f>SUMIF('数据-基础表'!$11:$11,"住宅",'数据-基础表'!$5:$5)</f>
        <v>0</v>
      </c>
      <c r="F5" s="2655"/>
      <c r="G5" s="1141"/>
      <c r="H5" s="1022" t="s">
        <v>1106</v>
      </c>
      <c r="I5" s="851">
        <f>ROUND(E31/D31,2)</f>
        <v>4.88</v>
      </c>
      <c r="J5" s="2655"/>
      <c r="K5" s="2655"/>
      <c r="L5" s="2655"/>
      <c r="M5" s="2655"/>
      <c r="N5" s="2655"/>
      <c r="O5" s="2655"/>
      <c r="P5" s="2655"/>
    </row>
    <row r="6" spans="1:16" ht="15" thickBot="1">
      <c r="A6" s="1640"/>
      <c r="B6" s="3648" t="s">
        <v>1111</v>
      </c>
      <c r="C6" s="3648"/>
      <c r="D6" s="45">
        <f>ROUND($D$3*E6/$E$3,2)</f>
        <v>65012.5</v>
      </c>
      <c r="E6" s="46">
        <f>E3-E5</f>
        <v>316967.99</v>
      </c>
      <c r="F6" s="2655"/>
      <c r="G6" s="2649" t="s">
        <v>1112</v>
      </c>
      <c r="H6" s="1142" t="s">
        <v>1113</v>
      </c>
      <c r="I6" s="2650">
        <f>ROUND(F31/D31,2)</f>
        <v>3.8</v>
      </c>
      <c r="J6" s="2655"/>
      <c r="K6" s="2655"/>
      <c r="L6" s="2655"/>
      <c r="M6" s="2655"/>
      <c r="N6" s="2655"/>
      <c r="O6" s="2655"/>
      <c r="P6" s="2655"/>
    </row>
    <row r="7" spans="1:16" ht="15.75" thickBot="1">
      <c r="A7" s="3640"/>
      <c r="B7" s="3641"/>
      <c r="C7" s="3642"/>
      <c r="D7" s="1637" t="s">
        <v>1107</v>
      </c>
      <c r="E7" s="1641"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50680.23</v>
      </c>
      <c r="E8" s="48">
        <f>SUMIF('数据-基础表'!BB10:BK10,"地上",'数据-基础表'!BB5:BK5)</f>
        <v>247091.11999999997</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50680.23</v>
      </c>
      <c r="E16" s="50">
        <f>SUM(E8:E15)</f>
        <v>247091.11999999997</v>
      </c>
      <c r="F16" s="2655"/>
      <c r="G16" s="2656"/>
      <c r="H16" s="1644" t="s">
        <v>1135</v>
      </c>
      <c r="I16" s="1645"/>
      <c r="J16" s="1135"/>
      <c r="K16" s="3637" t="s">
        <v>1135</v>
      </c>
      <c r="L16" s="3638"/>
      <c r="M16" s="3638"/>
      <c r="N16" s="3638"/>
      <c r="O16" s="3638"/>
      <c r="P16" s="3639"/>
    </row>
    <row r="17" spans="1:19" ht="15">
      <c r="A17" s="1646" t="s">
        <v>1136</v>
      </c>
      <c r="B17" s="1647" t="s">
        <v>1137</v>
      </c>
      <c r="C17" s="1648" t="s">
        <v>1138</v>
      </c>
      <c r="D17" s="1649" t="s">
        <v>1126</v>
      </c>
      <c r="E17" s="1650" t="s">
        <v>1127</v>
      </c>
      <c r="F17" s="1651"/>
      <c r="G17" s="1652"/>
      <c r="H17" s="1653" t="s">
        <v>1139</v>
      </c>
      <c r="I17" s="1654" t="s">
        <v>1124</v>
      </c>
      <c r="J17" s="1135"/>
      <c r="K17" s="3634" t="s">
        <v>1140</v>
      </c>
      <c r="L17" s="3635"/>
      <c r="M17" s="3636"/>
      <c r="N17" s="3634" t="s">
        <v>1141</v>
      </c>
      <c r="O17" s="3635"/>
      <c r="P17" s="3636"/>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3452</v>
      </c>
      <c r="D19" s="45">
        <f>ROUND($D$3*E19/$E$3,2)</f>
        <v>13580.99</v>
      </c>
      <c r="E19" s="53">
        <f t="shared" ref="E19:E26" si="1">SUM(F19:G19)</f>
        <v>66214</v>
      </c>
      <c r="F19" s="2791">
        <f>面积!O9</f>
        <v>66214</v>
      </c>
      <c r="G19" s="2792"/>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13580.99</v>
      </c>
      <c r="S19" s="1023">
        <f t="shared" si="5"/>
        <v>66214</v>
      </c>
    </row>
    <row r="20" spans="1:19">
      <c r="A20" s="1666"/>
      <c r="B20" s="47" t="s">
        <v>1153</v>
      </c>
      <c r="C20" s="3413" t="s">
        <v>3453</v>
      </c>
      <c r="D20" s="45">
        <f t="shared" ref="D20:D26" si="6">ROUND($D$3*E20/$E$3,2)</f>
        <v>37099.25</v>
      </c>
      <c r="E20" s="53">
        <f t="shared" si="1"/>
        <v>180877.11999999997</v>
      </c>
      <c r="F20" s="2791">
        <f>面积!G18</f>
        <v>180877.11999999997</v>
      </c>
      <c r="G20" s="2792"/>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37099.25</v>
      </c>
      <c r="S20" s="1023">
        <f t="shared" si="5"/>
        <v>180877.11999999997</v>
      </c>
    </row>
    <row r="21" spans="1:19">
      <c r="A21" s="1666"/>
      <c r="B21" s="47" t="s">
        <v>1153</v>
      </c>
      <c r="C21" s="3413" t="s">
        <v>3454</v>
      </c>
      <c r="D21" s="45">
        <f t="shared" si="6"/>
        <v>14332.27</v>
      </c>
      <c r="E21" s="53">
        <f t="shared" si="1"/>
        <v>69876.87</v>
      </c>
      <c r="F21" s="2791"/>
      <c r="G21" s="2792">
        <f>面积!O12</f>
        <v>69876.87</v>
      </c>
      <c r="H21" s="667">
        <f t="shared" si="7"/>
        <v>0</v>
      </c>
      <c r="I21" s="48">
        <f t="shared" si="2"/>
        <v>0</v>
      </c>
      <c r="J21" s="1135"/>
      <c r="K21" s="1134">
        <f t="shared" si="3"/>
        <v>0</v>
      </c>
      <c r="L21" s="1022">
        <f t="shared" si="4"/>
        <v>0</v>
      </c>
      <c r="M21" s="1146">
        <f t="shared" si="8"/>
        <v>0</v>
      </c>
      <c r="N21" s="1664"/>
      <c r="O21" s="1665"/>
      <c r="P21" s="1146">
        <f t="shared" si="9"/>
        <v>0</v>
      </c>
      <c r="R21" s="1022">
        <f t="shared" si="5"/>
        <v>14332.27</v>
      </c>
      <c r="S21" s="1023">
        <f t="shared" si="5"/>
        <v>69876.87</v>
      </c>
    </row>
    <row r="22" spans="1:19">
      <c r="A22" s="1666"/>
      <c r="B22" s="47" t="s">
        <v>1153</v>
      </c>
      <c r="C22" s="3414"/>
      <c r="D22" s="45">
        <f t="shared" si="6"/>
        <v>0</v>
      </c>
      <c r="E22" s="53">
        <f t="shared" si="1"/>
        <v>0</v>
      </c>
      <c r="F22" s="2793"/>
      <c r="G22" s="2794"/>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1154</v>
      </c>
      <c r="D27" s="1136">
        <f>SUM(D19:D26)</f>
        <v>65012.509999999995</v>
      </c>
      <c r="E27" s="1137">
        <f>IF(SUM(E19:E26)='数据-基础表'!BA5,SUM(E19:E26),IF(F27="地上面积有误","面积有误","地下面积有误"))</f>
        <v>316967.99</v>
      </c>
      <c r="F27" s="1136">
        <f>IF(SUM(F19:F26)=E8,SUM(F19:F26),"地上面积有误")</f>
        <v>247091.11999999997</v>
      </c>
      <c r="G27" s="1138">
        <f>SUM(G19:G26)</f>
        <v>69876.87</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t="str">
        <f>IF(SUM(R19:R26)=$D$3,SUM(R19:R26),SUM(R19:R26)&amp;"误差"&amp;ROUND(SUM(R19:R26)-$D$3,2))</f>
        <v>65012.51误差0.01</v>
      </c>
      <c r="S27" s="1022">
        <f>IF(SUM(S19:S26)=$E$3,SUM(S19:S26),SUM(S19:S26)&amp;"误差"&amp;ROUND(SUM(S19:S26)-E3,2))</f>
        <v>316967.99</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2">
        <f>D27+D30</f>
        <v>65012.509999999995</v>
      </c>
      <c r="E31" s="672">
        <f>E27+E30</f>
        <v>316967.99</v>
      </c>
      <c r="F31" s="673">
        <f>F27+F30</f>
        <v>247091.11999999997</v>
      </c>
      <c r="G31" s="674">
        <f>G27+G30</f>
        <v>69876.87</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45421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3476</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3435</v>
      </c>
      <c r="D6" s="854">
        <f>SUMIF(项目基本情况!C$12:I$12,C6,项目基本情况!C$14:I$14)</f>
        <v>50</v>
      </c>
      <c r="E6" s="853">
        <f>IF(B6="","",SUMIF(项目基本情况!C$12:I$12,C6,项目基本情况!C$13:I$13))</f>
        <v>57734</v>
      </c>
      <c r="F6" s="64">
        <f>SUMIF(项目基本情况!C$12:I$12,C6,项目基本情况!C$15:I$15)</f>
        <v>33.729999999999997</v>
      </c>
      <c r="G6" s="65">
        <f>IF(ISERROR(ROUND(POWER(1+H6,D6-F6)*(POWER(1+H6,F6)-1)/(POWER(1+H6,D6)-1),3)),0,ROUND(POWER(1+H6,D6-F6)*(POWER(1+H6,F6)-1)/(POWER(1+H6,D6)-1),3))</f>
        <v>0.87</v>
      </c>
      <c r="H6" s="728">
        <v>4.4999999999999998E-2</v>
      </c>
      <c r="I6" s="728">
        <v>5.5E-2</v>
      </c>
      <c r="J6" s="66">
        <v>7.0000000000000007E-2</v>
      </c>
      <c r="K6" s="1026">
        <f>SUMIF('数据-汇总表'!C$19:C$33,A6,'数据-汇总表'!E$19:E$33)</f>
        <v>66214</v>
      </c>
      <c r="L6" s="729">
        <v>6500</v>
      </c>
      <c r="M6" s="67">
        <f t="shared" ref="M6:M14" si="0">ROUND(K6*L6/10000,0)</f>
        <v>43039</v>
      </c>
      <c r="N6" s="727">
        <f>取值过程!H16</f>
        <v>0.87</v>
      </c>
      <c r="O6" s="67" t="str">
        <f>IF($N$5="成新度","——",ROUND(M6*N6,0))</f>
        <v>——</v>
      </c>
      <c r="P6" s="68" t="str">
        <f>IF($N$5="成新度","——",M6-O6)</f>
        <v>——</v>
      </c>
      <c r="Q6" s="730">
        <v>0.2</v>
      </c>
      <c r="R6" s="69">
        <f ca="1">SUMIF('数据-汇总表'!C$19:C$33,A6,'数据-汇总表'!R$19:R$27)</f>
        <v>13580.99</v>
      </c>
      <c r="S6" s="51">
        <f>IF('数据-汇总表'!$I$17="按面积比例",SUMIF('数据-汇总表'!C$19:C$33,A6,'数据-汇总表'!K$19:K$33),SUMIF('数据-汇总表'!C$19:C$33,A6,'数据-汇总表'!N$19:N$33))</f>
        <v>0</v>
      </c>
      <c r="T6" s="1168">
        <f>ROUND($L$14*S6/10000,0)</f>
        <v>0</v>
      </c>
      <c r="U6" s="3424">
        <v>4</v>
      </c>
      <c r="V6" s="70">
        <v>2.5000000000000001E-2</v>
      </c>
      <c r="W6" s="70">
        <v>0.1</v>
      </c>
      <c r="X6" s="1036"/>
      <c r="Y6" s="71">
        <f>N6</f>
        <v>0.87</v>
      </c>
      <c r="Z6" s="72"/>
      <c r="AA6" s="66"/>
      <c r="AB6" s="66"/>
      <c r="AC6" s="1036"/>
      <c r="AD6" s="73"/>
      <c r="AE6" s="1037">
        <f ca="1">IF(AN6="",0,SUMIF(INDIRECT("'"&amp;AN6&amp;"'"&amp;"!E:E"),$AE$5,INDIRECT("'"&amp;AN6&amp;"'"&amp;"!F:F")))</f>
        <v>33.729999999999997</v>
      </c>
      <c r="AF6" s="1344"/>
      <c r="AG6" s="135">
        <f>IF(AF6="",0,AE6-AF6)</f>
        <v>0</v>
      </c>
      <c r="AH6" s="74"/>
      <c r="AI6" s="76">
        <v>365</v>
      </c>
      <c r="AJ6" s="77"/>
      <c r="AK6" s="733">
        <v>5.0000000000000001E-3</v>
      </c>
      <c r="AL6" s="79">
        <v>1E-3</v>
      </c>
      <c r="AM6" s="735">
        <f>AK6</f>
        <v>5.0000000000000001E-3</v>
      </c>
      <c r="AN6" s="1711" t="s">
        <v>3480</v>
      </c>
      <c r="AO6" s="52">
        <f ca="1">SUMIF(INDIRECT("'"&amp;AN6&amp;"'"&amp;"!A:A"),"总价",INDIRECT("'"&amp;AN6&amp;"'"&amp;"!B:B"))</f>
        <v>143919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v>
      </c>
      <c r="B7" s="1709" t="str">
        <f t="shared" ref="B7:B13" si="1">IF(A7=0,"","经营性")</f>
        <v>经营性</v>
      </c>
      <c r="C7" s="1710" t="s">
        <v>3435</v>
      </c>
      <c r="D7" s="854">
        <f>SUMIF(项目基本情况!C$12:I$12,C7,项目基本情况!C$14:I$14)</f>
        <v>50</v>
      </c>
      <c r="E7" s="853">
        <f>IF(B7="","",SUMIF(项目基本情况!C$12:I$12,C7,项目基本情况!C$13:I$13))</f>
        <v>57734</v>
      </c>
      <c r="F7" s="64">
        <f>SUMIF(项目基本情况!C$12:I$12,C7,项目基本情况!C$15:I$15)</f>
        <v>33.729999999999997</v>
      </c>
      <c r="G7" s="65">
        <f t="shared" ref="G7:G11" si="2">IF(ISERROR(ROUND(POWER(1+H7,D7-F7)*(POWER(1+H7,F7)-1)/(POWER(1+H7,D7)-1),3)),0,ROUND(POWER(1+H7,D7-F7)*(POWER(1+H7,F7)-1)/(POWER(1+H7,D7)-1),3))</f>
        <v>0.87</v>
      </c>
      <c r="H7" s="728">
        <v>4.4999999999999998E-2</v>
      </c>
      <c r="I7" s="728">
        <v>5.5E-2</v>
      </c>
      <c r="J7" s="66">
        <v>7.0000000000000007E-2</v>
      </c>
      <c r="K7" s="1026">
        <f>SUMIF('数据-汇总表'!C$19:C$33,A7,'数据-汇总表'!E$19:E$33)</f>
        <v>180877.11999999997</v>
      </c>
      <c r="L7" s="729">
        <v>6200</v>
      </c>
      <c r="M7" s="67">
        <f t="shared" si="0"/>
        <v>112144</v>
      </c>
      <c r="N7" s="727">
        <f>N6</f>
        <v>0.87</v>
      </c>
      <c r="O7" s="67" t="str">
        <f t="shared" ref="O7:O14" si="3">IF($N$5="成新度","——",ROUND(M7*N7,0))</f>
        <v>——</v>
      </c>
      <c r="P7" s="68" t="str">
        <f t="shared" ref="P7:P14" si="4">IF($N$5="成新度","——",M7-O7)</f>
        <v>——</v>
      </c>
      <c r="Q7" s="730">
        <v>0.15</v>
      </c>
      <c r="R7" s="69">
        <f ca="1">SUMIF('数据-汇总表'!C$19:C$33,A7,'数据-汇总表'!R$19:R$27)</f>
        <v>37099.25</v>
      </c>
      <c r="S7" s="51">
        <f>IF('数据-汇总表'!$I$17="按面积比例",SUMIF('数据-汇总表'!C$19:C$33,A7,'数据-汇总表'!K$19:K$33),SUMIF('数据-汇总表'!C$19:C$33,A7,'数据-汇总表'!N$19:N$33))</f>
        <v>0</v>
      </c>
      <c r="T7" s="1168">
        <f t="shared" ref="T7:T13" si="5">ROUND($L$14*S7/10000,0)</f>
        <v>0</v>
      </c>
      <c r="U7" s="3424">
        <v>3.75</v>
      </c>
      <c r="V7" s="70">
        <v>2.5000000000000001E-2</v>
      </c>
      <c r="W7" s="70">
        <v>0.1</v>
      </c>
      <c r="X7" s="1036"/>
      <c r="Y7" s="71">
        <f>N8</f>
        <v>0.87</v>
      </c>
      <c r="Z7" s="72"/>
      <c r="AA7" s="66"/>
      <c r="AB7" s="66"/>
      <c r="AC7" s="1036"/>
      <c r="AD7" s="73"/>
      <c r="AE7" s="1037">
        <f t="shared" ref="AE7:AE13" ca="1" si="6">IF(AN7="",0,SUMIF(INDIRECT("'"&amp;AN7&amp;"'"&amp;"!E:E"),$AE$5,INDIRECT("'"&amp;AN7&amp;"'"&amp;"!F:F")))</f>
        <v>33.729999999999997</v>
      </c>
      <c r="AF7" s="1344"/>
      <c r="AG7" s="135">
        <f t="shared" ref="AG7:AG13" si="7">IF(AF7="",0,AE7-AF7)</f>
        <v>0</v>
      </c>
      <c r="AH7" s="74"/>
      <c r="AI7" s="76">
        <v>365</v>
      </c>
      <c r="AJ7" s="77"/>
      <c r="AK7" s="733">
        <v>5.0000000000000001E-3</v>
      </c>
      <c r="AL7" s="79">
        <v>1E-3</v>
      </c>
      <c r="AM7" s="735">
        <f>AK7</f>
        <v>5.0000000000000001E-3</v>
      </c>
      <c r="AN7" s="1711" t="s">
        <v>3486</v>
      </c>
      <c r="AO7" s="52">
        <f t="shared" ref="AO7:AO13" ca="1" si="8">SUMIF(INDIRECT("'"&amp;AN7&amp;"'"&amp;"!A:A"),"总价",INDIRECT("'"&amp;AN7&amp;"'"&amp;"!B:B"))</f>
        <v>368903</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3336</v>
      </c>
      <c r="D8" s="854">
        <f>SUMIF(项目基本情况!C$12:I$12,C8,项目基本情况!C$14:I$14)</f>
        <v>50</v>
      </c>
      <c r="E8" s="853">
        <f>IF(B8="","",SUMIF(项目基本情况!C$12:I$12,C8,项目基本情况!C$13:I$13))</f>
        <v>57734</v>
      </c>
      <c r="F8" s="64">
        <f>SUMIF(项目基本情况!C$12:I$12,C8,项目基本情况!C$15:I$15)</f>
        <v>33.729999999999997</v>
      </c>
      <c r="G8" s="65">
        <f t="shared" si="2"/>
        <v>0.85399999999999998</v>
      </c>
      <c r="H8" s="728">
        <v>0.04</v>
      </c>
      <c r="I8" s="728">
        <v>0.05</v>
      </c>
      <c r="J8" s="66">
        <v>7.0000000000000007E-2</v>
      </c>
      <c r="K8" s="1026">
        <f>SUMIF('数据-汇总表'!C$19:C$33,A8,'数据-汇总表'!E$19:E$33)</f>
        <v>69876.87</v>
      </c>
      <c r="L8" s="729">
        <v>5500</v>
      </c>
      <c r="M8" s="67">
        <f>ROUND(K8*L8/10000,0)</f>
        <v>38432</v>
      </c>
      <c r="N8" s="727">
        <f>N7</f>
        <v>0.87</v>
      </c>
      <c r="O8" s="67" t="str">
        <f t="shared" si="3"/>
        <v>——</v>
      </c>
      <c r="P8" s="68" t="str">
        <f t="shared" si="4"/>
        <v>——</v>
      </c>
      <c r="Q8" s="730">
        <v>0.05</v>
      </c>
      <c r="R8" s="69">
        <f ca="1">SUMIF('数据-汇总表'!C$19:C$33,A8,'数据-汇总表'!R$19:R$27)</f>
        <v>14332.27</v>
      </c>
      <c r="S8" s="51">
        <f>IF('数据-汇总表'!$I$17="按面积比例",SUMIF('数据-汇总表'!C$19:C$33,A8,'数据-汇总表'!K$19:K$33),SUMIF('数据-汇总表'!C$19:C$33,A8,'数据-汇总表'!N$19:N$33))</f>
        <v>0</v>
      </c>
      <c r="T8" s="1168">
        <f t="shared" si="5"/>
        <v>0</v>
      </c>
      <c r="U8" s="3425">
        <v>600</v>
      </c>
      <c r="V8" s="731">
        <v>0.02</v>
      </c>
      <c r="W8" s="731">
        <v>0.1</v>
      </c>
      <c r="X8" s="1036"/>
      <c r="Y8" s="71">
        <f>Y7</f>
        <v>0.87</v>
      </c>
      <c r="Z8" s="72"/>
      <c r="AA8" s="66"/>
      <c r="AB8" s="66"/>
      <c r="AC8" s="1036"/>
      <c r="AD8" s="73"/>
      <c r="AE8" s="1037">
        <f t="shared" ca="1" si="6"/>
        <v>33.729999999999997</v>
      </c>
      <c r="AF8" s="1344"/>
      <c r="AG8" s="135">
        <f t="shared" si="7"/>
        <v>0</v>
      </c>
      <c r="AH8" s="732">
        <v>1052</v>
      </c>
      <c r="AI8" s="76">
        <v>12</v>
      </c>
      <c r="AJ8" s="77"/>
      <c r="AK8" s="733">
        <v>5.0000000000000001E-3</v>
      </c>
      <c r="AL8" s="734">
        <v>1E-3</v>
      </c>
      <c r="AM8" s="735">
        <f>AK8</f>
        <v>5.0000000000000001E-3</v>
      </c>
      <c r="AN8" s="1711" t="s">
        <v>3495</v>
      </c>
      <c r="AO8" s="52">
        <f t="shared" ca="1" si="8"/>
        <v>7191</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5">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5">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5">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5">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5">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f>L8</f>
        <v>5500</v>
      </c>
      <c r="M14" s="67">
        <f t="shared" si="0"/>
        <v>0</v>
      </c>
      <c r="N14" s="83">
        <f>N8</f>
        <v>0.87</v>
      </c>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5"/>
      <c r="AH14" s="1037"/>
      <c r="AI14" s="1353"/>
      <c r="AJ14" s="700"/>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5"/>
      <c r="AH15" s="1037"/>
      <c r="AI15" s="1353"/>
      <c r="AJ15" s="700"/>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0.86599999999999999</v>
      </c>
      <c r="H16" s="90">
        <f>ROUND(SUMPRODUCT(H6:H13,K6:K13)/SUMPRODUCT((H6:H13&gt;0)*(K6:K13)),3)</f>
        <v>4.3999999999999997E-2</v>
      </c>
      <c r="I16" s="91"/>
      <c r="J16" s="91"/>
      <c r="K16" s="92">
        <f>SUM(K6:K15)</f>
        <v>316967.99</v>
      </c>
      <c r="L16" s="93">
        <f>ROUND(M16*10000/SUM(K6:K14),0)</f>
        <v>6108</v>
      </c>
      <c r="M16" s="93">
        <f>SUM(M6:M14)</f>
        <v>193615</v>
      </c>
      <c r="N16" s="94">
        <f>ROUND(SUMPRODUCT(M6:M14,N6:N14)/M16,3)</f>
        <v>0.87</v>
      </c>
      <c r="O16" s="93">
        <f>SUM(O6:O14)</f>
        <v>0</v>
      </c>
      <c r="P16" s="93">
        <f>SUM(P6:P14)</f>
        <v>0</v>
      </c>
      <c r="Q16" s="95">
        <f>ROUND(SUMPRODUCT(Q6:Q13,K6:K13)/SUMPRODUCT((Q6:Q13&gt;0)*(K6:K13)),2)</f>
        <v>0.14000000000000001</v>
      </c>
      <c r="R16" s="1030">
        <f ca="1">SUM(R6:R13)</f>
        <v>65012.509999999995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2.5</v>
      </c>
      <c r="C20" s="2796" t="s">
        <v>2303</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200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160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0">
        <f>ROUND(B28*K16/10000,0)</f>
        <v>5071</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3502">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8">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69">
        <v>0.05</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2">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4">
        <v>0.03</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2">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4">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5">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7">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8">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3503">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3503">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3504"/>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3505">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3503">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19">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0">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1">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2"/>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49" t="s">
        <v>2286</v>
      </c>
      <c r="B1" s="3650"/>
      <c r="C1" s="3650"/>
      <c r="D1" s="3650"/>
      <c r="E1" s="3650"/>
      <c r="F1" s="3650"/>
      <c r="G1" s="365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6.75">
      <c r="A4" s="2438"/>
      <c r="B4" s="320" t="s">
        <v>2254</v>
      </c>
      <c r="C4" s="2464" t="s">
        <v>2255</v>
      </c>
      <c r="D4" s="2461"/>
      <c r="E4" s="2465"/>
      <c r="F4" s="1369" t="s">
        <v>2256</v>
      </c>
      <c r="G4" s="2466" t="s">
        <v>2257</v>
      </c>
      <c r="H4" s="795"/>
      <c r="I4" s="795"/>
      <c r="J4" s="795"/>
      <c r="K4" s="795"/>
      <c r="L4" s="795"/>
      <c r="M4" s="795"/>
      <c r="N4" s="795"/>
      <c r="O4" s="795"/>
      <c r="P4" s="795"/>
      <c r="Q4" s="795"/>
      <c r="R4" s="795"/>
    </row>
    <row r="5" spans="1:29" ht="36.75">
      <c r="A5" s="2438"/>
      <c r="B5" s="320" t="s">
        <v>2258</v>
      </c>
      <c r="C5" s="2464" t="s">
        <v>2259</v>
      </c>
      <c r="D5" s="2461"/>
      <c r="E5" s="2465"/>
      <c r="F5" s="320" t="s">
        <v>2260</v>
      </c>
      <c r="G5" s="2466" t="s">
        <v>2261</v>
      </c>
      <c r="H5" s="795"/>
      <c r="I5" s="795"/>
      <c r="J5" s="795"/>
      <c r="K5" s="795"/>
      <c r="L5" s="795"/>
      <c r="M5" s="795"/>
      <c r="N5" s="795"/>
      <c r="O5" s="795"/>
      <c r="P5" s="795"/>
      <c r="Q5" s="795"/>
      <c r="R5" s="795"/>
    </row>
    <row r="6" spans="1:29" ht="36">
      <c r="A6" s="2438"/>
      <c r="B6" s="320" t="s">
        <v>2262</v>
      </c>
      <c r="C6" s="2466" t="s">
        <v>2257</v>
      </c>
      <c r="D6" s="2461"/>
      <c r="E6" s="2465"/>
      <c r="F6" s="320" t="s">
        <v>2263</v>
      </c>
      <c r="G6" s="2466" t="s">
        <v>2264</v>
      </c>
      <c r="H6" s="795"/>
      <c r="I6" s="795"/>
      <c r="J6" s="795"/>
      <c r="K6" s="795"/>
      <c r="L6" s="795"/>
      <c r="M6" s="795"/>
      <c r="N6" s="795"/>
      <c r="O6" s="795"/>
      <c r="P6" s="795"/>
      <c r="Q6" s="795"/>
      <c r="R6" s="795"/>
    </row>
    <row r="7" spans="1:29" ht="24.75" thickBot="1">
      <c r="A7" s="2438"/>
      <c r="B7" s="320" t="s">
        <v>2260</v>
      </c>
      <c r="C7" s="2466" t="s">
        <v>2261</v>
      </c>
      <c r="D7" s="2467"/>
      <c r="E7" s="2468"/>
      <c r="F7" s="2469" t="s">
        <v>2265</v>
      </c>
      <c r="G7" s="2470" t="s">
        <v>2266</v>
      </c>
      <c r="H7" s="795"/>
      <c r="I7" s="795"/>
      <c r="J7" s="795"/>
      <c r="K7" s="795"/>
      <c r="L7" s="795"/>
      <c r="M7" s="795"/>
      <c r="N7" s="795"/>
      <c r="O7" s="795"/>
      <c r="P7" s="795"/>
      <c r="Q7" s="795"/>
      <c r="R7" s="795"/>
    </row>
    <row r="8" spans="1:29">
      <c r="A8" s="2438"/>
      <c r="B8" s="320" t="s">
        <v>2263</v>
      </c>
      <c r="C8" s="2466" t="s">
        <v>2264</v>
      </c>
      <c r="D8" s="2467"/>
      <c r="E8" s="2467"/>
      <c r="F8" s="2471"/>
      <c r="G8" s="2471"/>
      <c r="H8" s="795"/>
      <c r="I8" s="795"/>
      <c r="J8" s="795"/>
      <c r="K8" s="795"/>
      <c r="L8" s="795"/>
      <c r="M8" s="795"/>
      <c r="N8" s="795"/>
      <c r="O8" s="795"/>
      <c r="P8" s="795"/>
      <c r="Q8" s="795"/>
      <c r="R8" s="795"/>
    </row>
    <row r="9" spans="1:29" ht="24">
      <c r="A9" s="2438"/>
      <c r="B9" s="320" t="s">
        <v>2267</v>
      </c>
      <c r="C9" s="2464" t="s">
        <v>2268</v>
      </c>
      <c r="D9" s="2461"/>
      <c r="E9" s="2467"/>
      <c r="F9" s="2471"/>
      <c r="G9" s="2471"/>
      <c r="H9" s="795"/>
      <c r="I9" s="795"/>
      <c r="J9" s="795"/>
      <c r="K9" s="795"/>
      <c r="L9" s="795"/>
      <c r="M9" s="795"/>
      <c r="N9" s="795"/>
      <c r="O9" s="795"/>
      <c r="P9" s="795"/>
      <c r="Q9" s="795"/>
      <c r="R9" s="795"/>
    </row>
    <row r="10" spans="1:29" s="2477" customFormat="1" ht="15" thickBot="1">
      <c r="A10" s="2439"/>
      <c r="B10" s="2472" t="s">
        <v>2269</v>
      </c>
      <c r="C10" s="2473" t="s">
        <v>3479</v>
      </c>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0"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0" t="s">
        <v>2263</v>
      </c>
      <c r="G20" s="2499" t="str">
        <f>G6</f>
        <v>估价对象所在区域基础设施水平</v>
      </c>
    </row>
    <row r="21" spans="1:18" ht="25.5">
      <c r="A21" s="2442"/>
      <c r="B21" s="320" t="s">
        <v>2260</v>
      </c>
      <c r="C21" s="2499" t="str">
        <f>C7</f>
        <v>估价对象所在区域公共配套设施齐备情况</v>
      </c>
      <c r="D21" s="2461"/>
      <c r="E21" s="2443"/>
      <c r="F21" s="2498" t="s">
        <v>2278</v>
      </c>
      <c r="G21" s="2501"/>
    </row>
    <row r="22" spans="1:18" ht="13.5" customHeight="1">
      <c r="A22" s="2442"/>
      <c r="B22" s="320" t="s">
        <v>2263</v>
      </c>
      <c r="C22" s="2499" t="str">
        <f>C8</f>
        <v>估价对象所在区域基础设施水平</v>
      </c>
      <c r="D22" s="2461"/>
      <c r="E22" s="2443"/>
      <c r="F22" s="2498" t="s">
        <v>2269</v>
      </c>
      <c r="G22" s="2500"/>
    </row>
    <row r="23" spans="1:18" s="795" customFormat="1" ht="15"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5" thickBot="1">
      <c r="A24" s="2445"/>
      <c r="B24" s="2502" t="s">
        <v>2280</v>
      </c>
      <c r="C24" s="2504" t="str">
        <f>C10</f>
        <v>主干道-荣京东街</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316967.99</v>
      </c>
      <c r="C1" s="2682"/>
      <c r="D1" s="2682"/>
      <c r="E1" s="2682"/>
      <c r="F1" s="2682"/>
      <c r="G1" s="2683"/>
      <c r="H1" s="2684"/>
      <c r="I1" s="2684"/>
      <c r="J1" s="2684"/>
      <c r="K1" s="2684"/>
    </row>
    <row r="2" spans="1:11" ht="16.5">
      <c r="A2" s="2508" t="s">
        <v>653</v>
      </c>
      <c r="B2" s="2508">
        <f>SUM(C14:C23)</f>
        <v>65012.5</v>
      </c>
      <c r="C2" s="2682"/>
      <c r="D2" s="2682"/>
      <c r="E2" s="2682"/>
      <c r="F2" s="2682"/>
      <c r="G2" s="2683"/>
      <c r="H2" s="2684"/>
      <c r="I2" s="2684"/>
      <c r="J2" s="2684"/>
      <c r="K2" s="2684"/>
    </row>
    <row r="3" spans="1:11" ht="16.5">
      <c r="A3" s="2508" t="s">
        <v>662</v>
      </c>
      <c r="B3" s="2510">
        <f>项目基本情况!D3</f>
        <v>45421</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621680</v>
      </c>
      <c r="C5" s="2508">
        <f ca="1">IF(B5=D14,结果表!H102,ROUND(B5*10000/$B$1,0))</f>
        <v>19613</v>
      </c>
      <c r="D5" s="2508">
        <f ca="1">ROUND(B5*10000/$B$2,0)</f>
        <v>95625</v>
      </c>
      <c r="E5" s="2682"/>
      <c r="F5" s="2683"/>
      <c r="G5" s="2683"/>
      <c r="H5" s="2684"/>
      <c r="I5" s="2684"/>
      <c r="J5" s="2684"/>
      <c r="K5" s="2684"/>
    </row>
    <row r="6" spans="1:11" ht="16.5">
      <c r="A6" s="2508" t="s">
        <v>656</v>
      </c>
      <c r="B6" s="2508">
        <f ca="1">SUM(G14:G23)</f>
        <v>621680</v>
      </c>
      <c r="C6" s="2508">
        <f ca="1">IF(B6=G14,结果表!H108,ROUND(B6*10000/$B$1,0))</f>
        <v>19613</v>
      </c>
      <c r="D6" s="2508">
        <f ca="1">ROUND(B6*10000/$B$2,0)</f>
        <v>95625</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 ca="1">SUM(I14:I23)</f>
        <v>559201</v>
      </c>
      <c r="C8" s="2508">
        <f ca="1">IF(B8=I14,结果表!H112,ROUND(B8*10000/$B$1,0))</f>
        <v>17642</v>
      </c>
      <c r="D8" s="2508">
        <f ca="1">ROUND(B8*10000/$B$2,0)</f>
        <v>86014</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3359</v>
      </c>
      <c r="D10" s="2508" t="s">
        <v>3360</v>
      </c>
      <c r="E10" s="3437"/>
      <c r="F10" s="3441" t="s">
        <v>3361</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316967.99</v>
      </c>
      <c r="C14" s="2514">
        <f>结果表!C118</f>
        <v>65012.5</v>
      </c>
      <c r="D14" s="2514">
        <f ca="1">结果表!H118</f>
        <v>621680</v>
      </c>
      <c r="E14" s="2514">
        <f ca="1">ROUND(D14*10000/B14,0)</f>
        <v>19613</v>
      </c>
      <c r="F14" s="2514">
        <f ca="1">ROUND(D14*10000/C14,0)</f>
        <v>95625</v>
      </c>
      <c r="G14" s="2514">
        <f ca="1">D14</f>
        <v>621680</v>
      </c>
      <c r="H14" s="2514"/>
      <c r="I14" s="2514">
        <f ca="1">结果表!D126</f>
        <v>559201</v>
      </c>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58" t="str">
        <f>项目基本情况!B1</f>
        <v>北京市房地产抵押价值预评估</v>
      </c>
      <c r="C37" s="3558"/>
      <c r="D37" s="3558"/>
      <c r="E37" s="3558"/>
      <c r="F37" s="3558"/>
      <c r="G37" s="3558"/>
      <c r="H37" s="3558"/>
      <c r="I37" s="3558"/>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郑燚（注册号：1120070131)、吴薇（注册号：1419970001)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67" sqref="G67"/>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t="s">
        <v>3488</v>
      </c>
      <c r="H1" s="1746" t="str">
        <f>IF(G1="现房","——","估价对象范围")</f>
        <v>——</v>
      </c>
      <c r="I1" s="1747" t="s">
        <v>3489</v>
      </c>
    </row>
    <row r="2" spans="1:12" ht="21.75" customHeight="1" thickBot="1">
      <c r="A2" s="3685" t="str">
        <f>项目基本情况!S2</f>
        <v>北京市房地产</v>
      </c>
      <c r="B2" s="3686"/>
      <c r="C2" s="3686"/>
      <c r="D2" s="3686"/>
      <c r="E2" s="3686"/>
      <c r="F2" s="3686"/>
      <c r="G2" s="3686"/>
      <c r="H2" s="3686"/>
      <c r="I2" s="3687"/>
    </row>
    <row r="3" spans="1:12" ht="12.75">
      <c r="A3" s="3689" t="s">
        <v>1264</v>
      </c>
      <c r="B3" s="3690"/>
      <c r="C3" s="3690"/>
      <c r="D3" s="3690"/>
      <c r="E3" s="3690"/>
      <c r="F3" s="3690"/>
      <c r="G3" s="3690"/>
      <c r="H3" s="3690"/>
      <c r="I3" s="3690"/>
    </row>
    <row r="4" spans="1:12" ht="14.25">
      <c r="A4" s="1750" t="s">
        <v>1265</v>
      </c>
      <c r="B4" s="1751" t="s">
        <v>1266</v>
      </c>
      <c r="C4" s="1752" t="s">
        <v>3760</v>
      </c>
      <c r="D4" s="1752" t="s">
        <v>3491</v>
      </c>
      <c r="E4" s="3691" t="s">
        <v>1267</v>
      </c>
      <c r="F4" s="3692"/>
      <c r="G4" s="3692"/>
      <c r="H4" s="3692"/>
      <c r="I4" s="3693"/>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65" t="s">
        <v>1268</v>
      </c>
      <c r="B5" s="3652">
        <v>25</v>
      </c>
      <c r="C5" s="3668"/>
      <c r="D5" s="3688"/>
      <c r="E5" s="128" t="s">
        <v>1269</v>
      </c>
      <c r="F5" s="1753"/>
      <c r="G5" s="1753"/>
      <c r="H5" s="1753"/>
      <c r="I5" s="1369"/>
    </row>
    <row r="6" spans="1:12" ht="12.75">
      <c r="A6" s="3665"/>
      <c r="B6" s="3652"/>
      <c r="C6" s="3669"/>
      <c r="D6" s="3688"/>
      <c r="E6" s="128" t="s">
        <v>1270</v>
      </c>
      <c r="F6" s="1753"/>
      <c r="G6" s="1753"/>
      <c r="H6" s="1753"/>
      <c r="I6" s="1369"/>
    </row>
    <row r="7" spans="1:12" ht="12.75">
      <c r="A7" s="3665"/>
      <c r="B7" s="3652"/>
      <c r="C7" s="3670"/>
      <c r="D7" s="3688"/>
      <c r="E7" s="128" t="s">
        <v>1271</v>
      </c>
      <c r="F7" s="1753"/>
      <c r="G7" s="1753"/>
      <c r="H7" s="1753"/>
      <c r="I7" s="1369"/>
    </row>
    <row r="8" spans="1:12" ht="12.75">
      <c r="A8" s="3665" t="s">
        <v>1272</v>
      </c>
      <c r="B8" s="3652">
        <v>15</v>
      </c>
      <c r="C8" s="3668"/>
      <c r="D8" s="3688"/>
      <c r="E8" s="128" t="s">
        <v>1273</v>
      </c>
      <c r="F8" s="1753"/>
      <c r="G8" s="1753"/>
      <c r="H8" s="1753"/>
      <c r="I8" s="1369"/>
    </row>
    <row r="9" spans="1:12" ht="12.75">
      <c r="A9" s="3665"/>
      <c r="B9" s="3652"/>
      <c r="C9" s="3670"/>
      <c r="D9" s="3688"/>
      <c r="E9" s="128" t="s">
        <v>1274</v>
      </c>
      <c r="F9" s="1753"/>
      <c r="G9" s="1753"/>
      <c r="H9" s="1753"/>
      <c r="I9" s="1369"/>
    </row>
    <row r="10" spans="1:12" ht="12.75">
      <c r="A10" s="3665" t="s">
        <v>1275</v>
      </c>
      <c r="B10" s="3652">
        <v>15</v>
      </c>
      <c r="C10" s="3668"/>
      <c r="D10" s="3688"/>
      <c r="E10" s="128" t="s">
        <v>1276</v>
      </c>
      <c r="F10" s="1753"/>
      <c r="G10" s="1753"/>
      <c r="H10" s="1753"/>
      <c r="I10" s="1369"/>
    </row>
    <row r="11" spans="1:12" ht="12.75">
      <c r="A11" s="3665"/>
      <c r="B11" s="3652"/>
      <c r="C11" s="3670"/>
      <c r="D11" s="3688"/>
      <c r="E11" s="128" t="s">
        <v>1277</v>
      </c>
      <c r="F11" s="1753"/>
      <c r="G11" s="1753"/>
      <c r="H11" s="1753"/>
      <c r="I11" s="1369"/>
    </row>
    <row r="12" spans="1:12" ht="12.75">
      <c r="A12" s="3665" t="s">
        <v>1278</v>
      </c>
      <c r="B12" s="3652">
        <v>15</v>
      </c>
      <c r="C12" s="3668"/>
      <c r="D12" s="3688"/>
      <c r="E12" s="128" t="s">
        <v>1279</v>
      </c>
      <c r="F12" s="1753"/>
      <c r="G12" s="1753"/>
      <c r="H12" s="1753"/>
      <c r="I12" s="1369"/>
    </row>
    <row r="13" spans="1:12" ht="12.75">
      <c r="A13" s="3665"/>
      <c r="B13" s="3652"/>
      <c r="C13" s="3670"/>
      <c r="D13" s="3688"/>
      <c r="E13" s="128" t="s">
        <v>1280</v>
      </c>
      <c r="F13" s="1753"/>
      <c r="G13" s="1753"/>
      <c r="H13" s="1753"/>
      <c r="I13" s="1369"/>
    </row>
    <row r="14" spans="1:12" ht="12.75">
      <c r="A14" s="3665" t="s">
        <v>1281</v>
      </c>
      <c r="B14" s="3652">
        <v>30</v>
      </c>
      <c r="C14" s="3668">
        <v>7</v>
      </c>
      <c r="D14" s="3688">
        <v>3</v>
      </c>
      <c r="E14" s="128" t="s">
        <v>1282</v>
      </c>
      <c r="F14" s="1753"/>
      <c r="G14" s="1753"/>
      <c r="H14" s="1753"/>
      <c r="I14" s="1369"/>
    </row>
    <row r="15" spans="1:12" ht="12.75">
      <c r="A15" s="3665"/>
      <c r="B15" s="3652"/>
      <c r="C15" s="3669"/>
      <c r="D15" s="3688"/>
      <c r="E15" s="128" t="s">
        <v>1283</v>
      </c>
      <c r="F15" s="1753"/>
      <c r="G15" s="1753"/>
      <c r="H15" s="1753"/>
      <c r="I15" s="1369"/>
    </row>
    <row r="16" spans="1:12" ht="12.75">
      <c r="A16" s="3665"/>
      <c r="B16" s="3652"/>
      <c r="C16" s="3670"/>
      <c r="D16" s="3688"/>
      <c r="E16" s="128" t="s">
        <v>1284</v>
      </c>
      <c r="F16" s="1753"/>
      <c r="G16" s="1753"/>
      <c r="H16" s="1753"/>
      <c r="I16" s="1369"/>
    </row>
    <row r="17" spans="1:36" ht="15">
      <c r="A17" s="1754" t="s">
        <v>1285</v>
      </c>
      <c r="B17" s="56"/>
      <c r="C17" s="129">
        <f>SUM(C5:C16)</f>
        <v>7</v>
      </c>
      <c r="D17" s="129">
        <f>SUM(D5:D16)</f>
        <v>3</v>
      </c>
      <c r="E17" s="126"/>
      <c r="F17" s="126"/>
      <c r="G17" s="126"/>
      <c r="H17" s="126"/>
      <c r="I17" s="126"/>
      <c r="K17" s="299"/>
      <c r="L17" s="299" t="s">
        <v>1286</v>
      </c>
      <c r="M17" s="299" t="s">
        <v>1287</v>
      </c>
    </row>
    <row r="18" spans="1:36" ht="31.9" customHeight="1" thickBot="1">
      <c r="A18" s="1755" t="s">
        <v>1288</v>
      </c>
      <c r="B18" s="1756"/>
      <c r="C18" s="130">
        <f>ROUND(C17/SUM(C17:D17),2)</f>
        <v>0.7</v>
      </c>
      <c r="D18" s="130">
        <f>1-C18</f>
        <v>0.30000000000000004</v>
      </c>
      <c r="E18" s="3675" t="s">
        <v>2131</v>
      </c>
      <c r="F18" s="3676"/>
      <c r="G18" s="3676"/>
      <c r="H18" s="3676"/>
      <c r="I18" s="3676"/>
      <c r="K18" s="299" t="s">
        <v>1289</v>
      </c>
      <c r="L18" s="299">
        <f>IF(C1="",'数据-汇总表'!E3,SUMIF(项目类型,C1,'数据-汇总表'!E17:E26)+SUMIF(项目类型,C1,'数据-汇总表'!I17:I26))</f>
        <v>316967.99</v>
      </c>
      <c r="M18" s="299">
        <f>IF(C1="",'数据-汇总表'!E3,SUMIF(项目类型,C1,'数据-汇总表'!E17:E26))</f>
        <v>316967.99</v>
      </c>
    </row>
    <row r="19" spans="1:36" ht="15">
      <c r="A19" s="1757" t="s">
        <v>1290</v>
      </c>
      <c r="B19" s="1758" t="s">
        <v>1291</v>
      </c>
      <c r="C19" s="131">
        <f ca="1">SUMIF(INDIRECT("'"&amp;C4&amp;"'"&amp;"!A:A"),结果表!B19,INDIRECT("'"&amp;C4&amp;"'"&amp;"!B:B"))</f>
        <v>665252</v>
      </c>
      <c r="D19" s="132">
        <f ca="1">SUMIF(INDIRECT("'"&amp;D4&amp;"'"&amp;"!A:A"),结果表!B19,INDIRECT("'"&amp;D4&amp;"'"&amp;"!B:B"))</f>
        <v>520013</v>
      </c>
      <c r="E19" s="1757" t="s">
        <v>1292</v>
      </c>
      <c r="F19" s="1758" t="s">
        <v>1291</v>
      </c>
      <c r="G19" s="133">
        <f ca="1">ROUND(C19*$C$18+D19*$D$18,0)</f>
        <v>621680</v>
      </c>
      <c r="H19" s="1759" t="s">
        <v>1293</v>
      </c>
      <c r="I19" s="126"/>
      <c r="K19" s="299" t="s">
        <v>1294</v>
      </c>
      <c r="L19" s="299">
        <f>IF(C1="",'数据-汇总表'!D3,SUMIF(项目类型,C1,'数据-汇总表'!D17:D26)+SUMIF(项目类型,C1,'数据-汇总表'!H17:H27))</f>
        <v>65012.5</v>
      </c>
      <c r="M19" s="299">
        <f>IF(C1="",'数据-汇总表'!D3,SUMIF(项目类型,C1,'数据-汇总表'!D17:D26))</f>
        <v>65012.5</v>
      </c>
    </row>
    <row r="20" spans="1:36" ht="15">
      <c r="A20" s="1760"/>
      <c r="B20" s="1022" t="s">
        <v>1295</v>
      </c>
      <c r="C20" s="134">
        <f ca="1">SUMIF(INDIRECT("'"&amp;C4&amp;"'"&amp;"!A:A"),结果表!B20,INDIRECT("'"&amp;C4&amp;"'"&amp;"!B:B"))</f>
        <v>20988</v>
      </c>
      <c r="D20" s="135">
        <f ca="1">SUMIF(INDIRECT("'"&amp;D4&amp;"'"&amp;"!A:A"),结果表!B20,INDIRECT("'"&amp;D4&amp;"'"&amp;"!B:B"))</f>
        <v>16406</v>
      </c>
      <c r="E20" s="1760"/>
      <c r="F20" s="1022" t="s">
        <v>1295</v>
      </c>
      <c r="G20" s="136">
        <f ca="1">ROUND(C20*$C$18+D20*$D$18,0)</f>
        <v>19613</v>
      </c>
      <c r="H20" s="804" t="s">
        <v>1296</v>
      </c>
      <c r="I20" s="126"/>
    </row>
    <row r="21" spans="1:36" ht="15" customHeight="1" thickBot="1">
      <c r="A21" s="824"/>
      <c r="B21" s="1761" t="s">
        <v>1297</v>
      </c>
      <c r="C21" s="715">
        <f ca="1">ROUND(C19*10000/L19,0)</f>
        <v>102327</v>
      </c>
      <c r="D21" s="716">
        <f ca="1">ROUND(D19*10000/L19,0)</f>
        <v>79987</v>
      </c>
      <c r="E21" s="824"/>
      <c r="F21" s="1761" t="s">
        <v>1297</v>
      </c>
      <c r="G21" s="137">
        <f ca="1">ROUND(G19*10000/L19,0)</f>
        <v>95625</v>
      </c>
      <c r="H21" s="1762" t="s">
        <v>1296</v>
      </c>
      <c r="I21" s="126"/>
    </row>
    <row r="22" spans="1:36" ht="15" thickBot="1">
      <c r="A22" s="1684" t="s">
        <v>1298</v>
      </c>
      <c r="B22" s="1763"/>
      <c r="C22" s="1764"/>
      <c r="D22" s="717">
        <f ca="1">IF(C19&lt;D19,D19/C19-1,C19/D19-1)</f>
        <v>0.27929878676110009</v>
      </c>
      <c r="E22" s="126"/>
      <c r="F22" s="126"/>
      <c r="G22" s="126"/>
      <c r="H22" s="126"/>
      <c r="I22" s="126"/>
    </row>
    <row r="23" spans="1:36" ht="13.5" thickBot="1">
      <c r="A23" s="1743"/>
      <c r="B23" s="1743"/>
      <c r="C23" s="1743"/>
      <c r="D23" s="1743"/>
      <c r="E23" s="126"/>
      <c r="F23" s="126"/>
      <c r="G23" s="126"/>
      <c r="H23" s="126"/>
      <c r="I23" s="126"/>
      <c r="K23" s="721">
        <v>680000</v>
      </c>
    </row>
    <row r="24" spans="1:36" ht="14.25">
      <c r="A24" s="3659" t="s">
        <v>1299</v>
      </c>
      <c r="B24" s="1758" t="s">
        <v>1291</v>
      </c>
      <c r="C24" s="133">
        <f>IF(B30=0,0,D30)</f>
        <v>0</v>
      </c>
      <c r="D24" s="1765"/>
      <c r="E24" s="126"/>
      <c r="F24" s="126"/>
      <c r="G24" s="126"/>
      <c r="H24" s="126"/>
      <c r="I24" s="126"/>
      <c r="K24" s="721">
        <f>K23/'数据-汇总表'!E31</f>
        <v>2.1453270407526008</v>
      </c>
    </row>
    <row r="25" spans="1:36" ht="14.25">
      <c r="A25" s="3660"/>
      <c r="B25" s="1022" t="s">
        <v>1295</v>
      </c>
      <c r="C25" s="138">
        <f>IF(B30=0,0,C30)</f>
        <v>0</v>
      </c>
      <c r="D25" s="1766"/>
      <c r="E25" s="126"/>
      <c r="F25" s="126"/>
      <c r="G25" s="126"/>
      <c r="H25" s="126"/>
      <c r="I25" s="126"/>
      <c r="K25" s="721">
        <f>K23/'数据-汇总表'!F31</f>
        <v>2.7520211976861009</v>
      </c>
    </row>
    <row r="26" spans="1:36" ht="13.5" customHeight="1">
      <c r="A26" s="1767" t="s">
        <v>1300</v>
      </c>
      <c r="B26" s="139" t="s">
        <v>1301</v>
      </c>
      <c r="C26" s="139" t="s">
        <v>1302</v>
      </c>
      <c r="D26" s="140" t="s">
        <v>1303</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1304</v>
      </c>
      <c r="B30" s="139"/>
      <c r="C30" s="139"/>
      <c r="D30" s="139"/>
      <c r="E30" s="2299" t="s">
        <v>2132</v>
      </c>
      <c r="F30" s="126"/>
      <c r="G30" s="126"/>
      <c r="H30" s="126"/>
      <c r="I30" s="126"/>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1">
        <f ca="1">IF(D32="总价",G19-C24,G20-C25)</f>
        <v>621680</v>
      </c>
      <c r="D32" s="1771" t="s">
        <v>3492</v>
      </c>
      <c r="E32" s="126"/>
      <c r="F32" s="126"/>
      <c r="G32" s="126"/>
      <c r="H32" s="126"/>
      <c r="I32" s="126"/>
    </row>
    <row r="33" spans="1:15" ht="15">
      <c r="A33" s="782" t="s">
        <v>1306</v>
      </c>
      <c r="B33" s="1772"/>
      <c r="C33" s="1773" t="s">
        <v>3493</v>
      </c>
      <c r="D33" s="1774" t="s">
        <v>3490</v>
      </c>
      <c r="E33" s="1775" t="s">
        <v>1307</v>
      </c>
      <c r="F33" s="1776" t="str">
        <f>IF(D32="楼面单价","取值（单价）","取值（总价）")</f>
        <v>取值（总价）</v>
      </c>
      <c r="G33" s="126"/>
      <c r="H33" s="126"/>
      <c r="I33" s="126"/>
    </row>
    <row r="34" spans="1:15" ht="15">
      <c r="A34" s="1777"/>
      <c r="B34" s="1778" t="s">
        <v>1308</v>
      </c>
      <c r="C34" s="145">
        <f ca="1">IF(C33="自定义",F34,C32-C35)</f>
        <v>272296</v>
      </c>
      <c r="D34" s="857">
        <f ca="1">IF(C33="自定义",ROUND(C34/C32,3),IF(C33="收益比率",SUMIF(INDIRECT("'"&amp;D33&amp;"'"&amp;"!b:b"),"土地收益比率",INDIRECT("'"&amp;D33&amp;"'"&amp;"!c:c")),SUMIF(INDIRECT("'"&amp;D33&amp;"'"&amp;"!b:b"),"土地成本比率",INDIRECT("'"&amp;D33&amp;"'"&amp;"!c:c"))))</f>
        <v>0.43799999999999994</v>
      </c>
      <c r="E34" s="1779" t="s">
        <v>1309</v>
      </c>
      <c r="F34" s="1326"/>
      <c r="G34" s="126"/>
      <c r="H34" s="126"/>
      <c r="I34" s="126"/>
    </row>
    <row r="35" spans="1:15" ht="15.75" thickBot="1">
      <c r="A35" s="1780"/>
      <c r="B35" s="1781" t="s">
        <v>1310</v>
      </c>
      <c r="C35" s="1166">
        <f ca="1">IF(C33="自定义",F35,ROUND(C32*D35,0))</f>
        <v>349384</v>
      </c>
      <c r="D35" s="1167">
        <f ca="1">IF(C33="自定义",ROUND(C35/C32,3),IF(C33="收益比率",SUMIF(INDIRECT("'"&amp;D33&amp;"'"&amp;"!b:b"),"建筑物收益比率",INDIRECT("'"&amp;D33&amp;"'"&amp;"!c:c")),SUMIF(INDIRECT("'"&amp;D33&amp;"'"&amp;"!b:b"),"建筑物成本比率",INDIRECT("'"&amp;D33&amp;"'"&amp;"!c:c"))))</f>
        <v>0.56200000000000006</v>
      </c>
      <c r="E35" s="1782" t="s">
        <v>1311</v>
      </c>
      <c r="F35" s="151"/>
      <c r="G35" s="126"/>
      <c r="H35" s="126"/>
      <c r="I35" s="126"/>
    </row>
    <row r="36" spans="1:15" ht="15.75" thickBot="1">
      <c r="A36" s="3679" t="s">
        <v>1312</v>
      </c>
      <c r="B36" s="1783" t="s">
        <v>1313</v>
      </c>
      <c r="C36" s="142"/>
      <c r="D36" s="1784"/>
      <c r="E36" s="1785"/>
      <c r="F36" s="1786"/>
      <c r="G36" s="126"/>
      <c r="H36" s="126"/>
      <c r="I36" s="126"/>
    </row>
    <row r="37" spans="1:15" ht="15.75" thickBot="1">
      <c r="A37" s="3680"/>
      <c r="B37" s="1670" t="s">
        <v>1314</v>
      </c>
      <c r="C37" s="144"/>
      <c r="D37" s="1135"/>
      <c r="E37" s="1135"/>
      <c r="F37" s="1786"/>
      <c r="G37" s="126"/>
      <c r="H37" s="126"/>
      <c r="I37" s="126"/>
    </row>
    <row r="38" spans="1:15" ht="15.75" thickBot="1">
      <c r="A38" s="3681"/>
      <c r="B38" s="1787" t="s">
        <v>1315</v>
      </c>
      <c r="C38" s="670"/>
      <c r="D38" s="1788" t="s">
        <v>1316</v>
      </c>
      <c r="E38" s="1135"/>
      <c r="F38" s="1786"/>
      <c r="G38" s="126"/>
      <c r="H38" s="126"/>
      <c r="I38" s="126"/>
    </row>
    <row r="39" spans="1:15" ht="15">
      <c r="A39" s="1760" t="s">
        <v>1317</v>
      </c>
      <c r="B39" s="1789" t="s">
        <v>1318</v>
      </c>
      <c r="C39" s="1790" t="s">
        <v>1319</v>
      </c>
      <c r="D39" s="1790" t="s">
        <v>1320</v>
      </c>
      <c r="E39" s="1791" t="s">
        <v>1321</v>
      </c>
      <c r="F39" s="1786"/>
      <c r="G39" s="126"/>
      <c r="H39" s="126"/>
      <c r="I39" s="126"/>
    </row>
    <row r="40" spans="1:15" ht="14.25">
      <c r="A40" s="1792" t="s">
        <v>1322</v>
      </c>
      <c r="B40" s="146"/>
      <c r="C40" s="147"/>
      <c r="D40" s="147"/>
      <c r="E40" s="148"/>
      <c r="F40" s="1786"/>
      <c r="G40" s="126"/>
      <c r="H40" s="126"/>
      <c r="I40" s="126"/>
    </row>
    <row r="41" spans="1:15" ht="14.25">
      <c r="A41" s="1792" t="s">
        <v>1323</v>
      </c>
      <c r="B41" s="146"/>
      <c r="C41" s="147"/>
      <c r="D41" s="147"/>
      <c r="E41" s="148"/>
      <c r="F41" s="1786"/>
      <c r="G41" s="126"/>
      <c r="H41" s="126"/>
      <c r="I41" s="126"/>
    </row>
    <row r="42" spans="1:15" ht="15" thickBot="1">
      <c r="A42" s="1793"/>
      <c r="B42" s="149"/>
      <c r="C42" s="150"/>
      <c r="D42" s="150"/>
      <c r="E42" s="151"/>
      <c r="F42" s="1786"/>
      <c r="G42" s="126"/>
      <c r="H42" s="126"/>
      <c r="I42" s="126"/>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56" t="s">
        <v>1326</v>
      </c>
      <c r="B45" s="3657"/>
      <c r="C45" s="3658"/>
      <c r="D45" s="152">
        <f ca="1">ROUND(H101*F45,0)</f>
        <v>621680</v>
      </c>
      <c r="E45" s="153" t="s">
        <v>1327</v>
      </c>
      <c r="F45" s="154">
        <v>1</v>
      </c>
      <c r="G45" s="155" t="s">
        <v>1328</v>
      </c>
      <c r="H45" s="126"/>
      <c r="I45" s="126"/>
      <c r="J45" s="3734" t="s">
        <v>1329</v>
      </c>
      <c r="K45" s="3734"/>
      <c r="L45" s="3734"/>
      <c r="M45" s="3734"/>
      <c r="N45" s="3734"/>
      <c r="O45" s="3734"/>
    </row>
    <row r="46" spans="1:15" ht="14.25" customHeight="1">
      <c r="A46" s="3653" t="s">
        <v>1330</v>
      </c>
      <c r="B46" s="3654"/>
      <c r="C46" s="3654"/>
      <c r="D46" s="3654"/>
      <c r="E46" s="3654"/>
      <c r="F46" s="3654"/>
      <c r="G46" s="3655"/>
      <c r="H46" s="1802"/>
      <c r="I46" s="156"/>
      <c r="J46" s="2519">
        <v>1</v>
      </c>
      <c r="K46" s="3715" t="s">
        <v>1331</v>
      </c>
      <c r="L46" s="3715"/>
      <c r="M46" s="3735"/>
      <c r="N46" s="3735"/>
      <c r="O46" s="3735"/>
    </row>
    <row r="47" spans="1:15" ht="12" customHeight="1">
      <c r="A47" s="157" t="s">
        <v>1332</v>
      </c>
      <c r="B47" s="158"/>
      <c r="C47" s="159"/>
      <c r="D47" s="1083" t="s">
        <v>1333</v>
      </c>
      <c r="E47" s="299" t="s">
        <v>1334</v>
      </c>
      <c r="F47" s="160" t="s">
        <v>1335</v>
      </c>
      <c r="G47" s="2542" t="s">
        <v>1336</v>
      </c>
      <c r="H47" s="2543"/>
      <c r="I47" s="156"/>
      <c r="J47" s="2519">
        <v>2</v>
      </c>
      <c r="K47" s="3715" t="s">
        <v>1337</v>
      </c>
      <c r="L47" s="3715"/>
      <c r="M47" s="3736">
        <f>'数据-取费表'!B2</f>
        <v>45421</v>
      </c>
      <c r="N47" s="3736"/>
      <c r="O47" s="3736"/>
    </row>
    <row r="48" spans="1:15" ht="25.5">
      <c r="A48" s="3684" t="s">
        <v>1338</v>
      </c>
      <c r="B48" s="3667"/>
      <c r="C48" s="3667"/>
      <c r="D48" s="2320">
        <f ca="1">IF(H48="情况1",0,IF(H48="情况2",D52,IF(H48="情况3",D53,IF(H48="情况4",D54))))</f>
        <v>32564</v>
      </c>
      <c r="E48" s="2330" t="str">
        <f>IF(H48="情况4","(销售额-原购置价)×税（费）率","销售额×税（费）率")</f>
        <v>销售额×税（费）率</v>
      </c>
      <c r="F48" s="2544">
        <f>IF(H48="情况1","免征",'数据-取费表'!B41)</f>
        <v>5.5000000000000007E-2</v>
      </c>
      <c r="G48" s="2545" t="s">
        <v>1339</v>
      </c>
      <c r="H48" s="2546" t="s">
        <v>3761</v>
      </c>
      <c r="I48" s="1802"/>
      <c r="J48" s="2519">
        <v>3</v>
      </c>
      <c r="K48" s="3715" t="s">
        <v>1340</v>
      </c>
      <c r="L48" s="3715"/>
      <c r="M48" s="3737">
        <f ca="1">H101</f>
        <v>621680</v>
      </c>
      <c r="N48" s="3737"/>
      <c r="O48" s="3737"/>
    </row>
    <row r="49" spans="1:35" ht="25.5" customHeight="1">
      <c r="A49" s="2329" t="s">
        <v>1341</v>
      </c>
      <c r="B49" s="3651" t="s">
        <v>1342</v>
      </c>
      <c r="C49" s="3651"/>
      <c r="D49" s="1586">
        <v>0</v>
      </c>
      <c r="E49" s="321" t="s">
        <v>1343</v>
      </c>
      <c r="F49" s="2420" t="s">
        <v>28</v>
      </c>
      <c r="G49" s="3721"/>
      <c r="H49" s="2306" t="s">
        <v>2134</v>
      </c>
      <c r="I49" s="2307"/>
      <c r="J49" s="2519">
        <v>4</v>
      </c>
      <c r="K49" s="3715" t="str">
        <f>IF(项目基本情况!E8="房地产抵押价值","房地产抵押价值","抵押担保权已注销时的房地产抵押价值")</f>
        <v>房地产抵押价值</v>
      </c>
      <c r="L49" s="3715"/>
      <c r="M49" s="3737">
        <f ca="1">IF(项目基本情况!E8="房地产抵押价值",H107,H109)</f>
        <v>621680</v>
      </c>
      <c r="N49" s="3737"/>
      <c r="O49" s="3737"/>
    </row>
    <row r="50" spans="1:35" ht="25.5" customHeight="1">
      <c r="A50" s="2547"/>
      <c r="B50" s="3651" t="s">
        <v>1344</v>
      </c>
      <c r="C50" s="3651"/>
      <c r="D50" s="2548"/>
      <c r="E50" s="329"/>
      <c r="F50" s="2420"/>
      <c r="G50" s="3722"/>
      <c r="H50" s="2308" t="s">
        <v>2135</v>
      </c>
      <c r="I50" s="2307"/>
      <c r="J50" s="3734" t="s">
        <v>1345</v>
      </c>
      <c r="K50" s="3734"/>
      <c r="L50" s="3734"/>
      <c r="M50" s="3734"/>
      <c r="N50" s="3734"/>
      <c r="O50" s="3734"/>
    </row>
    <row r="51" spans="1:35" ht="20.45" customHeight="1">
      <c r="A51" s="2549"/>
      <c r="B51" s="3651" t="s">
        <v>1346</v>
      </c>
      <c r="C51" s="3651"/>
      <c r="D51" s="1083"/>
      <c r="E51" s="324"/>
      <c r="F51" s="2420"/>
      <c r="G51" s="3723"/>
      <c r="H51" s="2308" t="s">
        <v>2136</v>
      </c>
      <c r="I51" s="2307"/>
      <c r="J51" s="2520" t="s">
        <v>1347</v>
      </c>
      <c r="K51" s="3715" t="s">
        <v>1348</v>
      </c>
      <c r="L51" s="3715"/>
      <c r="M51" s="2520" t="s">
        <v>1349</v>
      </c>
      <c r="N51" s="2520" t="s">
        <v>1350</v>
      </c>
      <c r="O51" s="2520" t="s">
        <v>1351</v>
      </c>
    </row>
    <row r="52" spans="1:35" ht="24" customHeight="1">
      <c r="A52" s="2331" t="s">
        <v>1352</v>
      </c>
      <c r="B52" s="3651" t="s">
        <v>1353</v>
      </c>
      <c r="C52" s="3651"/>
      <c r="D52" s="1083">
        <f ca="1">ROUND(D45*'数据-取费表'!B41/(1+'数据-取费表'!C42),0)</f>
        <v>32564</v>
      </c>
      <c r="E52" s="2330" t="s">
        <v>1354</v>
      </c>
      <c r="F52" s="2550">
        <f>'数据-取费表'!B41</f>
        <v>5.5000000000000007E-2</v>
      </c>
      <c r="G52" s="2551"/>
      <c r="H52" s="2540"/>
      <c r="I52" s="1803"/>
      <c r="J52" s="2519">
        <v>1</v>
      </c>
      <c r="K52" s="3716" t="s">
        <v>1355</v>
      </c>
      <c r="L52" s="3716"/>
      <c r="M52" s="2521">
        <f ca="1">D48</f>
        <v>32564</v>
      </c>
      <c r="N52" s="2519" t="str">
        <f>E48</f>
        <v>销售额×税（费）率</v>
      </c>
      <c r="O52" s="2522">
        <f>F48</f>
        <v>5.5000000000000007E-2</v>
      </c>
    </row>
    <row r="53" spans="1:35" ht="12" customHeight="1">
      <c r="A53" s="2331" t="s">
        <v>1356</v>
      </c>
      <c r="B53" s="3677" t="s">
        <v>2291</v>
      </c>
      <c r="C53" s="3678"/>
      <c r="D53" s="1083">
        <f ca="1">ROUND(D45*'数据-取费表'!B41/(1+'数据-取费表'!C42),0)</f>
        <v>32564</v>
      </c>
      <c r="E53" s="2330" t="s">
        <v>1354</v>
      </c>
      <c r="F53" s="2550">
        <f>'数据-取费表'!B41</f>
        <v>5.5000000000000007E-2</v>
      </c>
      <c r="G53" s="2551"/>
      <c r="H53" s="2540"/>
      <c r="I53" s="1803"/>
      <c r="J53" s="2519">
        <v>2</v>
      </c>
      <c r="K53" s="3716" t="s">
        <v>1357</v>
      </c>
      <c r="L53" s="3716"/>
      <c r="M53" s="2521">
        <f t="shared" ref="M53:O54" ca="1" si="0">D55</f>
        <v>311</v>
      </c>
      <c r="N53" s="2519" t="str">
        <f t="shared" si="0"/>
        <v>销售额×税（费）率</v>
      </c>
      <c r="O53" s="2522">
        <f t="shared" si="0"/>
        <v>5.0000000000000001E-4</v>
      </c>
    </row>
    <row r="54" spans="1:35" ht="12" customHeight="1">
      <c r="A54" s="2331" t="s">
        <v>1358</v>
      </c>
      <c r="B54" s="3677" t="s">
        <v>2292</v>
      </c>
      <c r="C54" s="3678"/>
      <c r="D54" s="1083">
        <f ca="1">C68</f>
        <v>32564</v>
      </c>
      <c r="E54" s="324" t="s">
        <v>1359</v>
      </c>
      <c r="F54" s="2550">
        <f>'数据-取费表'!B41</f>
        <v>5.5000000000000007E-2</v>
      </c>
      <c r="G54" s="2551"/>
      <c r="H54" s="2552"/>
      <c r="I54" s="1803"/>
      <c r="J54" s="2519">
        <v>3</v>
      </c>
      <c r="K54" s="3716" t="s">
        <v>1360</v>
      </c>
      <c r="L54" s="3716"/>
      <c r="M54" s="2521">
        <f t="shared" ca="1" si="0"/>
        <v>29604</v>
      </c>
      <c r="N54" s="2519" t="str">
        <f t="shared" si="0"/>
        <v>增值额×税（费）率</v>
      </c>
      <c r="O54" s="2523" t="str">
        <f t="shared" si="0"/>
        <v>——</v>
      </c>
    </row>
    <row r="55" spans="1:35" ht="24" customHeight="1">
      <c r="A55" s="3666" t="s">
        <v>1361</v>
      </c>
      <c r="B55" s="3667"/>
      <c r="C55" s="3667"/>
      <c r="D55" s="2320">
        <f ca="1">IF(H55="个人住宅",0,ROUND(D45*I55,0))</f>
        <v>311</v>
      </c>
      <c r="E55" s="2330" t="s">
        <v>1362</v>
      </c>
      <c r="F55" s="2550">
        <f>IF(H55="正常",I55,"免征")</f>
        <v>5.0000000000000001E-4</v>
      </c>
      <c r="G55" s="2551"/>
      <c r="H55" s="2546" t="s">
        <v>3750</v>
      </c>
      <c r="I55" s="162">
        <f>'数据-取费表'!B49</f>
        <v>5.0000000000000001E-4</v>
      </c>
      <c r="J55" s="2519" t="str">
        <f>IF(H59="非个人房产","",4)</f>
        <v/>
      </c>
      <c r="K55" s="3716" t="str">
        <f>IF(H59="非个人房产","——","个人所得税")</f>
        <v>——</v>
      </c>
      <c r="L55" s="3716"/>
      <c r="M55" s="2524" t="str">
        <f>D59</f>
        <v>——</v>
      </c>
      <c r="N55" s="2036" t="str">
        <f>E59</f>
        <v>——</v>
      </c>
      <c r="O55" s="2525" t="str">
        <f>F59</f>
        <v>——</v>
      </c>
    </row>
    <row r="56" spans="1:35" ht="24.75">
      <c r="A56" s="3666" t="s">
        <v>1363</v>
      </c>
      <c r="B56" s="3667"/>
      <c r="C56" s="3667"/>
      <c r="D56" s="3552">
        <f ca="1">ROUND(D45/1.05*0.05,0)</f>
        <v>29604</v>
      </c>
      <c r="E56" s="2330" t="s">
        <v>1364</v>
      </c>
      <c r="F56" s="2550" t="str">
        <f>IF(H56="正常",F58,"免征")</f>
        <v>——</v>
      </c>
      <c r="G56" s="2553" t="s">
        <v>1365</v>
      </c>
      <c r="H56" s="2554" t="s">
        <v>3750</v>
      </c>
      <c r="I56" s="1804"/>
      <c r="J56" s="2519" t="str">
        <f>IF(项目基本情况!K6="上海银行",IF(J55="",4,J55+1),"")</f>
        <v/>
      </c>
      <c r="K56" s="3739" t="str">
        <f>IF(项目基本情况!K6="上海银行","其他处置费用","")</f>
        <v/>
      </c>
      <c r="L56" s="3740"/>
      <c r="M56" s="2521" t="str">
        <f>IF(项目基本情况!K6="上海银行",M69,"")</f>
        <v/>
      </c>
      <c r="N56" s="3739" t="str">
        <f>IF(项目基本情况!K6="上海银行","包含处置中涉及的律师、诉讼、拍卖、评估等费用","")</f>
        <v/>
      </c>
      <c r="O56" s="3742"/>
    </row>
    <row r="57" spans="1:35" ht="12.75">
      <c r="A57" s="2331" t="s">
        <v>1341</v>
      </c>
      <c r="B57" s="3677" t="s">
        <v>1366</v>
      </c>
      <c r="C57" s="3678"/>
      <c r="D57" s="1586">
        <v>0</v>
      </c>
      <c r="E57" s="321" t="s">
        <v>1343</v>
      </c>
      <c r="F57" s="299"/>
      <c r="G57" s="2551"/>
      <c r="H57" s="2555"/>
      <c r="I57" s="1804"/>
      <c r="J57" s="3716">
        <f>IF(AND(J55="",J56=""),4,IF(项目基本情况!K6="上海银行",结果表!J56+1,结果表!J55+1))</f>
        <v>4</v>
      </c>
      <c r="K57" s="3716" t="s">
        <v>1367</v>
      </c>
      <c r="L57" s="2526" t="s">
        <v>1368</v>
      </c>
      <c r="M57" s="2527"/>
      <c r="N57" s="2528">
        <f ca="1">SUMIF(M52:M56,"&lt;9e307")</f>
        <v>62479</v>
      </c>
      <c r="O57" s="2529"/>
      <c r="P57" s="2686">
        <f ca="1">N57/M49</f>
        <v>0.10050025736713422</v>
      </c>
    </row>
    <row r="58" spans="1:35" ht="24.75">
      <c r="A58" s="2331" t="s">
        <v>1352</v>
      </c>
      <c r="B58" s="3677" t="s">
        <v>1369</v>
      </c>
      <c r="C58" s="3651"/>
      <c r="D58" s="2320">
        <f ca="1">IF(H58="转让取得",C81,C97)</f>
        <v>252607</v>
      </c>
      <c r="E58" s="2330" t="s">
        <v>1364</v>
      </c>
      <c r="F58" s="299" t="s">
        <v>28</v>
      </c>
      <c r="G58" s="2551"/>
      <c r="H58" s="2554" t="s">
        <v>3762</v>
      </c>
      <c r="I58" s="1804"/>
      <c r="J58" s="3716"/>
      <c r="K58" s="3716"/>
      <c r="L58" s="2526" t="s">
        <v>1370</v>
      </c>
      <c r="M58" s="2530"/>
      <c r="N58" s="2531" t="str">
        <f ca="1">NUMBERSTRING(INT(N57*10000),2)&amp;"元整"</f>
        <v>陆亿贰仟肆佰柒拾玖万元整</v>
      </c>
      <c r="O58" s="2532"/>
    </row>
    <row r="59" spans="1:35" ht="24.75" thickBot="1">
      <c r="A59" s="3719" t="s">
        <v>1371</v>
      </c>
      <c r="B59" s="3720"/>
      <c r="C59" s="372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0" t="s">
        <v>3763</v>
      </c>
      <c r="I59" s="2309" t="s">
        <v>2137</v>
      </c>
      <c r="J59" s="3717">
        <f>J57+1</f>
        <v>5</v>
      </c>
      <c r="K59" s="3716" t="s">
        <v>1372</v>
      </c>
      <c r="L59" s="2519" t="s">
        <v>1368</v>
      </c>
      <c r="M59" s="2533"/>
      <c r="N59" s="2534">
        <f ca="1">M49-N57</f>
        <v>559201</v>
      </c>
      <c r="O59" s="2535"/>
    </row>
    <row r="60" spans="1:35" ht="12" customHeight="1">
      <c r="A60" s="1805"/>
      <c r="B60" s="1743"/>
      <c r="C60" s="1743"/>
      <c r="D60" s="1743"/>
      <c r="E60" s="1574"/>
      <c r="F60" s="1804"/>
      <c r="G60" s="1804"/>
      <c r="H60" s="1806"/>
      <c r="I60" s="126"/>
      <c r="J60" s="3718"/>
      <c r="K60" s="3716"/>
      <c r="L60" s="2526" t="s">
        <v>1370</v>
      </c>
      <c r="M60" s="2530"/>
      <c r="N60" s="2531" t="str">
        <f ca="1">NUMBERSTRING(INT(N59*10000),2)&amp;"元整"</f>
        <v>伍拾伍亿玖仟贰佰零壹万元整</v>
      </c>
      <c r="O60" s="2532"/>
    </row>
    <row r="61" spans="1:35" ht="13.5" thickBot="1">
      <c r="A61" s="3664" t="s">
        <v>1373</v>
      </c>
      <c r="B61" s="3664"/>
      <c r="C61" s="3664"/>
      <c r="D61" s="3664"/>
      <c r="E61" s="3664"/>
      <c r="F61" s="1804"/>
      <c r="G61" s="1804"/>
      <c r="H61" s="1806"/>
      <c r="I61" s="126"/>
      <c r="J61" s="2519">
        <f>J59+1</f>
        <v>6</v>
      </c>
      <c r="K61" s="3716" t="s">
        <v>1374</v>
      </c>
      <c r="L61" s="3716"/>
      <c r="M61" s="2536"/>
      <c r="N61" s="2537">
        <f ca="1">ROUND(N59*10000/'数据-汇总表'!E3,0)</f>
        <v>17642</v>
      </c>
      <c r="O61" s="2538"/>
    </row>
    <row r="62" spans="1:35" ht="12.75">
      <c r="A62" s="3682" t="s">
        <v>1375</v>
      </c>
      <c r="B62" s="3683"/>
      <c r="C62" s="2017"/>
      <c r="D62" s="2017" t="s">
        <v>1376</v>
      </c>
      <c r="E62" s="163" t="s">
        <v>1377</v>
      </c>
      <c r="F62" s="1804"/>
      <c r="G62" s="1804"/>
      <c r="H62" s="1806"/>
      <c r="I62" s="126"/>
    </row>
    <row r="63" spans="1:35" ht="12.75">
      <c r="A63" s="170" t="s">
        <v>330</v>
      </c>
      <c r="B63" s="164" t="s">
        <v>1378</v>
      </c>
      <c r="C63" s="2560">
        <f ca="1">ROUND((C64+C65)/(1+'数据-取费表'!C42),0)</f>
        <v>592076</v>
      </c>
      <c r="D63" s="164"/>
      <c r="E63" s="165"/>
      <c r="F63" s="1804"/>
      <c r="G63" s="1804"/>
      <c r="H63" s="1806"/>
      <c r="I63" s="126"/>
      <c r="J63" s="3741" t="s">
        <v>1379</v>
      </c>
      <c r="K63" s="1328" t="s">
        <v>1380</v>
      </c>
      <c r="L63" s="1328">
        <f ca="1">IF(M49&gt;10000,M49*0.5%,IF(AND(M49&gt;1000,M49&lt;=10000),M49*1%,IF(AND(M49&gt;100,M49&lt;=1000),M49*3%,IF(AND(M49&gt;10,M49&lt;=100),M49*5%,M49*8%))))</f>
        <v>3108.4</v>
      </c>
      <c r="M63" s="299">
        <f ca="1">ROUND(L63,1)</f>
        <v>3108.4</v>
      </c>
      <c r="N63" s="2539"/>
      <c r="Z63" s="1748"/>
      <c r="AI63" s="1749"/>
    </row>
    <row r="64" spans="1:35" ht="14.25" customHeight="1">
      <c r="A64" s="166" t="s">
        <v>325</v>
      </c>
      <c r="B64" s="167" t="s">
        <v>1381</v>
      </c>
      <c r="C64" s="2561">
        <f ca="1">D45</f>
        <v>621680</v>
      </c>
      <c r="D64" s="167" t="s">
        <v>26</v>
      </c>
      <c r="E64" s="169"/>
      <c r="F64" s="1804"/>
      <c r="G64" s="1804"/>
      <c r="H64" s="1806"/>
      <c r="I64" s="126"/>
      <c r="J64" s="3741"/>
      <c r="K64" s="1328" t="s">
        <v>1382</v>
      </c>
      <c r="L64" s="1328">
        <f ca="1">IF(M49&gt;2000,M49*0.5%,IF(AND(M49&gt;1000,M49&lt;=2000),M49*0.6%,IF(AND(M49&gt;500,M49&lt;=1000),M49*0.7%,IF(AND(M49&gt;200,M49&lt;=500),M49*0.8%,IF(AND(M49&gt;100,M49&lt;=200),M49*0.9%,IF(AND(M49&gt;50,M49&lt;=100),M49*1%,IF(AND(M49&gt;20,M49&lt;=50),M49*1.5%,IF(AND(M49&gt;10,M49&lt;=20),M49*2%,IF(AND(M49&gt;1,M49&lt;=10),M49*2.5%)))))))))</f>
        <v>3108.4</v>
      </c>
      <c r="M64" s="299">
        <f t="shared" ref="M64:M65" ca="1" si="1">ROUND(L64,1)</f>
        <v>3108.4</v>
      </c>
      <c r="N64" s="2540" t="s">
        <v>1383</v>
      </c>
      <c r="Z64" s="1748"/>
      <c r="AI64" s="1749"/>
    </row>
    <row r="65" spans="1:35" ht="14.25" customHeight="1">
      <c r="A65" s="166" t="s">
        <v>326</v>
      </c>
      <c r="B65" s="167" t="s">
        <v>1384</v>
      </c>
      <c r="C65" s="2562"/>
      <c r="D65" s="167"/>
      <c r="E65" s="169"/>
      <c r="F65" s="1804"/>
      <c r="G65" s="1804"/>
      <c r="H65" s="1806"/>
      <c r="I65" s="126"/>
      <c r="J65" s="3741"/>
      <c r="K65" s="1328" t="s">
        <v>1385</v>
      </c>
      <c r="L65" s="1328">
        <f ca="1">IF(M49&gt;1000,M49*0.1%,IF(AND(M49&gt;500,M49&lt;=1000),M49*0.5%,IF(AND(M49&gt;50,M49&lt;=500),M49*1%,IF(AND(M49&gt;1,M49&lt;=50),M49*1.5%))))</f>
        <v>621.68000000000006</v>
      </c>
      <c r="M65" s="299">
        <f t="shared" ca="1" si="1"/>
        <v>621.70000000000005</v>
      </c>
      <c r="N65" s="2540" t="s">
        <v>1383</v>
      </c>
      <c r="Z65" s="1748"/>
      <c r="AI65" s="1749"/>
    </row>
    <row r="66" spans="1:35" ht="14.25" customHeight="1">
      <c r="A66" s="170" t="s">
        <v>327</v>
      </c>
      <c r="B66" s="171" t="s">
        <v>1386</v>
      </c>
      <c r="C66" s="2563"/>
      <c r="D66" s="171" t="s">
        <v>26</v>
      </c>
      <c r="E66" s="1334" t="s">
        <v>671</v>
      </c>
      <c r="F66" s="1804"/>
      <c r="G66" s="1804"/>
      <c r="H66" s="1806"/>
      <c r="I66" s="126"/>
      <c r="J66" s="3741"/>
      <c r="K66" s="1328" t="s">
        <v>1387</v>
      </c>
      <c r="L66" s="1328">
        <f ca="1">M49*0.5%</f>
        <v>3108.4</v>
      </c>
      <c r="M66" s="299">
        <f ca="1">IF(L66&gt;0.5,0.5,ROUND(L66,0))</f>
        <v>0.5</v>
      </c>
      <c r="N66" s="2540" t="s">
        <v>1388</v>
      </c>
      <c r="Z66" s="1748"/>
      <c r="AI66" s="1749"/>
    </row>
    <row r="67" spans="1:35" ht="14.25" customHeight="1">
      <c r="A67" s="170" t="s">
        <v>328</v>
      </c>
      <c r="B67" s="171" t="s">
        <v>1389</v>
      </c>
      <c r="C67" s="2564">
        <f ca="1">C63-C66</f>
        <v>592076</v>
      </c>
      <c r="D67" s="167" t="s">
        <v>26</v>
      </c>
      <c r="E67" s="169"/>
      <c r="F67" s="1804"/>
      <c r="G67" s="1804"/>
      <c r="H67" s="1806"/>
      <c r="I67" s="126"/>
      <c r="J67" s="3741"/>
      <c r="K67" s="1328" t="s">
        <v>1390</v>
      </c>
      <c r="L67" s="1328">
        <f ca="1">IF(M49&gt;=10000,(8.25+(M49-10000)*0.01%),IF(AND(M49&gt;=8000,M49&lt;10000),(7.85+(M49-8000)*0.02%),IF(AND(M49&gt;=5000,M49&lt;8000),(6.65+(M49-5000)*0.04%),IF(AND(M49&gt;=2000,M49&lt;5000),(4.25+(PM49-2000)*0.08%),IF(AND(M49&gt;=1000,M49&lt;2000),(2.75+(M49-1000)*0.15%),IF(AND(M49&gt;=100,M49&lt;1000),(0.5+(M49-100)*0.25%),IF(AND(M49&gt;0,M49&lt;100),M49*0.5%)))))))</f>
        <v>69.418000000000006</v>
      </c>
      <c r="M67" s="299">
        <f ca="1">ROUND(L67*0.9,1)</f>
        <v>62.5</v>
      </c>
      <c r="N67" s="2539"/>
      <c r="Z67" s="1748"/>
      <c r="AI67" s="1749"/>
    </row>
    <row r="68" spans="1:35" ht="14.25" customHeight="1" thickBot="1">
      <c r="A68" s="173" t="s">
        <v>329</v>
      </c>
      <c r="B68" s="174" t="s">
        <v>1391</v>
      </c>
      <c r="C68" s="2565">
        <f ca="1">IF(C67&lt;=0,0,ROUND(C67*D68,0))</f>
        <v>32564</v>
      </c>
      <c r="D68" s="2566">
        <f>'数据-取费表'!B41</f>
        <v>5.5000000000000007E-2</v>
      </c>
      <c r="E68" s="175"/>
      <c r="F68" s="1804"/>
      <c r="G68" s="1804"/>
      <c r="H68" s="1806"/>
      <c r="I68" s="126"/>
      <c r="J68" s="3741"/>
      <c r="K68" s="1328" t="s">
        <v>1392</v>
      </c>
      <c r="L68" s="1328">
        <f ca="1">IF(M49&gt;10000,M49*0.5%,IF(AND(M49&gt;5000,M49&lt;=10000),M49*1%,IF(AND(M49&gt;1000,M49&lt;=5000),M49*2%,IF(AND(M49&gt;200,M49&lt;=1000),M49*3%,M49*5%))))</f>
        <v>3108.4</v>
      </c>
      <c r="M68" s="299">
        <f ca="1">ROUND(L68,1)</f>
        <v>3108.4</v>
      </c>
      <c r="N68" s="2539"/>
      <c r="Z68" s="1748"/>
      <c r="AI68" s="1749"/>
    </row>
    <row r="69" spans="1:35" s="1768" customFormat="1" ht="16.5" customHeight="1">
      <c r="A69" s="1807"/>
      <c r="B69" s="1808"/>
      <c r="C69" s="1809"/>
      <c r="D69" s="1810"/>
      <c r="E69" s="1811"/>
      <c r="F69" s="1574"/>
      <c r="G69" s="1574"/>
      <c r="H69" s="1573"/>
      <c r="I69" s="1743"/>
      <c r="J69" s="3741"/>
      <c r="K69" s="1328" t="s">
        <v>1393</v>
      </c>
      <c r="L69" s="1328"/>
      <c r="M69" s="299">
        <f ca="1">ROUND(SUM(M63:M68),0)</f>
        <v>10010</v>
      </c>
      <c r="N69" s="2541">
        <f ca="1">M69/M49</f>
        <v>1.6101531334448593E-2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703" t="s">
        <v>1394</v>
      </c>
      <c r="B70" s="3704"/>
      <c r="C70" s="3704"/>
      <c r="D70" s="3704"/>
      <c r="E70" s="3704"/>
      <c r="F70" s="3704"/>
      <c r="G70" s="3704"/>
      <c r="H70" s="3704"/>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82" t="s">
        <v>1375</v>
      </c>
      <c r="B71" s="3683"/>
      <c r="C71" s="2017"/>
      <c r="D71" s="2017" t="s">
        <v>1376</v>
      </c>
      <c r="E71" s="176" t="s">
        <v>1377</v>
      </c>
      <c r="F71" s="177"/>
      <c r="G71" s="177"/>
      <c r="H71" s="178"/>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4">
        <f ca="1">ROUND(D45/(1+'数据-取费表'!C42),0)</f>
        <v>592076</v>
      </c>
      <c r="D72" s="167" t="s">
        <v>26</v>
      </c>
      <c r="E72" s="2327"/>
      <c r="F72" s="2326"/>
      <c r="G72" s="2326"/>
      <c r="H72" s="179"/>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4">
        <f ca="1">C74+C78</f>
        <v>2960</v>
      </c>
      <c r="D73" s="167" t="s">
        <v>26</v>
      </c>
      <c r="E73" s="2327"/>
      <c r="F73" s="2326"/>
      <c r="G73" s="2326"/>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7"/>
      <c r="F74" s="2326"/>
      <c r="G74" s="2326"/>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7"/>
      <c r="D75" s="167" t="s">
        <v>26</v>
      </c>
      <c r="E75" s="181" t="s">
        <v>1399</v>
      </c>
      <c r="F75" s="2568"/>
      <c r="G75" s="181"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70">
        <v>0.05</v>
      </c>
      <c r="E76" s="3677" t="s">
        <v>1402</v>
      </c>
      <c r="F76" s="3651"/>
      <c r="G76" s="3651"/>
      <c r="H76" s="370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71">
        <f>'数据-取费表'!B48+'数据-取费表'!B49</f>
        <v>3.0499999999999999E-2</v>
      </c>
      <c r="E77" s="2320" t="s">
        <v>1404</v>
      </c>
      <c r="F77" s="183"/>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72">
        <f ca="1">ROUND(D45*D78/(1+'数据-取费表'!C42),0)</f>
        <v>2960</v>
      </c>
      <c r="D78" s="2573">
        <f>'数据-取费表'!B43</f>
        <v>5.000000000000001E-3</v>
      </c>
      <c r="E78" s="3661" t="s">
        <v>1406</v>
      </c>
      <c r="F78" s="3662"/>
      <c r="G78" s="3662"/>
      <c r="H78" s="367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4">
        <f ca="1">C72-C73</f>
        <v>589116</v>
      </c>
      <c r="D79" s="167" t="s">
        <v>26</v>
      </c>
      <c r="E79" s="2327"/>
      <c r="F79" s="2326"/>
      <c r="G79" s="2326"/>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4">
        <f ca="1">IF(C79&lt;=0,0,C79/C73)</f>
        <v>199.02567567567567</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5">
        <f ca="1">ROUND(IF(C79&lt;=0,0,IF(C80&gt;=200%,C79*60%-C73*35%,IF(C80&gt;=100%,C79*50%-C73*15%,IF(C80&gt;=50%,C79*40%-C73*5%,IF(C80&lt;50%,C79*30%,0))))),0)</f>
        <v>352434</v>
      </c>
      <c r="D81" s="2576"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03" t="s">
        <v>1410</v>
      </c>
      <c r="B83" s="3704"/>
      <c r="C83" s="3704"/>
      <c r="D83" s="3704"/>
      <c r="E83" s="3704"/>
      <c r="F83" s="3704"/>
      <c r="G83" s="3704"/>
      <c r="H83" s="370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82" t="s">
        <v>1375</v>
      </c>
      <c r="B84" s="3683"/>
      <c r="C84" s="2017"/>
      <c r="D84" s="2017" t="s">
        <v>1376</v>
      </c>
      <c r="E84" s="176" t="s">
        <v>1377</v>
      </c>
      <c r="F84" s="177"/>
      <c r="G84" s="177"/>
      <c r="H84" s="188"/>
      <c r="I84" s="1817"/>
      <c r="J84" s="1814"/>
      <c r="K84" s="1814">
        <v>22234104</v>
      </c>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4">
        <f ca="1">ROUND(D45/(1+'数据-取费表'!C42),0)</f>
        <v>592076</v>
      </c>
      <c r="D85" s="167" t="s">
        <v>26</v>
      </c>
      <c r="E85" s="2327"/>
      <c r="F85" s="2326"/>
      <c r="G85" s="2326"/>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4">
        <f ca="1">IF(H88="仅含出让金",C87+C90+C91+C92+C93+C94,C87+C91+C92+C93+C94)</f>
        <v>108041.41039999999</v>
      </c>
      <c r="D86" s="2577"/>
      <c r="E86" s="2327"/>
      <c r="F86" s="2326"/>
      <c r="G86" s="2326"/>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72">
        <f>C88+C89</f>
        <v>2291.4104000000002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8">
        <f>K84/10000</f>
        <v>2223.4104000000002</v>
      </c>
      <c r="D88" s="2573"/>
      <c r="E88" s="190" t="s">
        <v>1413</v>
      </c>
      <c r="F88" s="2323"/>
      <c r="G88" s="191" t="s">
        <v>1414</v>
      </c>
      <c r="H88" s="1820" t="s">
        <v>3785</v>
      </c>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72">
        <f>ROUND(C88*D89,0)</f>
        <v>68</v>
      </c>
      <c r="D89" s="2573">
        <f>'数据-取费表'!B48+'数据-取费表'!B49</f>
        <v>3.0499999999999999E-2</v>
      </c>
      <c r="E89" s="190"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8"/>
      <c r="D90" s="2573"/>
      <c r="E90" s="190" t="str">
        <f>IF(H88="-","土地取得成本中已包含该笔费用"," ")</f>
        <v xml:space="preserve"> </v>
      </c>
      <c r="F90" s="2323"/>
      <c r="G90" s="3743" t="s">
        <v>2129</v>
      </c>
      <c r="H90" s="3744"/>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72">
        <f>IF(H91="——",成本法!C33,I91)</f>
        <v>78541</v>
      </c>
      <c r="D91" s="2573"/>
      <c r="E91" s="3661" t="s">
        <v>1419</v>
      </c>
      <c r="F91" s="3662"/>
      <c r="G91" s="3662"/>
      <c r="H91" s="1821" t="s">
        <v>3786</v>
      </c>
      <c r="I91" s="1822">
        <v>78541</v>
      </c>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72">
        <f>ROUND((C87+C90+C91)*D92,0)</f>
        <v>8083</v>
      </c>
      <c r="D92" s="2579">
        <v>0.1</v>
      </c>
      <c r="E92" s="3661" t="s">
        <v>1422</v>
      </c>
      <c r="F92" s="3662"/>
      <c r="G92" s="3662"/>
      <c r="H92" s="3671"/>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72">
        <f ca="1">ROUND(D45*D93/(1+'数据-取费表'!C42),0)</f>
        <v>2960</v>
      </c>
      <c r="D93" s="2573">
        <f>'数据-取费表'!B43</f>
        <v>5.000000000000001E-3</v>
      </c>
      <c r="E93" s="3661" t="s">
        <v>1406</v>
      </c>
      <c r="F93" s="3662"/>
      <c r="G93" s="3662"/>
      <c r="H93" s="367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8">
        <f>ROUND((C87+C90+C91)*D94,0)</f>
        <v>16166</v>
      </c>
      <c r="D94" s="2573">
        <v>0.2</v>
      </c>
      <c r="E94" s="3672" t="s">
        <v>1426</v>
      </c>
      <c r="F94" s="3673"/>
      <c r="G94" s="3673"/>
      <c r="H94" s="36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4">
        <f ca="1">ROUND(C85-C86,0)</f>
        <v>484035</v>
      </c>
      <c r="D95" s="167" t="s">
        <v>26</v>
      </c>
      <c r="E95" s="2327"/>
      <c r="F95" s="2326"/>
      <c r="G95" s="2326"/>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4">
        <f ca="1">IF(C95&lt;=0,0,C95/C86)</f>
        <v>4.4800877571661175</v>
      </c>
      <c r="D96" s="167"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5">
        <f ca="1">ROUND(IF(C95&lt;=0,0,IF(C96&gt;=200%,C95*60%-C86*35%,IF(C96&gt;=100%,C95*50%-C86*15%,IF(C96&gt;=50%,C95*40%-C86*5%,IF(C96&lt;50%,C95*30%,0))))),0)</f>
        <v>252607</v>
      </c>
      <c r="D97" s="2576"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6"/>
    </row>
    <row r="99" spans="1:35" ht="21.75" customHeight="1" thickBot="1">
      <c r="A99" s="1796" t="s">
        <v>1427</v>
      </c>
      <c r="B99" s="1743"/>
      <c r="C99" s="1743"/>
      <c r="D99" s="1743"/>
      <c r="E99" s="1574"/>
      <c r="F99" s="1574"/>
      <c r="G99" s="1574"/>
      <c r="H99" s="1573"/>
      <c r="I99" s="126"/>
    </row>
    <row r="100" spans="1:35" ht="18.75" customHeight="1">
      <c r="A100" s="3645" t="s">
        <v>1428</v>
      </c>
      <c r="B100" s="3646"/>
      <c r="C100" s="3646"/>
      <c r="D100" s="3663"/>
      <c r="E100" s="3646" t="s">
        <v>1429</v>
      </c>
      <c r="F100" s="3646"/>
      <c r="G100" s="3646"/>
      <c r="H100" s="3663"/>
      <c r="I100" s="126"/>
    </row>
    <row r="101" spans="1:35" ht="18.75" customHeight="1">
      <c r="A101" s="3724" t="s">
        <v>1430</v>
      </c>
      <c r="B101" s="3725"/>
      <c r="C101" s="2581" t="str">
        <f>C4</f>
        <v>比较法-办公</v>
      </c>
      <c r="D101" s="2582" t="str">
        <f>D4</f>
        <v>收益法（汇总）</v>
      </c>
      <c r="E101" s="3738" t="s">
        <v>1431</v>
      </c>
      <c r="F101" s="3695"/>
      <c r="G101" s="1823" t="s">
        <v>1432</v>
      </c>
      <c r="H101" s="2591">
        <f ca="1">H118</f>
        <v>621680</v>
      </c>
      <c r="I101" s="126"/>
    </row>
    <row r="102" spans="1:35" ht="18.75" customHeight="1">
      <c r="A102" s="3697" t="s">
        <v>1433</v>
      </c>
      <c r="B102" s="2580" t="s">
        <v>1432</v>
      </c>
      <c r="C102" s="2581">
        <f ca="1">IF(D32="楼面单价",ROUND(C19,0),C19)</f>
        <v>665252</v>
      </c>
      <c r="D102" s="2582">
        <f ca="1">IF(D32="楼面单价",ROUND(D19,0),D19)</f>
        <v>520013</v>
      </c>
      <c r="E102" s="3738"/>
      <c r="F102" s="3695"/>
      <c r="G102" s="1823" t="s">
        <v>1434</v>
      </c>
      <c r="H102" s="2551">
        <f ca="1">I118</f>
        <v>19613</v>
      </c>
      <c r="I102" s="126"/>
    </row>
    <row r="103" spans="1:35" ht="42.75" customHeight="1">
      <c r="A103" s="3697"/>
      <c r="B103" s="2580" t="s">
        <v>1434</v>
      </c>
      <c r="C103" s="2583">
        <f ca="1">C20</f>
        <v>20988</v>
      </c>
      <c r="D103" s="2584">
        <f ca="1">D20</f>
        <v>16406</v>
      </c>
      <c r="E103" s="3732" t="s">
        <v>1435</v>
      </c>
      <c r="F103" s="3733"/>
      <c r="G103" s="1824" t="s">
        <v>1436</v>
      </c>
      <c r="H103" s="2591">
        <f>IF(D36="正常操作",H104+H105+H106,H105+H106)</f>
        <v>0</v>
      </c>
      <c r="I103" s="126"/>
    </row>
    <row r="104" spans="1:35" ht="18.75" customHeight="1">
      <c r="A104" s="3697" t="s">
        <v>1437</v>
      </c>
      <c r="B104" s="2585" t="s">
        <v>1432</v>
      </c>
      <c r="C104" s="2586">
        <f ca="1">H118</f>
        <v>621680</v>
      </c>
      <c r="D104" s="2587"/>
      <c r="E104" s="1670" t="s">
        <v>1438</v>
      </c>
      <c r="F104" s="1662"/>
      <c r="G104" s="1824" t="s">
        <v>1436</v>
      </c>
      <c r="H104" s="2592">
        <f>IF(D36="同一抵押权人同一抵押物续贷",C36&amp;"（续贷，未扣减，详见特别提示）",C36)</f>
        <v>0</v>
      </c>
      <c r="I104" s="126"/>
    </row>
    <row r="105" spans="1:35" ht="18.75" customHeight="1" thickBot="1">
      <c r="A105" s="3698"/>
      <c r="B105" s="2588" t="s">
        <v>1434</v>
      </c>
      <c r="C105" s="2589">
        <f ca="1">I118</f>
        <v>19613</v>
      </c>
      <c r="D105" s="2590"/>
      <c r="E105" s="1670" t="s">
        <v>1439</v>
      </c>
      <c r="F105" s="1662"/>
      <c r="G105" s="1824" t="s">
        <v>1436</v>
      </c>
      <c r="H105" s="2593">
        <f>C37</f>
        <v>0</v>
      </c>
      <c r="I105" s="126"/>
    </row>
    <row r="106" spans="1:35" ht="18.75" customHeight="1">
      <c r="A106" s="1743" t="s">
        <v>1440</v>
      </c>
      <c r="B106" s="1743"/>
      <c r="C106" s="1743"/>
      <c r="D106" s="1743"/>
      <c r="E106" s="1825" t="s">
        <v>1441</v>
      </c>
      <c r="F106" s="1662"/>
      <c r="G106" s="1824" t="s">
        <v>1436</v>
      </c>
      <c r="H106" s="2593">
        <f>C38</f>
        <v>0</v>
      </c>
      <c r="I106" s="126"/>
    </row>
    <row r="107" spans="1:35" ht="18.75" customHeight="1">
      <c r="A107" s="126"/>
      <c r="B107" s="126"/>
      <c r="C107" s="126"/>
      <c r="D107" s="126"/>
      <c r="E107" s="3694" t="str">
        <f>IF(项目基本情况!E8="已注销","——","3.房地产抵押价值")</f>
        <v>3.房地产抵押价值</v>
      </c>
      <c r="F107" s="3695"/>
      <c r="G107" s="1823" t="s">
        <v>1432</v>
      </c>
      <c r="H107" s="2591">
        <f ca="1">IF(E107="——","——",H101-H103)</f>
        <v>621680</v>
      </c>
      <c r="I107" s="126"/>
    </row>
    <row r="108" spans="1:35" ht="18.75" customHeight="1">
      <c r="A108" s="126"/>
      <c r="B108" s="126"/>
      <c r="C108" s="126"/>
      <c r="D108" s="126"/>
      <c r="E108" s="3694"/>
      <c r="F108" s="3695"/>
      <c r="G108" s="1823" t="s">
        <v>1434</v>
      </c>
      <c r="H108" s="2551">
        <f ca="1">IF(H107=H101,H102,ROUND(H107*10000/'数据-汇总表'!E3,0))</f>
        <v>19613</v>
      </c>
      <c r="I108" s="126"/>
    </row>
    <row r="109" spans="1:35" ht="18.75" customHeight="1">
      <c r="A109" s="126"/>
      <c r="B109" s="126"/>
      <c r="C109" s="126"/>
      <c r="D109" s="126"/>
      <c r="E109" s="3694" t="str">
        <f>IF(项目基本情况!E8="已注销及未注销","4.抵押担保权已注销时的房地产抵押价值",IF(项目基本情况!E8="已注销","3.抵押担保权已注销时的房地产抵押价值","——"))</f>
        <v>——</v>
      </c>
      <c r="F109" s="3695"/>
      <c r="G109" s="1823" t="s">
        <v>1432</v>
      </c>
      <c r="H109" s="2594" t="str">
        <f>IF(E109="——","——",H101-H105-H106)</f>
        <v>——</v>
      </c>
      <c r="I109" s="126"/>
    </row>
    <row r="110" spans="1:35" ht="18.75" customHeight="1">
      <c r="A110" s="126"/>
      <c r="B110" s="126"/>
      <c r="C110" s="126"/>
      <c r="D110" s="126"/>
      <c r="E110" s="3694"/>
      <c r="F110" s="3695"/>
      <c r="G110" s="1823" t="s">
        <v>1434</v>
      </c>
      <c r="H110" s="2551" t="str">
        <f>IF(H109="——","——",ROUND(H109*10000/'数据-汇总表'!E3,0))</f>
        <v>——</v>
      </c>
      <c r="I110" s="126"/>
    </row>
    <row r="111" spans="1:35" ht="18.75" customHeight="1">
      <c r="A111" s="126"/>
      <c r="B111" s="126"/>
      <c r="C111" s="126"/>
      <c r="D111" s="126"/>
      <c r="E111" s="3726" t="str">
        <f>IF(项目基本情况!E9="抵押净值",IF(OR(项目基本情况!E8="已注销",项目基本情况!E8="房地产抵押价值"),"4.抵押净值","5.抵押净值"),"——")</f>
        <v>4.抵押净值</v>
      </c>
      <c r="F111" s="3696"/>
      <c r="G111" s="1823" t="s">
        <v>1432</v>
      </c>
      <c r="H111" s="2591">
        <f ca="1">IF(E111="——","——",N59)</f>
        <v>559201</v>
      </c>
      <c r="I111" s="126"/>
    </row>
    <row r="112" spans="1:35" ht="18.75" customHeight="1" thickBot="1">
      <c r="A112" s="126"/>
      <c r="B112" s="126"/>
      <c r="C112" s="126"/>
      <c r="D112" s="126"/>
      <c r="E112" s="3727"/>
      <c r="F112" s="3728"/>
      <c r="G112" s="1826" t="s">
        <v>1434</v>
      </c>
      <c r="H112" s="2595">
        <f ca="1">IF(E111="——","——",N61)</f>
        <v>17642</v>
      </c>
      <c r="I112" s="126"/>
    </row>
    <row r="113" spans="1:27" ht="18.75" customHeight="1">
      <c r="A113" s="126"/>
      <c r="B113" s="126"/>
      <c r="C113" s="126"/>
      <c r="D113" s="126"/>
      <c r="E113" s="3699" t="s">
        <v>1440</v>
      </c>
      <c r="F113" s="3699"/>
      <c r="G113" s="3699"/>
      <c r="H113" s="3699"/>
      <c r="I113" s="126"/>
    </row>
    <row r="114" spans="1:27" ht="3.75" customHeight="1">
      <c r="A114" s="1743"/>
      <c r="B114" s="1743"/>
      <c r="C114" s="1743"/>
      <c r="D114" s="1743"/>
      <c r="E114" s="1805"/>
      <c r="F114" s="1805"/>
      <c r="G114" s="1805"/>
      <c r="H114" s="1805"/>
      <c r="I114" s="1743"/>
    </row>
    <row r="115" spans="1:27" ht="18.75" customHeight="1">
      <c r="A115" s="3709" t="s">
        <v>1442</v>
      </c>
      <c r="B115" s="3710"/>
      <c r="C115" s="3710"/>
      <c r="D115" s="3710"/>
      <c r="E115" s="3710"/>
      <c r="F115" s="3710"/>
      <c r="G115" s="3710"/>
      <c r="H115" s="3710"/>
      <c r="I115" s="3711"/>
    </row>
    <row r="116" spans="1:27" ht="27" customHeight="1">
      <c r="A116" s="3665" t="s">
        <v>1443</v>
      </c>
      <c r="B116" s="3700" t="s">
        <v>1444</v>
      </c>
      <c r="C116" s="3700" t="s">
        <v>1445</v>
      </c>
      <c r="D116" s="3713" t="s">
        <v>1446</v>
      </c>
      <c r="E116" s="3714"/>
      <c r="F116" s="3708" t="s">
        <v>1447</v>
      </c>
      <c r="G116" s="3708"/>
      <c r="H116" s="3665" t="s">
        <v>1448</v>
      </c>
      <c r="I116" s="3665"/>
    </row>
    <row r="117" spans="1:27" ht="18.75" customHeight="1">
      <c r="A117" s="3665"/>
      <c r="B117" s="3701"/>
      <c r="C117" s="3701"/>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316967.99</v>
      </c>
      <c r="C118" s="2325">
        <f>M19</f>
        <v>65012.5</v>
      </c>
      <c r="D118" s="2325">
        <f ca="1">ROUND(IF(D32="总价",C34,E118*B118/10000),0)</f>
        <v>272296</v>
      </c>
      <c r="E118" s="2325">
        <f ca="1">ROUND(IF(C33="自定义",IF(D32="楼面单价",C34,D118*10000/B118),I118-G118),0)</f>
        <v>8590</v>
      </c>
      <c r="F118" s="2325">
        <f ca="1">ROUND(IF(D32="总价",C35,G118*B118/10000),0)</f>
        <v>349384</v>
      </c>
      <c r="G118" s="2325">
        <f ca="1">ROUND(IF(D32="楼面单价",C35,F118*10000/B118),0)</f>
        <v>11023</v>
      </c>
      <c r="H118" s="2325">
        <f ca="1">ROUND(IF(D32="总价",C32,I118*B118/10000),0)</f>
        <v>621680</v>
      </c>
      <c r="I118" s="2325">
        <f ca="1">ROUND(IF(D32="楼面单价",C32,H118*10000/B118),0)</f>
        <v>19613</v>
      </c>
    </row>
    <row r="119" spans="1:27" ht="18.75" customHeight="1">
      <c r="A119" s="3665" t="s">
        <v>1452</v>
      </c>
      <c r="B119" s="3665"/>
      <c r="C119" s="3665"/>
      <c r="D119" s="3705" t="str">
        <f ca="1">NUMBERSTRING(INT(D118*10000),2)&amp;"元整"</f>
        <v>贰拾柒亿贰仟贰佰玖拾陆万元整</v>
      </c>
      <c r="E119" s="3707"/>
      <c r="F119" s="3705" t="str">
        <f ca="1">NUMBERSTRING(INT(F118*10000),2)&amp;"元整"</f>
        <v>叁拾肆亿玖仟叁佰捌拾肆万元整</v>
      </c>
      <c r="G119" s="3707"/>
      <c r="H119" s="3705" t="str">
        <f ca="1">NUMBERSTRING(INT(H118*10000),2)&amp;"元整"</f>
        <v>陆拾贰亿壹仟陆佰捌拾万元整</v>
      </c>
      <c r="I119" s="3707"/>
    </row>
    <row r="120" spans="1:27" ht="18.75" customHeight="1">
      <c r="A120" s="3729" t="str">
        <f>IF(项目基本情况!B9="房地产市场价值","",MID(E103,3,LEN(E103)-2))</f>
        <v>估价师知悉的法定优先受偿款</v>
      </c>
      <c r="B120" s="3730"/>
      <c r="C120" s="3731"/>
      <c r="D120" s="3729">
        <f>H103</f>
        <v>0</v>
      </c>
      <c r="E120" s="3730"/>
      <c r="F120" s="3730"/>
      <c r="G120" s="3730"/>
      <c r="H120" s="3730"/>
      <c r="I120" s="373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5" t="s">
        <v>1452</v>
      </c>
      <c r="B121" s="3706"/>
      <c r="C121" s="3707"/>
      <c r="D121" s="3705" t="str">
        <f>IF(D120=0,"零元整",NUMBERSTRING(INT(D120*10000),2)&amp;"元整")</f>
        <v>零元整</v>
      </c>
      <c r="E121" s="3706"/>
      <c r="F121" s="3706"/>
      <c r="G121" s="3706"/>
      <c r="H121" s="3706"/>
      <c r="I121" s="3707"/>
      <c r="AA121" s="721"/>
    </row>
    <row r="122" spans="1:27" ht="18.75" customHeight="1">
      <c r="A122" s="3696" t="str">
        <f>IF(项目基本情况!B9="房地产市场价值","",MID(E107,3,LEN(E107)-2))</f>
        <v>房地产抵押价值</v>
      </c>
      <c r="B122" s="3696"/>
      <c r="C122" s="3696"/>
      <c r="D122" s="3729">
        <f ca="1">H107</f>
        <v>621680</v>
      </c>
      <c r="E122" s="3730"/>
      <c r="F122" s="3730"/>
      <c r="G122" s="3730"/>
      <c r="H122" s="3730"/>
      <c r="I122" s="3731"/>
      <c r="AA122" s="721"/>
    </row>
    <row r="123" spans="1:27" ht="18.75" customHeight="1">
      <c r="A123" s="3665" t="s">
        <v>1452</v>
      </c>
      <c r="B123" s="3665"/>
      <c r="C123" s="3665"/>
      <c r="D123" s="3705" t="str">
        <f ca="1">NUMBERSTRING(INT(D122*10000),2)&amp;"元整"</f>
        <v>陆拾贰亿壹仟陆佰捌拾万元整</v>
      </c>
      <c r="E123" s="3706"/>
      <c r="F123" s="3706"/>
      <c r="G123" s="3706"/>
      <c r="H123" s="3706"/>
      <c r="I123" s="3707"/>
      <c r="AA123" s="721"/>
    </row>
    <row r="124" spans="1:27" ht="18.75" customHeight="1">
      <c r="A124" s="3696" t="str">
        <f>IF(项目基本情况!B9="房地产市场价值","",MID(E109,3,LEN(E109)-2))</f>
        <v/>
      </c>
      <c r="B124" s="3696"/>
      <c r="C124" s="3696"/>
      <c r="D124" s="3729" t="str">
        <f>H109</f>
        <v>——</v>
      </c>
      <c r="E124" s="3730"/>
      <c r="F124" s="3730"/>
      <c r="G124" s="3730"/>
      <c r="H124" s="3730"/>
      <c r="I124" s="3731"/>
      <c r="AA124" s="721"/>
    </row>
    <row r="125" spans="1:27" ht="18.75" customHeight="1">
      <c r="A125" s="3665" t="s">
        <v>1452</v>
      </c>
      <c r="B125" s="3665"/>
      <c r="C125" s="3665"/>
      <c r="D125" s="3705" t="e">
        <f>NUMBERSTRING(INT(D124*10000),2)&amp;"元整"</f>
        <v>#VALUE!</v>
      </c>
      <c r="E125" s="3706"/>
      <c r="F125" s="3706"/>
      <c r="G125" s="3706"/>
      <c r="H125" s="3706"/>
      <c r="I125" s="3707"/>
      <c r="AA125" s="721"/>
    </row>
    <row r="126" spans="1:27" ht="18.75" customHeight="1">
      <c r="A126" s="3696" t="str">
        <f>IF(项目基本情况!B9="房地产市场价值","",MID(E111,3,LEN(E111)-2))</f>
        <v>抵押净值</v>
      </c>
      <c r="B126" s="3696"/>
      <c r="C126" s="3696"/>
      <c r="D126" s="3729">
        <f ca="1">H111</f>
        <v>559201</v>
      </c>
      <c r="E126" s="3730"/>
      <c r="F126" s="3730"/>
      <c r="G126" s="3730"/>
      <c r="H126" s="3730"/>
      <c r="I126" s="3731"/>
      <c r="AA126" s="721"/>
    </row>
    <row r="127" spans="1:27" ht="18.75" customHeight="1">
      <c r="A127" s="3665" t="s">
        <v>1452</v>
      </c>
      <c r="B127" s="3665"/>
      <c r="C127" s="3665"/>
      <c r="D127" s="3705" t="str">
        <f ca="1">NUMBERSTRING(INT(D126*10000),2)&amp;"元整"</f>
        <v>伍拾伍亿玖仟贰佰零壹万元整</v>
      </c>
      <c r="E127" s="3706"/>
      <c r="F127" s="3706"/>
      <c r="G127" s="3706"/>
      <c r="H127" s="3706"/>
      <c r="I127" s="3707"/>
      <c r="AA127" s="721"/>
    </row>
    <row r="128" spans="1:27" ht="21.75" customHeight="1">
      <c r="A128" s="3712" t="s">
        <v>1453</v>
      </c>
      <c r="B128" s="3712"/>
      <c r="C128" s="3712"/>
      <c r="D128" s="3712"/>
      <c r="E128" s="3712"/>
      <c r="F128" s="3712"/>
      <c r="G128" s="3712"/>
      <c r="H128" s="3712"/>
      <c r="I128" s="3712"/>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7"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F138"/>
  <sheetViews>
    <sheetView view="pageBreakPreview" zoomScaleNormal="70" zoomScaleSheetLayoutView="100" workbookViewId="0">
      <selection activeCell="M18" sqref="M18"/>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953" t="s">
        <v>1810</v>
      </c>
      <c r="C1" s="1220" t="s">
        <v>1662</v>
      </c>
      <c r="D1" s="1221"/>
      <c r="E1" s="3429" t="s">
        <v>3758</v>
      </c>
      <c r="F1" s="1875" t="s">
        <v>3759</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f>IF(E1="项目模式",IF(C2="——",ROUND(C50*D3/10000,0),ROUND(C50*D3/10000,0)-D2),IF(E1="单套模式",IF(C2="——",ROUND(C50*D3/10000,4),ROUND(C50*D3/10000,4)-D2)))</f>
        <v>665252</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20988</v>
      </c>
      <c r="C3" s="351" t="s">
        <v>1768</v>
      </c>
      <c r="D3" s="350">
        <f>IF(D1="",'数据-汇总表'!E3,SUMIF('数据-汇总表'!$C19:$C33,D1,'数据-汇总表'!$E19:$E33))</f>
        <v>316967.99</v>
      </c>
      <c r="E3" s="1950"/>
      <c r="F3" s="905"/>
      <c r="G3" s="904"/>
      <c r="H3" s="904"/>
      <c r="I3" s="904"/>
      <c r="J3" s="904"/>
      <c r="K3" s="906"/>
      <c r="L3" s="2730"/>
      <c r="M3" s="2731"/>
      <c r="N3" s="2731"/>
      <c r="O3" s="2731"/>
      <c r="P3" s="695"/>
      <c r="Q3" s="695"/>
      <c r="R3" s="695"/>
      <c r="S3" s="695"/>
      <c r="T3" s="695"/>
      <c r="U3" s="695"/>
      <c r="V3" s="695"/>
      <c r="W3" s="695"/>
      <c r="X3" s="695"/>
      <c r="Y3" s="695"/>
      <c r="Z3" s="695"/>
      <c r="AA3" s="695"/>
      <c r="AB3" s="695"/>
      <c r="AC3" s="696"/>
    </row>
    <row r="4" spans="1:29" ht="15">
      <c r="A4" s="352" t="s">
        <v>1769</v>
      </c>
      <c r="B4" s="353"/>
      <c r="C4" s="3763" t="s">
        <v>1770</v>
      </c>
      <c r="D4" s="3764"/>
      <c r="E4" s="3765" t="s">
        <v>1771</v>
      </c>
      <c r="F4" s="3766"/>
      <c r="G4" s="3763" t="s">
        <v>1772</v>
      </c>
      <c r="H4" s="3764"/>
      <c r="I4" s="3763" t="s">
        <v>1773</v>
      </c>
      <c r="J4" s="3764"/>
      <c r="K4" s="556" t="s">
        <v>1774</v>
      </c>
      <c r="L4" s="2711"/>
      <c r="M4" s="2712"/>
      <c r="N4" s="2712"/>
      <c r="O4" s="2712"/>
      <c r="P4" s="3767" t="s">
        <v>1775</v>
      </c>
      <c r="Q4" s="3768"/>
      <c r="R4" s="3773" t="s">
        <v>1771</v>
      </c>
      <c r="S4" s="3774"/>
      <c r="T4" s="3773" t="s">
        <v>1772</v>
      </c>
      <c r="U4" s="3774"/>
      <c r="V4" s="3779" t="s">
        <v>1773</v>
      </c>
      <c r="W4" s="3779"/>
      <c r="X4" s="1954"/>
      <c r="Y4" s="3773" t="s">
        <v>1775</v>
      </c>
      <c r="Z4" s="3774"/>
      <c r="AA4" s="3791" t="s">
        <v>1771</v>
      </c>
      <c r="AB4" s="3791" t="s">
        <v>1772</v>
      </c>
      <c r="AC4" s="3760" t="s">
        <v>1773</v>
      </c>
    </row>
    <row r="5" spans="1:29" ht="30.75" customHeight="1">
      <c r="A5" s="355"/>
      <c r="B5" s="356"/>
      <c r="C5" s="3783" t="s">
        <v>1673</v>
      </c>
      <c r="D5" s="3784"/>
      <c r="E5" s="3794" t="str">
        <f>大宗!B2</f>
        <v>新华联北京民企总部基地35#+31#+10#</v>
      </c>
      <c r="F5" s="3795"/>
      <c r="G5" s="3783" t="str">
        <f>大宗!B14</f>
        <v>东北旺西路8号中关村软件园10号楼研发用途（国永融通大厦）</v>
      </c>
      <c r="H5" s="3784"/>
      <c r="I5" s="3783" t="str">
        <f>大宗!B16</f>
        <v>电子城科技园401楼</v>
      </c>
      <c r="J5" s="3784"/>
      <c r="K5" s="556"/>
      <c r="L5" s="2711"/>
      <c r="M5" s="2712"/>
      <c r="N5" s="2712"/>
      <c r="O5" s="2712"/>
      <c r="P5" s="3769"/>
      <c r="Q5" s="3770"/>
      <c r="R5" s="3775"/>
      <c r="S5" s="3776"/>
      <c r="T5" s="3775"/>
      <c r="U5" s="3776"/>
      <c r="V5" s="3780"/>
      <c r="W5" s="3780"/>
      <c r="X5" s="1351"/>
      <c r="Y5" s="3775"/>
      <c r="Z5" s="3776"/>
      <c r="AA5" s="3792"/>
      <c r="AB5" s="3792"/>
      <c r="AC5" s="3761"/>
    </row>
    <row r="6" spans="1:29" ht="15.75" thickBot="1">
      <c r="A6" s="357"/>
      <c r="B6" s="358"/>
      <c r="C6" s="3781" t="s">
        <v>1677</v>
      </c>
      <c r="D6" s="3782"/>
      <c r="E6" s="3789" t="s">
        <v>1677</v>
      </c>
      <c r="F6" s="3790"/>
      <c r="G6" s="3781" t="s">
        <v>1677</v>
      </c>
      <c r="H6" s="3782"/>
      <c r="I6" s="3781" t="s">
        <v>1677</v>
      </c>
      <c r="J6" s="3782"/>
      <c r="K6" s="556" t="s">
        <v>1678</v>
      </c>
      <c r="L6" s="2711"/>
      <c r="M6" s="2712"/>
      <c r="N6" s="2712"/>
      <c r="O6" s="2712"/>
      <c r="P6" s="3771"/>
      <c r="Q6" s="3772"/>
      <c r="R6" s="3775"/>
      <c r="S6" s="3776"/>
      <c r="T6" s="3777"/>
      <c r="U6" s="3778"/>
      <c r="V6" s="3780"/>
      <c r="W6" s="3780"/>
      <c r="X6" s="1351"/>
      <c r="Y6" s="3777"/>
      <c r="Z6" s="3778"/>
      <c r="AA6" s="3793"/>
      <c r="AB6" s="3793"/>
      <c r="AC6" s="3762"/>
    </row>
    <row r="7" spans="1:29" s="108" customFormat="1" ht="15.75" thickBot="1">
      <c r="A7" s="359" t="s">
        <v>1679</v>
      </c>
      <c r="B7" s="360"/>
      <c r="C7" s="361">
        <f>'数据-取费表'!B2</f>
        <v>45421</v>
      </c>
      <c r="D7" s="362">
        <v>100</v>
      </c>
      <c r="E7" s="363">
        <f>大宗!P2</f>
        <v>44562</v>
      </c>
      <c r="F7" s="364">
        <f>SUMIF(59:59,YEAR(E7)&amp;"-"&amp;MONTH(E7),60:60)</f>
        <v>100</v>
      </c>
      <c r="G7" s="363">
        <f>大宗!P14</f>
        <v>44779</v>
      </c>
      <c r="H7" s="362">
        <f>SUMIF(59:59,YEAR(G7)&amp;"-"&amp;MONTH(G7),60:60)</f>
        <v>100</v>
      </c>
      <c r="I7" s="363">
        <f>大宗!P16</f>
        <v>44795</v>
      </c>
      <c r="J7" s="362">
        <f>SUMIF(59:59,YEAR(I7)&amp;"-"&amp;MONTH(I7),60:60)</f>
        <v>100</v>
      </c>
      <c r="K7" s="557"/>
      <c r="L7" s="2713"/>
      <c r="M7" s="2714"/>
      <c r="N7" s="2714"/>
      <c r="O7" s="2714"/>
      <c r="P7" s="3785" t="s">
        <v>1680</v>
      </c>
      <c r="Q7" s="3788"/>
      <c r="R7" s="697" t="s">
        <v>14</v>
      </c>
      <c r="S7" s="698">
        <f t="shared" ref="S7:S15" si="0">F7</f>
        <v>100</v>
      </c>
      <c r="T7" s="697" t="s">
        <v>14</v>
      </c>
      <c r="U7" s="698">
        <f t="shared" ref="U7:U15" si="1">H7</f>
        <v>100</v>
      </c>
      <c r="V7" s="697" t="s">
        <v>14</v>
      </c>
      <c r="W7" s="698">
        <f t="shared" ref="W7:W15" si="2">J7</f>
        <v>100</v>
      </c>
      <c r="X7" s="699"/>
      <c r="Y7" s="3787" t="s">
        <v>1680</v>
      </c>
      <c r="Z7" s="3786"/>
      <c r="AA7" s="700">
        <f>D7/F7</f>
        <v>1</v>
      </c>
      <c r="AB7" s="700">
        <f>D7/H7</f>
        <v>1</v>
      </c>
      <c r="AC7" s="1955">
        <f>D7/J7</f>
        <v>1</v>
      </c>
    </row>
    <row r="8" spans="1:29" s="108" customFormat="1" ht="15.75" thickBot="1">
      <c r="A8" s="359" t="s">
        <v>1681</v>
      </c>
      <c r="B8" s="360"/>
      <c r="C8" s="365" t="s">
        <v>3750</v>
      </c>
      <c r="D8" s="362">
        <v>100</v>
      </c>
      <c r="E8" s="365" t="s">
        <v>3750</v>
      </c>
      <c r="F8" s="364">
        <f>SUMIF(62:62,E8,63:63)-SUMIF(62:62,C8,63:63)+100</f>
        <v>100</v>
      </c>
      <c r="G8" s="365" t="s">
        <v>3750</v>
      </c>
      <c r="H8" s="362">
        <f>SUMIF(62:62,G8,63:63)-SUMIF(62:62,C8,63:63)+100</f>
        <v>100</v>
      </c>
      <c r="I8" s="365" t="s">
        <v>3750</v>
      </c>
      <c r="J8" s="362">
        <f>SUMIF(62:62,I8,63:63)-SUMIF(62:62,C8,63:63)+100</f>
        <v>100</v>
      </c>
      <c r="K8" s="557"/>
      <c r="L8" s="2713"/>
      <c r="M8" s="2714"/>
      <c r="N8" s="2714"/>
      <c r="O8" s="2714"/>
      <c r="P8" s="3785" t="s">
        <v>1683</v>
      </c>
      <c r="Q8" s="3786"/>
      <c r="R8" s="697" t="s">
        <v>14</v>
      </c>
      <c r="S8" s="698">
        <f t="shared" si="0"/>
        <v>100</v>
      </c>
      <c r="T8" s="697" t="s">
        <v>14</v>
      </c>
      <c r="U8" s="698">
        <f t="shared" si="1"/>
        <v>100</v>
      </c>
      <c r="V8" s="697" t="s">
        <v>14</v>
      </c>
      <c r="W8" s="698">
        <f t="shared" si="2"/>
        <v>100</v>
      </c>
      <c r="X8" s="699"/>
      <c r="Y8" s="3787" t="s">
        <v>1683</v>
      </c>
      <c r="Z8" s="3786"/>
      <c r="AA8" s="700">
        <f t="shared" ref="AA8:AA47" si="3">D8/F8</f>
        <v>1</v>
      </c>
      <c r="AB8" s="700">
        <f t="shared" ref="AB8:AB47" si="4">D8/H8</f>
        <v>1</v>
      </c>
      <c r="AC8" s="1955">
        <f t="shared" ref="AC8:AC47" si="5">D8/J8</f>
        <v>1</v>
      </c>
    </row>
    <row r="9" spans="1:29" s="108" customFormat="1" ht="15">
      <c r="A9" s="366" t="s">
        <v>1684</v>
      </c>
      <c r="B9" s="63" t="s">
        <v>1685</v>
      </c>
      <c r="C9" s="3550" t="s">
        <v>3752</v>
      </c>
      <c r="D9" s="123">
        <v>100</v>
      </c>
      <c r="E9" s="370" t="s">
        <v>3753</v>
      </c>
      <c r="F9" s="123">
        <f>SUMIF(64:64,E9,65:65)-SUMIF(64:64,C9,65:65)+100</f>
        <v>90</v>
      </c>
      <c r="G9" s="368" t="s">
        <v>3751</v>
      </c>
      <c r="H9" s="123">
        <f>SUMIF(64:64,G9,65:65)-SUMIF(64:64,C9,65:65)+100</f>
        <v>100</v>
      </c>
      <c r="I9" s="370" t="s">
        <v>3753</v>
      </c>
      <c r="J9" s="123">
        <f>SUMIF(64:64,I9,65:65)-SUMIF(64:64,C9,65:65)+100</f>
        <v>90</v>
      </c>
      <c r="K9" s="557"/>
      <c r="L9" s="2713"/>
      <c r="M9" s="2714"/>
      <c r="N9" s="2714"/>
      <c r="O9" s="2714"/>
      <c r="P9" s="3745" t="s">
        <v>1686</v>
      </c>
      <c r="Q9" s="1339" t="str">
        <f t="shared" ref="Q9:Q15" si="6">B9</f>
        <v>用途</v>
      </c>
      <c r="R9" s="697" t="s">
        <v>14</v>
      </c>
      <c r="S9" s="698">
        <f t="shared" si="0"/>
        <v>90</v>
      </c>
      <c r="T9" s="697" t="s">
        <v>14</v>
      </c>
      <c r="U9" s="698">
        <f t="shared" si="1"/>
        <v>100</v>
      </c>
      <c r="V9" s="697" t="s">
        <v>14</v>
      </c>
      <c r="W9" s="698">
        <f t="shared" si="2"/>
        <v>90</v>
      </c>
      <c r="X9" s="699"/>
      <c r="Y9" s="3652" t="s">
        <v>1687</v>
      </c>
      <c r="Z9" s="52" t="str">
        <f t="shared" ref="Z9:Z15" si="7">Q9</f>
        <v>用途</v>
      </c>
      <c r="AA9" s="700">
        <f t="shared" si="3"/>
        <v>1.1111111111111112</v>
      </c>
      <c r="AB9" s="700">
        <f t="shared" si="4"/>
        <v>1</v>
      </c>
      <c r="AC9" s="1955">
        <f t="shared" si="5"/>
        <v>1.1111111111111112</v>
      </c>
    </row>
    <row r="10" spans="1:29" s="375" customFormat="1" ht="27">
      <c r="A10" s="371"/>
      <c r="B10" s="372" t="s">
        <v>1688</v>
      </c>
      <c r="C10" s="3430"/>
      <c r="D10" s="124">
        <v>100</v>
      </c>
      <c r="E10" s="3430"/>
      <c r="F10" s="124">
        <f>SUMIF(66:66,E10,67:67)-SUMIF(66:66,C10,67:67)+100</f>
        <v>100</v>
      </c>
      <c r="G10" s="3431"/>
      <c r="H10" s="124">
        <f>SUMIF(66:66,G10,67:67)-SUMIF(66:66,C10,67:67)+100</f>
        <v>100</v>
      </c>
      <c r="I10" s="3430"/>
      <c r="J10" s="124">
        <f>SUMIF(66:66,I10,67:67)-SUMIF(66:66,C10,67:67)+100</f>
        <v>100</v>
      </c>
      <c r="K10" s="557"/>
      <c r="L10" s="2715"/>
      <c r="M10" s="2716"/>
      <c r="N10" s="2716"/>
      <c r="O10" s="2716"/>
      <c r="P10" s="3745"/>
      <c r="Q10" s="1339" t="str">
        <f t="shared" si="6"/>
        <v>土地使用年限（年）</v>
      </c>
      <c r="R10" s="697" t="s">
        <v>14</v>
      </c>
      <c r="S10" s="698">
        <f t="shared" si="0"/>
        <v>100</v>
      </c>
      <c r="T10" s="697" t="s">
        <v>14</v>
      </c>
      <c r="U10" s="698">
        <f t="shared" si="1"/>
        <v>100</v>
      </c>
      <c r="V10" s="697" t="s">
        <v>14</v>
      </c>
      <c r="W10" s="698">
        <f t="shared" si="2"/>
        <v>100</v>
      </c>
      <c r="X10" s="699"/>
      <c r="Y10" s="3652"/>
      <c r="Z10" s="52" t="str">
        <f t="shared" si="7"/>
        <v>土地使用年限（年）</v>
      </c>
      <c r="AA10" s="700">
        <f t="shared" si="3"/>
        <v>1</v>
      </c>
      <c r="AB10" s="700">
        <f t="shared" si="4"/>
        <v>1</v>
      </c>
      <c r="AC10" s="1955">
        <f t="shared" si="5"/>
        <v>1</v>
      </c>
    </row>
    <row r="11" spans="1:29" ht="15">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7"/>
      <c r="M11" s="2712"/>
      <c r="N11" s="2712"/>
      <c r="O11" s="2712"/>
      <c r="P11" s="3745"/>
      <c r="Q11" s="1339" t="str">
        <f t="shared" si="6"/>
        <v>容积率</v>
      </c>
      <c r="R11" s="697" t="s">
        <v>14</v>
      </c>
      <c r="S11" s="698">
        <f t="shared" si="0"/>
        <v>100</v>
      </c>
      <c r="T11" s="697" t="s">
        <v>14</v>
      </c>
      <c r="U11" s="698">
        <f t="shared" si="1"/>
        <v>100</v>
      </c>
      <c r="V11" s="697" t="s">
        <v>14</v>
      </c>
      <c r="W11" s="698">
        <f t="shared" si="2"/>
        <v>100</v>
      </c>
      <c r="X11" s="699"/>
      <c r="Y11" s="3652"/>
      <c r="Z11" s="52" t="str">
        <f t="shared" si="7"/>
        <v>容积率</v>
      </c>
      <c r="AA11" s="700">
        <f t="shared" si="3"/>
        <v>1</v>
      </c>
      <c r="AB11" s="700">
        <f t="shared" si="4"/>
        <v>1</v>
      </c>
      <c r="AC11" s="1955">
        <f t="shared" si="5"/>
        <v>1</v>
      </c>
    </row>
    <row r="12" spans="1:29" s="108" customFormat="1" ht="15">
      <c r="A12" s="379"/>
      <c r="B12" s="1889">
        <v>111</v>
      </c>
      <c r="C12" s="380">
        <f>取值过程!C16</f>
        <v>2016</v>
      </c>
      <c r="D12" s="381">
        <v>100</v>
      </c>
      <c r="E12" s="380">
        <v>2014</v>
      </c>
      <c r="F12" s="124">
        <f>SUMIF(71:71,E12,72:72)-SUMIF(71:71,C12,72:72)+100</f>
        <v>100</v>
      </c>
      <c r="G12" s="1956">
        <v>2017</v>
      </c>
      <c r="H12" s="124">
        <f>SUMIF(71:71,G12,72:72)-SUMIF(71:71,C12,72:72)+100</f>
        <v>100</v>
      </c>
      <c r="I12" s="380">
        <v>2002</v>
      </c>
      <c r="J12" s="124">
        <f>SUMIF(71:71,I12,72:72)-SUMIF(71:71,C12,72:72)+100</f>
        <v>100</v>
      </c>
      <c r="K12" s="559"/>
      <c r="L12" s="2713"/>
      <c r="M12" s="2714"/>
      <c r="N12" s="2714"/>
      <c r="O12" s="2714"/>
      <c r="P12" s="3745"/>
      <c r="Q12" s="1339">
        <f t="shared" si="6"/>
        <v>111</v>
      </c>
      <c r="R12" s="697" t="s">
        <v>14</v>
      </c>
      <c r="S12" s="698">
        <f t="shared" si="0"/>
        <v>100</v>
      </c>
      <c r="T12" s="697" t="s">
        <v>14</v>
      </c>
      <c r="U12" s="698">
        <f t="shared" si="1"/>
        <v>100</v>
      </c>
      <c r="V12" s="697" t="s">
        <v>14</v>
      </c>
      <c r="W12" s="698">
        <f t="shared" si="2"/>
        <v>100</v>
      </c>
      <c r="X12" s="699"/>
      <c r="Y12" s="3652"/>
      <c r="Z12" s="52">
        <f t="shared" si="7"/>
        <v>111</v>
      </c>
      <c r="AA12" s="700">
        <f>D12/F12</f>
        <v>1</v>
      </c>
      <c r="AB12" s="700">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8"/>
      <c r="M13" s="2712"/>
      <c r="N13" s="2712"/>
      <c r="O13" s="2712"/>
      <c r="P13" s="3745"/>
      <c r="Q13" s="1339">
        <f t="shared" si="6"/>
        <v>111</v>
      </c>
      <c r="R13" s="697" t="s">
        <v>14</v>
      </c>
      <c r="S13" s="698">
        <f t="shared" si="0"/>
        <v>100</v>
      </c>
      <c r="T13" s="697" t="s">
        <v>14</v>
      </c>
      <c r="U13" s="698">
        <f t="shared" si="1"/>
        <v>100</v>
      </c>
      <c r="V13" s="697" t="s">
        <v>14</v>
      </c>
      <c r="W13" s="698">
        <f t="shared" si="2"/>
        <v>100</v>
      </c>
      <c r="X13" s="699"/>
      <c r="Y13" s="3652"/>
      <c r="Z13" s="52">
        <f t="shared" si="7"/>
        <v>111</v>
      </c>
      <c r="AA13" s="700">
        <f t="shared" si="3"/>
        <v>1</v>
      </c>
      <c r="AB13" s="700">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8"/>
      <c r="M14" s="2712"/>
      <c r="N14" s="2712"/>
      <c r="O14" s="2712"/>
      <c r="P14" s="3745"/>
      <c r="Q14" s="1339">
        <f t="shared" si="6"/>
        <v>111</v>
      </c>
      <c r="R14" s="697" t="s">
        <v>14</v>
      </c>
      <c r="S14" s="698">
        <f t="shared" si="0"/>
        <v>100</v>
      </c>
      <c r="T14" s="697" t="s">
        <v>14</v>
      </c>
      <c r="U14" s="698">
        <f t="shared" si="1"/>
        <v>100</v>
      </c>
      <c r="V14" s="697" t="s">
        <v>14</v>
      </c>
      <c r="W14" s="698">
        <f t="shared" si="2"/>
        <v>100</v>
      </c>
      <c r="X14" s="699"/>
      <c r="Y14" s="3652"/>
      <c r="Z14" s="52">
        <f t="shared" si="7"/>
        <v>111</v>
      </c>
      <c r="AA14" s="700">
        <f t="shared" si="3"/>
        <v>1</v>
      </c>
      <c r="AB14" s="700">
        <f t="shared" si="4"/>
        <v>1</v>
      </c>
      <c r="AC14" s="1955">
        <f t="shared" si="5"/>
        <v>1</v>
      </c>
    </row>
    <row r="15" spans="1:29" ht="71.25">
      <c r="A15" s="388" t="s">
        <v>1690</v>
      </c>
      <c r="B15" s="574" t="s">
        <v>1811</v>
      </c>
      <c r="C15" s="1957"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v>3</v>
      </c>
      <c r="L15" s="2718"/>
      <c r="M15" s="2712"/>
      <c r="N15" s="2712"/>
      <c r="O15" s="2712"/>
      <c r="P15" s="3751" t="s">
        <v>1691</v>
      </c>
      <c r="Q15" s="1348" t="str">
        <f t="shared" si="6"/>
        <v>办公集聚程度</v>
      </c>
      <c r="R15" s="701" t="s">
        <v>14</v>
      </c>
      <c r="S15" s="702">
        <f t="shared" si="0"/>
        <v>100</v>
      </c>
      <c r="T15" s="701" t="s">
        <v>14</v>
      </c>
      <c r="U15" s="702">
        <f t="shared" si="1"/>
        <v>100</v>
      </c>
      <c r="V15" s="701" t="s">
        <v>14</v>
      </c>
      <c r="W15" s="702">
        <f t="shared" si="2"/>
        <v>100</v>
      </c>
      <c r="X15" s="1351"/>
      <c r="Y15" s="3753" t="s">
        <v>1691</v>
      </c>
      <c r="Z15" s="1352" t="str">
        <f t="shared" si="7"/>
        <v>办公集聚程度</v>
      </c>
      <c r="AA15" s="1349">
        <f t="shared" si="3"/>
        <v>1</v>
      </c>
      <c r="AB15" s="1349">
        <f t="shared" si="4"/>
        <v>1</v>
      </c>
      <c r="AC15" s="1958">
        <f t="shared" si="5"/>
        <v>1</v>
      </c>
    </row>
    <row r="16" spans="1:29" ht="15">
      <c r="A16" s="376"/>
      <c r="B16" s="575"/>
      <c r="C16" s="1900" t="s">
        <v>3477</v>
      </c>
      <c r="D16" s="396"/>
      <c r="E16" s="1900" t="s">
        <v>3477</v>
      </c>
      <c r="F16" s="396"/>
      <c r="G16" s="1900" t="s">
        <v>3477</v>
      </c>
      <c r="H16" s="398"/>
      <c r="I16" s="1900" t="s">
        <v>3477</v>
      </c>
      <c r="J16" s="396"/>
      <c r="K16" s="561"/>
      <c r="L16" s="2718"/>
      <c r="M16" s="2712"/>
      <c r="N16" s="2712"/>
      <c r="O16" s="2712"/>
      <c r="P16" s="3752"/>
      <c r="Q16" s="1348"/>
      <c r="R16" s="701"/>
      <c r="S16" s="702"/>
      <c r="T16" s="701"/>
      <c r="U16" s="702"/>
      <c r="V16" s="701"/>
      <c r="W16" s="702"/>
      <c r="X16" s="1351"/>
      <c r="Y16" s="3754"/>
      <c r="Z16" s="1352"/>
      <c r="AA16" s="1349">
        <v>1</v>
      </c>
      <c r="AB16" s="1349">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94</v>
      </c>
      <c r="G17" s="400"/>
      <c r="H17" s="403">
        <f>SUMIF(79:79,G18,80:80)-SUMIF(79:79,C18,80:80)+100</f>
        <v>97</v>
      </c>
      <c r="I17" s="400"/>
      <c r="J17" s="403">
        <f>SUMIF(79:79,I18,80:80)-SUMIF(79:79,C18,80:80)+100</f>
        <v>100</v>
      </c>
      <c r="K17" s="560">
        <v>3</v>
      </c>
      <c r="L17" s="2718"/>
      <c r="M17" s="2712"/>
      <c r="N17" s="2712"/>
      <c r="O17" s="2712"/>
      <c r="P17" s="3752"/>
      <c r="Q17" s="1348" t="str">
        <f>B17</f>
        <v>交通便捷度</v>
      </c>
      <c r="R17" s="701" t="s">
        <v>14</v>
      </c>
      <c r="S17" s="702">
        <f>F17</f>
        <v>94</v>
      </c>
      <c r="T17" s="701" t="s">
        <v>14</v>
      </c>
      <c r="U17" s="702">
        <f>H17</f>
        <v>97</v>
      </c>
      <c r="V17" s="701" t="s">
        <v>14</v>
      </c>
      <c r="W17" s="702">
        <f>J17</f>
        <v>100</v>
      </c>
      <c r="X17" s="1351"/>
      <c r="Y17" s="3754"/>
      <c r="Z17" s="1352" t="str">
        <f>Q17</f>
        <v>交通便捷度</v>
      </c>
      <c r="AA17" s="1349">
        <f t="shared" si="3"/>
        <v>1.0638297872340425</v>
      </c>
      <c r="AB17" s="1349">
        <f t="shared" si="4"/>
        <v>1.0309278350515463</v>
      </c>
      <c r="AC17" s="1958">
        <f t="shared" si="5"/>
        <v>1</v>
      </c>
    </row>
    <row r="18" spans="1:29" ht="15">
      <c r="A18" s="376"/>
      <c r="B18" s="577"/>
      <c r="C18" s="1960" t="s">
        <v>3477</v>
      </c>
      <c r="D18" s="398"/>
      <c r="E18" s="1898" t="s">
        <v>3756</v>
      </c>
      <c r="F18" s="398"/>
      <c r="G18" s="1899" t="s">
        <v>3478</v>
      </c>
      <c r="H18" s="396"/>
      <c r="I18" s="1900" t="s">
        <v>3477</v>
      </c>
      <c r="J18" s="396"/>
      <c r="K18" s="561"/>
      <c r="L18" s="2718"/>
      <c r="M18" s="2712"/>
      <c r="N18" s="2712"/>
      <c r="O18" s="2712"/>
      <c r="P18" s="3752"/>
      <c r="Q18" s="1348"/>
      <c r="R18" s="701"/>
      <c r="S18" s="702"/>
      <c r="T18" s="701"/>
      <c r="U18" s="702"/>
      <c r="V18" s="701"/>
      <c r="W18" s="702"/>
      <c r="X18" s="1351"/>
      <c r="Y18" s="3754"/>
      <c r="Z18" s="1352"/>
      <c r="AA18" s="1349">
        <v>1</v>
      </c>
      <c r="AB18" s="1349">
        <v>1</v>
      </c>
      <c r="AC18" s="1958">
        <v>1</v>
      </c>
    </row>
    <row r="19" spans="1:29" ht="42.75">
      <c r="A19" s="376"/>
      <c r="B19" s="576" t="s">
        <v>1812</v>
      </c>
      <c r="C19" s="1959" t="str">
        <f>估价对象房地状况!C7</f>
        <v>估价对象所在区域公共配套设施齐备情况</v>
      </c>
      <c r="D19" s="403">
        <v>100</v>
      </c>
      <c r="E19" s="407"/>
      <c r="F19" s="403">
        <f>SUMIF(81:81,E20,82:82)-SUMIF(81:81,C20,82:82)+100</f>
        <v>100</v>
      </c>
      <c r="G19" s="405"/>
      <c r="H19" s="398">
        <f>SUMIF(81:81,G20,82:82)-SUMIF(81:81,C20,82:82)+100</f>
        <v>98</v>
      </c>
      <c r="I19" s="405"/>
      <c r="J19" s="398">
        <f>SUMIF(81:81,I20,82:82)-SUMIF(81:81,C20,82:82)+100</f>
        <v>100</v>
      </c>
      <c r="K19" s="560">
        <v>2</v>
      </c>
      <c r="L19" s="2718"/>
      <c r="M19" s="2712"/>
      <c r="N19" s="2712"/>
      <c r="O19" s="2712"/>
      <c r="P19" s="3752"/>
      <c r="Q19" s="1348" t="str">
        <f>B19</f>
        <v>公共配套设施</v>
      </c>
      <c r="R19" s="701" t="s">
        <v>14</v>
      </c>
      <c r="S19" s="702">
        <f>F19</f>
        <v>100</v>
      </c>
      <c r="T19" s="701" t="s">
        <v>14</v>
      </c>
      <c r="U19" s="702">
        <f>H19</f>
        <v>98</v>
      </c>
      <c r="V19" s="701" t="s">
        <v>14</v>
      </c>
      <c r="W19" s="702">
        <f>J19</f>
        <v>100</v>
      </c>
      <c r="X19" s="1351"/>
      <c r="Y19" s="3754"/>
      <c r="Z19" s="1352" t="str">
        <f>Q19</f>
        <v>公共配套设施</v>
      </c>
      <c r="AA19" s="1349">
        <f t="shared" si="3"/>
        <v>1</v>
      </c>
      <c r="AB19" s="1349">
        <f t="shared" si="4"/>
        <v>1.0204081632653061</v>
      </c>
      <c r="AC19" s="1958">
        <f t="shared" si="5"/>
        <v>1</v>
      </c>
    </row>
    <row r="20" spans="1:29" ht="15">
      <c r="A20" s="376"/>
      <c r="B20" s="577"/>
      <c r="C20" s="1900" t="s">
        <v>3478</v>
      </c>
      <c r="D20" s="396"/>
      <c r="E20" s="1893" t="s">
        <v>3478</v>
      </c>
      <c r="F20" s="396"/>
      <c r="G20" s="1899" t="s">
        <v>3756</v>
      </c>
      <c r="H20" s="396"/>
      <c r="I20" s="1899" t="s">
        <v>3478</v>
      </c>
      <c r="J20" s="396"/>
      <c r="K20" s="561"/>
      <c r="L20" s="2718"/>
      <c r="M20" s="2712"/>
      <c r="N20" s="2712"/>
      <c r="O20" s="2712"/>
      <c r="P20" s="3752"/>
      <c r="Q20" s="1348"/>
      <c r="R20" s="701"/>
      <c r="S20" s="702"/>
      <c r="T20" s="701"/>
      <c r="U20" s="702"/>
      <c r="V20" s="701"/>
      <c r="W20" s="702"/>
      <c r="X20" s="1351"/>
      <c r="Y20" s="3754"/>
      <c r="Z20" s="1352"/>
      <c r="AA20" s="1349">
        <v>1</v>
      </c>
      <c r="AB20" s="1349">
        <v>1</v>
      </c>
      <c r="AC20" s="1958">
        <v>1</v>
      </c>
    </row>
    <row r="21" spans="1:29" ht="28.5">
      <c r="A21" s="376"/>
      <c r="B21" s="578" t="s">
        <v>1813</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v>1</v>
      </c>
      <c r="L21" s="2718"/>
      <c r="M21" s="2712"/>
      <c r="N21" s="2712"/>
      <c r="O21" s="2712"/>
      <c r="P21" s="3752"/>
      <c r="Q21" s="1348" t="str">
        <f>B21</f>
        <v>基础设施水平</v>
      </c>
      <c r="R21" s="701" t="s">
        <v>14</v>
      </c>
      <c r="S21" s="702">
        <f>F21</f>
        <v>100</v>
      </c>
      <c r="T21" s="701" t="s">
        <v>14</v>
      </c>
      <c r="U21" s="702">
        <f>H21</f>
        <v>100</v>
      </c>
      <c r="V21" s="701" t="s">
        <v>14</v>
      </c>
      <c r="W21" s="702">
        <f>J21</f>
        <v>100</v>
      </c>
      <c r="X21" s="1351"/>
      <c r="Y21" s="3754"/>
      <c r="Z21" s="1352" t="str">
        <f>Q21</f>
        <v>基础设施水平</v>
      </c>
      <c r="AA21" s="1349">
        <f t="shared" ref="AA21" si="8">D21/F21</f>
        <v>1</v>
      </c>
      <c r="AB21" s="1349">
        <f t="shared" ref="AB21" si="9">D21/H21</f>
        <v>1</v>
      </c>
      <c r="AC21" s="1958">
        <f t="shared" ref="AC21" si="10">D21/J21</f>
        <v>1</v>
      </c>
    </row>
    <row r="22" spans="1:29" ht="15">
      <c r="A22" s="376"/>
      <c r="B22" s="578"/>
      <c r="C22" s="1960" t="s">
        <v>3757</v>
      </c>
      <c r="D22" s="396"/>
      <c r="E22" s="1960" t="s">
        <v>3757</v>
      </c>
      <c r="F22" s="396"/>
      <c r="G22" s="1960" t="s">
        <v>3757</v>
      </c>
      <c r="H22" s="396"/>
      <c r="I22" s="1960" t="s">
        <v>3757</v>
      </c>
      <c r="J22" s="396"/>
      <c r="K22" s="1126"/>
      <c r="L22" s="2718"/>
      <c r="M22" s="2712"/>
      <c r="N22" s="2712"/>
      <c r="O22" s="2712"/>
      <c r="P22" s="3752"/>
      <c r="Q22" s="1348"/>
      <c r="R22" s="701"/>
      <c r="S22" s="702"/>
      <c r="T22" s="701"/>
      <c r="U22" s="702"/>
      <c r="V22" s="701"/>
      <c r="W22" s="702"/>
      <c r="X22" s="1351"/>
      <c r="Y22" s="3754"/>
      <c r="Z22" s="1352"/>
      <c r="AA22" s="1349">
        <v>1</v>
      </c>
      <c r="AB22" s="1349">
        <v>1</v>
      </c>
      <c r="AC22" s="1958">
        <v>1</v>
      </c>
    </row>
    <row r="23" spans="1:29" ht="42.75">
      <c r="A23" s="376"/>
      <c r="B23" s="576" t="s">
        <v>1814</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v>3</v>
      </c>
      <c r="L23" s="2718"/>
      <c r="M23" s="2712"/>
      <c r="N23" s="2712"/>
      <c r="O23" s="2712"/>
      <c r="P23" s="3752"/>
      <c r="Q23" s="1348" t="str">
        <f>B23</f>
        <v>环境质量</v>
      </c>
      <c r="R23" s="701" t="s">
        <v>14</v>
      </c>
      <c r="S23" s="702">
        <f>F23</f>
        <v>100</v>
      </c>
      <c r="T23" s="701" t="s">
        <v>14</v>
      </c>
      <c r="U23" s="702">
        <f>H23</f>
        <v>100</v>
      </c>
      <c r="V23" s="701" t="s">
        <v>14</v>
      </c>
      <c r="W23" s="702">
        <f>J23</f>
        <v>100</v>
      </c>
      <c r="X23" s="1351"/>
      <c r="Y23" s="3754"/>
      <c r="Z23" s="1352" t="str">
        <f>Q23</f>
        <v>环境质量</v>
      </c>
      <c r="AA23" s="1349">
        <f t="shared" si="3"/>
        <v>1</v>
      </c>
      <c r="AB23" s="1349">
        <f t="shared" si="4"/>
        <v>1</v>
      </c>
      <c r="AC23" s="1958">
        <f t="shared" si="5"/>
        <v>1</v>
      </c>
    </row>
    <row r="24" spans="1:29" ht="15">
      <c r="A24" s="376"/>
      <c r="B24" s="578"/>
      <c r="C24" s="1900" t="s">
        <v>3478</v>
      </c>
      <c r="D24" s="396"/>
      <c r="E24" s="1900" t="s">
        <v>3478</v>
      </c>
      <c r="F24" s="396"/>
      <c r="G24" s="1900" t="s">
        <v>3478</v>
      </c>
      <c r="H24" s="396"/>
      <c r="I24" s="1900" t="s">
        <v>3478</v>
      </c>
      <c r="J24" s="396"/>
      <c r="K24" s="561"/>
      <c r="L24" s="2718"/>
      <c r="M24" s="2712"/>
      <c r="N24" s="2712"/>
      <c r="O24" s="2712"/>
      <c r="P24" s="3752"/>
      <c r="Q24" s="1348"/>
      <c r="R24" s="701"/>
      <c r="S24" s="702"/>
      <c r="T24" s="701"/>
      <c r="U24" s="702"/>
      <c r="V24" s="701"/>
      <c r="W24" s="702"/>
      <c r="X24" s="1351"/>
      <c r="Y24" s="3754"/>
      <c r="Z24" s="1352"/>
      <c r="AA24" s="1349">
        <v>1</v>
      </c>
      <c r="AB24" s="1349">
        <v>1</v>
      </c>
      <c r="AC24" s="1958">
        <v>1</v>
      </c>
    </row>
    <row r="25" spans="1:29" ht="27">
      <c r="A25" s="355"/>
      <c r="B25" s="576" t="s">
        <v>1815</v>
      </c>
      <c r="C25" s="1904"/>
      <c r="D25" s="383">
        <v>100</v>
      </c>
      <c r="E25" s="382"/>
      <c r="F25" s="383">
        <f>SUMIF(87:87,E26,88:88)-SUMIF(87:87,C26,88:88)+100</f>
        <v>100</v>
      </c>
      <c r="G25" s="1904"/>
      <c r="H25" s="383">
        <f>SUMIF(87:87,G26,88:88)-SUMIF(87:87,C26,88:88)+100</f>
        <v>100</v>
      </c>
      <c r="I25" s="382"/>
      <c r="J25" s="383">
        <f>SUMIF(87:87,I26,88:88)-SUMIF(87:87,C26,88:88)+100</f>
        <v>100</v>
      </c>
      <c r="K25" s="560"/>
      <c r="L25" s="2718"/>
      <c r="M25" s="2712"/>
      <c r="N25" s="2712"/>
      <c r="O25" s="2712"/>
      <c r="P25" s="3752"/>
      <c r="Q25" s="1348" t="str">
        <f>B25</f>
        <v>毗邻道路的类型与等级</v>
      </c>
      <c r="R25" s="701" t="s">
        <v>14</v>
      </c>
      <c r="S25" s="702">
        <f>F25</f>
        <v>100</v>
      </c>
      <c r="T25" s="701" t="s">
        <v>14</v>
      </c>
      <c r="U25" s="702">
        <f>H25</f>
        <v>100</v>
      </c>
      <c r="V25" s="701" t="s">
        <v>14</v>
      </c>
      <c r="W25" s="702">
        <f>J25</f>
        <v>100</v>
      </c>
      <c r="X25" s="1351"/>
      <c r="Y25" s="3754"/>
      <c r="Z25" s="1352" t="str">
        <f>Q25</f>
        <v>毗邻道路的类型与等级</v>
      </c>
      <c r="AA25" s="1349">
        <f t="shared" si="3"/>
        <v>1</v>
      </c>
      <c r="AB25" s="1349">
        <f t="shared" si="4"/>
        <v>1</v>
      </c>
      <c r="AC25" s="1958">
        <f t="shared" si="5"/>
        <v>1</v>
      </c>
    </row>
    <row r="26" spans="1:29" ht="15">
      <c r="A26" s="355"/>
      <c r="B26" s="577"/>
      <c r="C26" s="579"/>
      <c r="D26" s="383"/>
      <c r="E26" s="562"/>
      <c r="F26" s="383"/>
      <c r="G26" s="579"/>
      <c r="H26" s="383"/>
      <c r="I26" s="562"/>
      <c r="J26" s="383"/>
      <c r="K26" s="561"/>
      <c r="L26" s="2718"/>
      <c r="M26" s="2712"/>
      <c r="N26" s="2712"/>
      <c r="O26" s="2712"/>
      <c r="P26" s="3752"/>
      <c r="Q26" s="1348"/>
      <c r="R26" s="701"/>
      <c r="S26" s="702"/>
      <c r="T26" s="701"/>
      <c r="U26" s="702"/>
      <c r="V26" s="701"/>
      <c r="W26" s="702"/>
      <c r="X26" s="1351"/>
      <c r="Y26" s="3754"/>
      <c r="Z26" s="1352"/>
      <c r="AA26" s="1349">
        <v>1</v>
      </c>
      <c r="AB26" s="1349">
        <v>1</v>
      </c>
      <c r="AC26" s="1958">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8"/>
      <c r="M27" s="2712"/>
      <c r="N27" s="2712"/>
      <c r="O27" s="2712"/>
      <c r="P27" s="3752"/>
      <c r="Q27" s="1348" t="str">
        <f t="shared" ref="Q27:Q47" si="11">B27</f>
        <v>楼层</v>
      </c>
      <c r="R27" s="701" t="s">
        <v>14</v>
      </c>
      <c r="S27" s="702">
        <f>F27</f>
        <v>100</v>
      </c>
      <c r="T27" s="701" t="s">
        <v>14</v>
      </c>
      <c r="U27" s="702">
        <f>H27</f>
        <v>100</v>
      </c>
      <c r="V27" s="701" t="s">
        <v>14</v>
      </c>
      <c r="W27" s="702">
        <f>J27</f>
        <v>100</v>
      </c>
      <c r="X27" s="1351"/>
      <c r="Y27" s="3754"/>
      <c r="Z27" s="1352" t="str">
        <f>Q27</f>
        <v>楼层</v>
      </c>
      <c r="AA27" s="1349">
        <f t="shared" si="3"/>
        <v>1</v>
      </c>
      <c r="AB27" s="1349">
        <f t="shared" si="4"/>
        <v>1</v>
      </c>
      <c r="AC27" s="1958">
        <f t="shared" si="5"/>
        <v>1</v>
      </c>
    </row>
    <row r="28" spans="1:29" s="108" customFormat="1" ht="15">
      <c r="A28" s="379"/>
      <c r="B28" s="576" t="s">
        <v>1816</v>
      </c>
      <c r="C28" s="1961"/>
      <c r="D28" s="410">
        <v>100</v>
      </c>
      <c r="E28" s="1952"/>
      <c r="F28" s="410">
        <f>SUMIF(91:91,E28,92:92)-SUMIF(91:91,C28,92:92)+100</f>
        <v>100</v>
      </c>
      <c r="G28" s="1961"/>
      <c r="H28" s="410">
        <f>SUMIF(91:91,G28,92:92)-SUMIF(91:91,C28,92:92)+100</f>
        <v>100</v>
      </c>
      <c r="I28" s="1952"/>
      <c r="J28" s="410">
        <f>SUMIF(91:91,I28,92:92)-SUMIF(91:91,C28,92:92)+100</f>
        <v>100</v>
      </c>
      <c r="K28" s="558"/>
      <c r="L28" s="2713"/>
      <c r="M28" s="2714"/>
      <c r="N28" s="2714"/>
      <c r="O28" s="2714"/>
      <c r="P28" s="3752"/>
      <c r="Q28" s="1339" t="str">
        <f t="shared" si="11"/>
        <v>朝向</v>
      </c>
      <c r="R28" s="697" t="s">
        <v>14</v>
      </c>
      <c r="S28" s="698">
        <f>F28</f>
        <v>100</v>
      </c>
      <c r="T28" s="697" t="s">
        <v>14</v>
      </c>
      <c r="U28" s="698">
        <f>H28</f>
        <v>100</v>
      </c>
      <c r="V28" s="697" t="s">
        <v>14</v>
      </c>
      <c r="W28" s="698">
        <f>J28</f>
        <v>100</v>
      </c>
      <c r="X28" s="699"/>
      <c r="Y28" s="3754"/>
      <c r="Z28" s="52" t="str">
        <f>Q28</f>
        <v>朝向</v>
      </c>
      <c r="AA28" s="1349">
        <f>D28/F28</f>
        <v>1</v>
      </c>
      <c r="AB28" s="1349">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8"/>
      <c r="M29" s="2712"/>
      <c r="N29" s="2712"/>
      <c r="O29" s="2712"/>
      <c r="P29" s="3752"/>
      <c r="Q29" s="1348">
        <f t="shared" si="11"/>
        <v>111</v>
      </c>
      <c r="R29" s="701" t="s">
        <v>14</v>
      </c>
      <c r="S29" s="702">
        <f t="shared" ref="S29:S47" si="12">F29</f>
        <v>100</v>
      </c>
      <c r="T29" s="701" t="s">
        <v>14</v>
      </c>
      <c r="U29" s="702">
        <f t="shared" ref="U29:U47" si="13">H29</f>
        <v>100</v>
      </c>
      <c r="V29" s="701" t="s">
        <v>14</v>
      </c>
      <c r="W29" s="702">
        <f t="shared" ref="W29:W47" si="14">J29</f>
        <v>100</v>
      </c>
      <c r="X29" s="1351"/>
      <c r="Y29" s="3754"/>
      <c r="Z29" s="1352">
        <f t="shared" ref="Z29:Z47" si="15">Q29</f>
        <v>111</v>
      </c>
      <c r="AA29" s="1349">
        <f t="shared" si="3"/>
        <v>1</v>
      </c>
      <c r="AB29" s="1349">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8"/>
      <c r="M30" s="2712"/>
      <c r="N30" s="2712"/>
      <c r="O30" s="2712"/>
      <c r="P30" s="3752"/>
      <c r="Q30" s="1348">
        <f t="shared" si="11"/>
        <v>111</v>
      </c>
      <c r="R30" s="701" t="s">
        <v>14</v>
      </c>
      <c r="S30" s="702">
        <f t="shared" si="12"/>
        <v>100</v>
      </c>
      <c r="T30" s="701" t="s">
        <v>14</v>
      </c>
      <c r="U30" s="702">
        <f t="shared" si="13"/>
        <v>100</v>
      </c>
      <c r="V30" s="701" t="s">
        <v>14</v>
      </c>
      <c r="W30" s="702">
        <f t="shared" si="14"/>
        <v>100</v>
      </c>
      <c r="X30" s="1351"/>
      <c r="Y30" s="3754"/>
      <c r="Z30" s="1352">
        <f t="shared" si="15"/>
        <v>111</v>
      </c>
      <c r="AA30" s="1349">
        <f t="shared" si="3"/>
        <v>1</v>
      </c>
      <c r="AB30" s="1349">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8"/>
      <c r="M31" s="2712"/>
      <c r="N31" s="2712"/>
      <c r="O31" s="2712"/>
      <c r="P31" s="3752"/>
      <c r="Q31" s="1348">
        <f t="shared" si="11"/>
        <v>111</v>
      </c>
      <c r="R31" s="701" t="s">
        <v>14</v>
      </c>
      <c r="S31" s="702">
        <f t="shared" si="12"/>
        <v>100</v>
      </c>
      <c r="T31" s="701" t="s">
        <v>14</v>
      </c>
      <c r="U31" s="702">
        <f t="shared" si="13"/>
        <v>100</v>
      </c>
      <c r="V31" s="701" t="s">
        <v>14</v>
      </c>
      <c r="W31" s="702">
        <f t="shared" si="14"/>
        <v>100</v>
      </c>
      <c r="X31" s="1351"/>
      <c r="Y31" s="3754"/>
      <c r="Z31" s="1352">
        <f t="shared" si="15"/>
        <v>111</v>
      </c>
      <c r="AA31" s="1349">
        <f t="shared" si="3"/>
        <v>1</v>
      </c>
      <c r="AB31" s="1349">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8"/>
      <c r="M32" s="2712"/>
      <c r="N32" s="2712"/>
      <c r="O32" s="2712"/>
      <c r="P32" s="3752"/>
      <c r="Q32" s="1348">
        <f t="shared" si="11"/>
        <v>111</v>
      </c>
      <c r="R32" s="701" t="s">
        <v>14</v>
      </c>
      <c r="S32" s="702">
        <f t="shared" si="12"/>
        <v>100</v>
      </c>
      <c r="T32" s="701" t="s">
        <v>14</v>
      </c>
      <c r="U32" s="702">
        <f t="shared" si="13"/>
        <v>100</v>
      </c>
      <c r="V32" s="701" t="s">
        <v>14</v>
      </c>
      <c r="W32" s="702">
        <f t="shared" si="14"/>
        <v>100</v>
      </c>
      <c r="X32" s="1351"/>
      <c r="Y32" s="3754"/>
      <c r="Z32" s="1352">
        <f t="shared" si="15"/>
        <v>111</v>
      </c>
      <c r="AA32" s="1349">
        <f t="shared" si="3"/>
        <v>1</v>
      </c>
      <c r="AB32" s="1349">
        <f t="shared" si="4"/>
        <v>1</v>
      </c>
      <c r="AC32" s="1958">
        <f t="shared" si="5"/>
        <v>1</v>
      </c>
    </row>
    <row r="33" spans="1:29" ht="15">
      <c r="A33" s="388" t="s">
        <v>1694</v>
      </c>
      <c r="B33" s="63" t="s">
        <v>1817</v>
      </c>
      <c r="C33" s="1963"/>
      <c r="D33" s="415">
        <v>100</v>
      </c>
      <c r="E33" s="1963"/>
      <c r="F33" s="409">
        <f>SUMIF(101:101,E33,102:102)-SUMIF(101:101,C33,102:102)+100</f>
        <v>100</v>
      </c>
      <c r="G33" s="1963"/>
      <c r="H33" s="383">
        <f>SUMIF(101:101,G33,102:102)-SUMIF(101:101,C33,102:102)+100</f>
        <v>100</v>
      </c>
      <c r="I33" s="1963"/>
      <c r="J33" s="415">
        <f>SUMIF(101:101,I33,102:102)-SUMIF(101:101,C33,102:102)+100</f>
        <v>100</v>
      </c>
      <c r="K33" s="558"/>
      <c r="L33" s="2718"/>
      <c r="M33" s="2712"/>
      <c r="N33" s="2712"/>
      <c r="O33" s="2712"/>
      <c r="P33" s="3755" t="s">
        <v>1696</v>
      </c>
      <c r="Q33" s="1348" t="str">
        <f t="shared" si="11"/>
        <v>建筑类型</v>
      </c>
      <c r="R33" s="701" t="s">
        <v>14</v>
      </c>
      <c r="S33" s="702">
        <f t="shared" si="12"/>
        <v>100</v>
      </c>
      <c r="T33" s="701" t="s">
        <v>14</v>
      </c>
      <c r="U33" s="702">
        <f t="shared" si="13"/>
        <v>100</v>
      </c>
      <c r="V33" s="701" t="s">
        <v>14</v>
      </c>
      <c r="W33" s="702">
        <f t="shared" si="14"/>
        <v>100</v>
      </c>
      <c r="X33" s="1351"/>
      <c r="Y33" s="3758" t="s">
        <v>1696</v>
      </c>
      <c r="Z33" s="1352" t="str">
        <f t="shared" si="15"/>
        <v>建筑类型</v>
      </c>
      <c r="AA33" s="1349">
        <f t="shared" si="3"/>
        <v>1</v>
      </c>
      <c r="AB33" s="1349">
        <f t="shared" si="4"/>
        <v>1</v>
      </c>
      <c r="AC33" s="1958">
        <f t="shared" si="5"/>
        <v>1</v>
      </c>
    </row>
    <row r="34" spans="1:29" s="419" customFormat="1" ht="15">
      <c r="A34" s="416"/>
      <c r="B34" s="372" t="s">
        <v>1697</v>
      </c>
      <c r="C34" s="417">
        <f>'数据-汇总表'!E3</f>
        <v>316967.99</v>
      </c>
      <c r="D34" s="124">
        <v>100</v>
      </c>
      <c r="E34" s="378">
        <f>大宗!I2</f>
        <v>8593.369999999999</v>
      </c>
      <c r="F34" s="373">
        <f>LOOKUP(E34,104:104,105:105)-LOOKUP(C34,104:104,105:105)+100</f>
        <v>109</v>
      </c>
      <c r="G34" s="377">
        <f>大宗!I14</f>
        <v>14584.58</v>
      </c>
      <c r="H34" s="124">
        <f>LOOKUP(G34,104:104,105:105)-LOOKUP(C34,104:104,105:105)+100</f>
        <v>109</v>
      </c>
      <c r="I34" s="377">
        <f>大宗!I16</f>
        <v>28179.63</v>
      </c>
      <c r="J34" s="124">
        <f>LOOKUP(I34,104:104,105:105)-LOOKUP(C34,104:104,105:105)+100</f>
        <v>109</v>
      </c>
      <c r="K34" s="559"/>
      <c r="L34" s="2717"/>
      <c r="M34" s="2719"/>
      <c r="N34" s="2719"/>
      <c r="O34" s="2719"/>
      <c r="P34" s="3756"/>
      <c r="Q34" s="703" t="str">
        <f t="shared" si="11"/>
        <v>项目建筑规模</v>
      </c>
      <c r="R34" s="704" t="s">
        <v>14</v>
      </c>
      <c r="S34" s="705">
        <f t="shared" si="12"/>
        <v>109</v>
      </c>
      <c r="T34" s="704" t="s">
        <v>14</v>
      </c>
      <c r="U34" s="705">
        <f t="shared" si="13"/>
        <v>109</v>
      </c>
      <c r="V34" s="704" t="s">
        <v>14</v>
      </c>
      <c r="W34" s="705">
        <f t="shared" si="14"/>
        <v>109</v>
      </c>
      <c r="X34" s="706"/>
      <c r="Y34" s="3758"/>
      <c r="Z34" s="707" t="str">
        <f t="shared" si="15"/>
        <v>项目建筑规模</v>
      </c>
      <c r="AA34" s="1349">
        <f t="shared" si="3"/>
        <v>0.91743119266055051</v>
      </c>
      <c r="AB34" s="1349">
        <f t="shared" si="4"/>
        <v>0.91743119266055051</v>
      </c>
      <c r="AC34" s="1958">
        <f t="shared" si="5"/>
        <v>0.91743119266055051</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8"/>
      <c r="M35" s="2712"/>
      <c r="N35" s="2712"/>
      <c r="O35" s="2712"/>
      <c r="P35" s="3756"/>
      <c r="Q35" s="1348" t="str">
        <f t="shared" si="11"/>
        <v>建筑结构</v>
      </c>
      <c r="R35" s="701" t="s">
        <v>14</v>
      </c>
      <c r="S35" s="702">
        <f t="shared" si="12"/>
        <v>100</v>
      </c>
      <c r="T35" s="701" t="s">
        <v>14</v>
      </c>
      <c r="U35" s="702">
        <f t="shared" si="13"/>
        <v>100</v>
      </c>
      <c r="V35" s="701" t="s">
        <v>14</v>
      </c>
      <c r="W35" s="702">
        <f t="shared" si="14"/>
        <v>100</v>
      </c>
      <c r="X35" s="1351"/>
      <c r="Y35" s="3758"/>
      <c r="Z35" s="1352" t="str">
        <f t="shared" si="15"/>
        <v>建筑结构</v>
      </c>
      <c r="AA35" s="1349">
        <f t="shared" si="3"/>
        <v>1</v>
      </c>
      <c r="AB35" s="1349">
        <f t="shared" si="4"/>
        <v>1</v>
      </c>
      <c r="AC35" s="1958">
        <f t="shared" si="5"/>
        <v>1</v>
      </c>
    </row>
    <row r="36" spans="1:29" ht="15">
      <c r="A36" s="420"/>
      <c r="B36" s="372" t="s">
        <v>1785</v>
      </c>
      <c r="C36" s="408" t="s">
        <v>3769</v>
      </c>
      <c r="D36" s="383">
        <v>100</v>
      </c>
      <c r="E36" s="408" t="s">
        <v>3769</v>
      </c>
      <c r="F36" s="409">
        <f>SUMIF(108:108,E36,109:109)-SUMIF(108:108,C36,109:109)+100</f>
        <v>100</v>
      </c>
      <c r="G36" s="408" t="s">
        <v>3769</v>
      </c>
      <c r="H36" s="383">
        <f>SUMIF(108:108,G36,109:109)-SUMIF(108:108,C36,109:109)+100</f>
        <v>100</v>
      </c>
      <c r="I36" s="408" t="s">
        <v>3769</v>
      </c>
      <c r="J36" s="383">
        <f>SUMIF(108:108,I36,109:109)-SUMIF(108:108,C36,109:109)+100</f>
        <v>100</v>
      </c>
      <c r="K36" s="558">
        <v>2</v>
      </c>
      <c r="L36" s="2718"/>
      <c r="M36" s="2712"/>
      <c r="N36" s="2712"/>
      <c r="O36" s="2712"/>
      <c r="P36" s="3756"/>
      <c r="Q36" s="1348" t="str">
        <f t="shared" si="11"/>
        <v>公共部分装修</v>
      </c>
      <c r="R36" s="701" t="s">
        <v>14</v>
      </c>
      <c r="S36" s="702">
        <f t="shared" si="12"/>
        <v>100</v>
      </c>
      <c r="T36" s="701" t="s">
        <v>14</v>
      </c>
      <c r="U36" s="702">
        <f t="shared" si="13"/>
        <v>100</v>
      </c>
      <c r="V36" s="701" t="s">
        <v>14</v>
      </c>
      <c r="W36" s="702">
        <f t="shared" si="14"/>
        <v>100</v>
      </c>
      <c r="X36" s="1351"/>
      <c r="Y36" s="3758"/>
      <c r="Z36" s="1352" t="str">
        <f t="shared" si="15"/>
        <v>公共部分装修</v>
      </c>
      <c r="AA36" s="1349">
        <f t="shared" si="3"/>
        <v>1</v>
      </c>
      <c r="AB36" s="1349">
        <f t="shared" si="4"/>
        <v>1</v>
      </c>
      <c r="AC36" s="1958">
        <f t="shared" si="5"/>
        <v>1</v>
      </c>
    </row>
    <row r="37" spans="1:29" ht="15">
      <c r="A37" s="420"/>
      <c r="B37" s="372" t="s">
        <v>1786</v>
      </c>
      <c r="C37" s="422">
        <f>'数据-取费表'!Y6</f>
        <v>0.87</v>
      </c>
      <c r="D37" s="383">
        <v>100</v>
      </c>
      <c r="E37" s="3555">
        <f>1-(2024-E12)/60</f>
        <v>0.83333333333333337</v>
      </c>
      <c r="F37" s="409">
        <f>LOOKUP(E37,111:111,112:112)-LOOKUP(C37,111:111,112:112)+100</f>
        <v>100</v>
      </c>
      <c r="G37" s="3555">
        <f>1-(2024-G12)/60</f>
        <v>0.8833333333333333</v>
      </c>
      <c r="H37" s="409">
        <f>LOOKUP(G37,111:111,112:112)-LOOKUP(C37,111:111,112:112)+100</f>
        <v>100</v>
      </c>
      <c r="I37" s="3555">
        <f>1-(2024-I12)/60</f>
        <v>0.6333333333333333</v>
      </c>
      <c r="J37" s="383">
        <f>LOOKUP(I37,111:111,112:112)-LOOKUP(C37,111:111,112:112)+100</f>
        <v>98</v>
      </c>
      <c r="K37" s="558">
        <v>1</v>
      </c>
      <c r="L37" s="2718"/>
      <c r="M37" s="2712"/>
      <c r="N37" s="2712"/>
      <c r="O37" s="2712"/>
      <c r="P37" s="3756"/>
      <c r="Q37" s="1348" t="str">
        <f t="shared" si="11"/>
        <v>成新度</v>
      </c>
      <c r="R37" s="701" t="s">
        <v>14</v>
      </c>
      <c r="S37" s="702">
        <f t="shared" si="12"/>
        <v>100</v>
      </c>
      <c r="T37" s="701" t="s">
        <v>14</v>
      </c>
      <c r="U37" s="702">
        <f t="shared" si="13"/>
        <v>100</v>
      </c>
      <c r="V37" s="701" t="s">
        <v>14</v>
      </c>
      <c r="W37" s="702">
        <f t="shared" si="14"/>
        <v>98</v>
      </c>
      <c r="X37" s="1351"/>
      <c r="Y37" s="3758"/>
      <c r="Z37" s="1352" t="str">
        <f t="shared" si="15"/>
        <v>成新度</v>
      </c>
      <c r="AA37" s="1349">
        <f t="shared" si="3"/>
        <v>1</v>
      </c>
      <c r="AB37" s="1349">
        <f t="shared" si="4"/>
        <v>1</v>
      </c>
      <c r="AC37" s="1958">
        <f t="shared" si="5"/>
        <v>1.0204081632653061</v>
      </c>
    </row>
    <row r="38" spans="1:29" s="108" customFormat="1" ht="15">
      <c r="A38" s="421"/>
      <c r="B38" s="372" t="s">
        <v>1818</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3"/>
      <c r="M38" s="2714"/>
      <c r="N38" s="2714"/>
      <c r="O38" s="2714"/>
      <c r="P38" s="3756"/>
      <c r="Q38" s="1339" t="str">
        <f t="shared" si="11"/>
        <v>写字楼等级</v>
      </c>
      <c r="R38" s="697" t="s">
        <v>14</v>
      </c>
      <c r="S38" s="698">
        <f t="shared" si="12"/>
        <v>100</v>
      </c>
      <c r="T38" s="697" t="s">
        <v>14</v>
      </c>
      <c r="U38" s="698">
        <f t="shared" si="13"/>
        <v>100</v>
      </c>
      <c r="V38" s="697" t="s">
        <v>14</v>
      </c>
      <c r="W38" s="698">
        <f t="shared" si="14"/>
        <v>100</v>
      </c>
      <c r="X38" s="699"/>
      <c r="Y38" s="3758"/>
      <c r="Z38" s="52" t="str">
        <f t="shared" si="15"/>
        <v>写字楼等级</v>
      </c>
      <c r="AA38" s="700">
        <f t="shared" si="3"/>
        <v>1</v>
      </c>
      <c r="AB38" s="700">
        <f t="shared" si="4"/>
        <v>1</v>
      </c>
      <c r="AC38" s="1955">
        <f t="shared" si="5"/>
        <v>1</v>
      </c>
    </row>
    <row r="39" spans="1:29" ht="15">
      <c r="A39" s="420"/>
      <c r="B39" s="372" t="s">
        <v>1819</v>
      </c>
      <c r="C39" s="408" t="s">
        <v>3773</v>
      </c>
      <c r="D39" s="383">
        <v>100</v>
      </c>
      <c r="E39" s="408" t="s">
        <v>3773</v>
      </c>
      <c r="F39" s="409">
        <f>SUMIF(115:115,E39,116:116)-SUMIF(115:115,C39,116:116)+100</f>
        <v>100</v>
      </c>
      <c r="G39" s="408" t="s">
        <v>3773</v>
      </c>
      <c r="H39" s="383">
        <f>SUMIF(115:115,G39,116:116)-SUMIF(115:115,C39,116:116)+100</f>
        <v>100</v>
      </c>
      <c r="I39" s="408" t="s">
        <v>3773</v>
      </c>
      <c r="J39" s="383">
        <f>SUMIF(115:115,I39,116:116)-SUMIF(115:115,C39,116:116)+100</f>
        <v>100</v>
      </c>
      <c r="K39" s="558">
        <v>2</v>
      </c>
      <c r="L39" s="2718"/>
      <c r="M39" s="2712"/>
      <c r="N39" s="2712"/>
      <c r="O39" s="2712"/>
      <c r="P39" s="3756" t="s">
        <v>1696</v>
      </c>
      <c r="Q39" s="1348" t="str">
        <f t="shared" si="11"/>
        <v>物业管理</v>
      </c>
      <c r="R39" s="701" t="s">
        <v>14</v>
      </c>
      <c r="S39" s="702">
        <f t="shared" si="12"/>
        <v>100</v>
      </c>
      <c r="T39" s="701" t="s">
        <v>14</v>
      </c>
      <c r="U39" s="702">
        <f t="shared" si="13"/>
        <v>100</v>
      </c>
      <c r="V39" s="701" t="s">
        <v>14</v>
      </c>
      <c r="W39" s="702">
        <f t="shared" si="14"/>
        <v>100</v>
      </c>
      <c r="X39" s="1351"/>
      <c r="Y39" s="3758" t="s">
        <v>1696</v>
      </c>
      <c r="Z39" s="1352" t="str">
        <f t="shared" si="15"/>
        <v>物业管理</v>
      </c>
      <c r="AA39" s="1349">
        <f t="shared" si="3"/>
        <v>1</v>
      </c>
      <c r="AB39" s="1349">
        <f t="shared" si="4"/>
        <v>1</v>
      </c>
      <c r="AC39" s="1958">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8"/>
      <c r="M40" s="2712"/>
      <c r="N40" s="2712"/>
      <c r="O40" s="2712"/>
      <c r="P40" s="3756"/>
      <c r="Q40" s="1348" t="str">
        <f t="shared" si="11"/>
        <v>市政基础设施</v>
      </c>
      <c r="R40" s="701" t="s">
        <v>14</v>
      </c>
      <c r="S40" s="702">
        <f t="shared" si="12"/>
        <v>100</v>
      </c>
      <c r="T40" s="701" t="s">
        <v>14</v>
      </c>
      <c r="U40" s="702">
        <f t="shared" si="13"/>
        <v>100</v>
      </c>
      <c r="V40" s="701" t="s">
        <v>14</v>
      </c>
      <c r="W40" s="702">
        <f t="shared" si="14"/>
        <v>100</v>
      </c>
      <c r="X40" s="1351"/>
      <c r="Y40" s="3758"/>
      <c r="Z40" s="1352" t="str">
        <f t="shared" si="15"/>
        <v>市政基础设施</v>
      </c>
      <c r="AA40" s="1349">
        <f t="shared" si="3"/>
        <v>1</v>
      </c>
      <c r="AB40" s="1349">
        <f t="shared" si="4"/>
        <v>1</v>
      </c>
      <c r="AC40" s="1958">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8"/>
      <c r="M41" s="2712"/>
      <c r="N41" s="2712"/>
      <c r="O41" s="2712"/>
      <c r="P41" s="3756"/>
      <c r="Q41" s="1348" t="str">
        <f t="shared" si="11"/>
        <v>层高</v>
      </c>
      <c r="R41" s="701" t="s">
        <v>14</v>
      </c>
      <c r="S41" s="702">
        <f t="shared" si="12"/>
        <v>100</v>
      </c>
      <c r="T41" s="701" t="s">
        <v>14</v>
      </c>
      <c r="U41" s="702">
        <f t="shared" si="13"/>
        <v>100</v>
      </c>
      <c r="V41" s="701" t="s">
        <v>14</v>
      </c>
      <c r="W41" s="702">
        <f t="shared" si="14"/>
        <v>100</v>
      </c>
      <c r="X41" s="1351"/>
      <c r="Y41" s="3758"/>
      <c r="Z41" s="1352" t="str">
        <f t="shared" si="15"/>
        <v>层高</v>
      </c>
      <c r="AA41" s="1349">
        <f t="shared" si="3"/>
        <v>1</v>
      </c>
      <c r="AB41" s="1349">
        <f t="shared" si="4"/>
        <v>1</v>
      </c>
      <c r="AC41" s="1958">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7"/>
      <c r="M42" s="2719"/>
      <c r="N42" s="2719"/>
      <c r="O42" s="2719"/>
      <c r="P42" s="3756"/>
      <c r="Q42" s="703" t="str">
        <f t="shared" si="11"/>
        <v>单套建筑面积</v>
      </c>
      <c r="R42" s="704" t="s">
        <v>14</v>
      </c>
      <c r="S42" s="705">
        <f t="shared" si="12"/>
        <v>100</v>
      </c>
      <c r="T42" s="704" t="s">
        <v>14</v>
      </c>
      <c r="U42" s="705">
        <f t="shared" si="13"/>
        <v>100</v>
      </c>
      <c r="V42" s="704" t="s">
        <v>14</v>
      </c>
      <c r="W42" s="705">
        <f t="shared" si="14"/>
        <v>100</v>
      </c>
      <c r="X42" s="706"/>
      <c r="Y42" s="3758"/>
      <c r="Z42" s="707" t="str">
        <f t="shared" si="15"/>
        <v>单套建筑面积</v>
      </c>
      <c r="AA42" s="1349">
        <f t="shared" si="3"/>
        <v>1</v>
      </c>
      <c r="AB42" s="1349">
        <f t="shared" si="4"/>
        <v>1</v>
      </c>
      <c r="AC42" s="1958">
        <f t="shared" si="5"/>
        <v>1</v>
      </c>
    </row>
    <row r="43" spans="1:29" ht="15">
      <c r="A43" s="420"/>
      <c r="B43" s="372" t="s">
        <v>1792</v>
      </c>
      <c r="C43" s="408" t="s">
        <v>3770</v>
      </c>
      <c r="D43" s="383">
        <v>100</v>
      </c>
      <c r="E43" s="408" t="s">
        <v>3770</v>
      </c>
      <c r="F43" s="409">
        <f>SUMIF(123:123,E43,124:124)-SUMIF(123:123,C43,124:124)+100</f>
        <v>100</v>
      </c>
      <c r="G43" s="408" t="s">
        <v>3770</v>
      </c>
      <c r="H43" s="383">
        <f>SUMIF(123:123,G43,124:124)-SUMIF(123:123,C43,124:124)+100</f>
        <v>100</v>
      </c>
      <c r="I43" s="408" t="s">
        <v>3770</v>
      </c>
      <c r="J43" s="383">
        <f>SUMIF(123:123,I43,124:124)-SUMIF(123:123,C43,124:124)+100</f>
        <v>100</v>
      </c>
      <c r="K43" s="558">
        <v>2</v>
      </c>
      <c r="L43" s="2718"/>
      <c r="M43" s="2712"/>
      <c r="N43" s="2712"/>
      <c r="O43" s="2712"/>
      <c r="P43" s="3756"/>
      <c r="Q43" s="1348" t="str">
        <f t="shared" si="11"/>
        <v>内部装修</v>
      </c>
      <c r="R43" s="701" t="s">
        <v>14</v>
      </c>
      <c r="S43" s="702">
        <f t="shared" si="12"/>
        <v>100</v>
      </c>
      <c r="T43" s="701" t="s">
        <v>14</v>
      </c>
      <c r="U43" s="702">
        <f t="shared" si="13"/>
        <v>100</v>
      </c>
      <c r="V43" s="701" t="s">
        <v>14</v>
      </c>
      <c r="W43" s="702">
        <f t="shared" si="14"/>
        <v>100</v>
      </c>
      <c r="X43" s="1351"/>
      <c r="Y43" s="3758"/>
      <c r="Z43" s="1352" t="str">
        <f t="shared" si="15"/>
        <v>内部装修</v>
      </c>
      <c r="AA43" s="1349">
        <f t="shared" si="3"/>
        <v>1</v>
      </c>
      <c r="AB43" s="1349">
        <f t="shared" si="4"/>
        <v>1</v>
      </c>
      <c r="AC43" s="1958">
        <f t="shared" si="5"/>
        <v>1</v>
      </c>
    </row>
    <row r="44" spans="1:29" ht="15">
      <c r="A44" s="420"/>
      <c r="B44" s="372" t="s">
        <v>1707</v>
      </c>
      <c r="C44" s="408" t="s">
        <v>3477</v>
      </c>
      <c r="D44" s="383">
        <v>100</v>
      </c>
      <c r="E44" s="408" t="s">
        <v>3477</v>
      </c>
      <c r="F44" s="409">
        <f>SUMIF(125:125,E44,126:126)-SUMIF(125:125,C44,126:126)+100</f>
        <v>100</v>
      </c>
      <c r="G44" s="408" t="s">
        <v>3477</v>
      </c>
      <c r="H44" s="383">
        <f>SUMIF(125:125,G44,126:126)-SUMIF(125:125,C44,126:126)+100</f>
        <v>100</v>
      </c>
      <c r="I44" s="408" t="s">
        <v>3477</v>
      </c>
      <c r="J44" s="383">
        <f>SUMIF(125:125,I44,126:126)-SUMIF(125:125,C44,126:126)+100</f>
        <v>100</v>
      </c>
      <c r="K44" s="558">
        <v>2</v>
      </c>
      <c r="L44" s="2718"/>
      <c r="M44" s="2712"/>
      <c r="N44" s="2712"/>
      <c r="O44" s="2712"/>
      <c r="P44" s="3756"/>
      <c r="Q44" s="1348" t="str">
        <f t="shared" si="11"/>
        <v>内部装修维护情况</v>
      </c>
      <c r="R44" s="701" t="s">
        <v>14</v>
      </c>
      <c r="S44" s="702">
        <f t="shared" si="12"/>
        <v>100</v>
      </c>
      <c r="T44" s="701" t="s">
        <v>14</v>
      </c>
      <c r="U44" s="702">
        <f t="shared" si="13"/>
        <v>100</v>
      </c>
      <c r="V44" s="701" t="s">
        <v>14</v>
      </c>
      <c r="W44" s="702">
        <f t="shared" si="14"/>
        <v>100</v>
      </c>
      <c r="X44" s="1351"/>
      <c r="Y44" s="3758"/>
      <c r="Z44" s="1352" t="str">
        <f t="shared" si="15"/>
        <v>内部装修维护情况</v>
      </c>
      <c r="AA44" s="1349">
        <f t="shared" si="3"/>
        <v>1</v>
      </c>
      <c r="AB44" s="1349">
        <f t="shared" si="4"/>
        <v>1</v>
      </c>
      <c r="AC44" s="1958">
        <f t="shared" si="5"/>
        <v>1</v>
      </c>
    </row>
    <row r="45" spans="1:29" s="108" customFormat="1" ht="15">
      <c r="A45" s="421"/>
      <c r="B45" s="1129" t="s">
        <v>3779</v>
      </c>
      <c r="C45" s="3556">
        <f>'数据-汇总表'!G31/'数据-汇总表'!E31</f>
        <v>0.22045402755022675</v>
      </c>
      <c r="D45" s="124">
        <v>100</v>
      </c>
      <c r="E45" s="3557">
        <f>大宗!K2/大宗!I2</f>
        <v>0.21326534293298205</v>
      </c>
      <c r="F45" s="373">
        <f>SUMIF(127:127,E45,128:128)-SUMIF(127:127,C45,128:128)+100</f>
        <v>100</v>
      </c>
      <c r="G45" s="3557">
        <f>大宗!K14/大宗!I14</f>
        <v>0.25130537412344633</v>
      </c>
      <c r="H45" s="124">
        <f>SUMIF(127:127,G45,128:128)-SUMIF(127:127,C45,128:128)+100</f>
        <v>100</v>
      </c>
      <c r="I45" s="3557">
        <f>大宗!K16/大宗!I16</f>
        <v>0.19999999999999998</v>
      </c>
      <c r="J45" s="124">
        <f>SUMIF(127:127,I45,128:128)-SUMIF(127:127,C45,128:128)+100</f>
        <v>100</v>
      </c>
      <c r="K45" s="559"/>
      <c r="L45" s="2713"/>
      <c r="M45" s="2714"/>
      <c r="N45" s="2714"/>
      <c r="O45" s="2714"/>
      <c r="P45" s="3756"/>
      <c r="Q45" s="1339" t="str">
        <f t="shared" si="11"/>
        <v>地下面积占比</v>
      </c>
      <c r="R45" s="697" t="s">
        <v>14</v>
      </c>
      <c r="S45" s="698">
        <f t="shared" si="12"/>
        <v>100</v>
      </c>
      <c r="T45" s="697" t="s">
        <v>14</v>
      </c>
      <c r="U45" s="698">
        <f t="shared" si="13"/>
        <v>100</v>
      </c>
      <c r="V45" s="697" t="s">
        <v>14</v>
      </c>
      <c r="W45" s="698">
        <f t="shared" si="14"/>
        <v>100</v>
      </c>
      <c r="X45" s="699"/>
      <c r="Y45" s="3758"/>
      <c r="Z45" s="52" t="str">
        <f t="shared" si="15"/>
        <v>地下面积占比</v>
      </c>
      <c r="AA45" s="700">
        <f t="shared" si="3"/>
        <v>1</v>
      </c>
      <c r="AB45" s="700">
        <f t="shared" si="4"/>
        <v>1</v>
      </c>
      <c r="AC45" s="1955">
        <f t="shared" si="5"/>
        <v>1</v>
      </c>
    </row>
    <row r="46" spans="1:29" ht="15">
      <c r="A46" s="420"/>
      <c r="B46" s="1129" t="s">
        <v>3779</v>
      </c>
      <c r="C46" s="380" t="s">
        <v>3782</v>
      </c>
      <c r="D46" s="383">
        <v>100</v>
      </c>
      <c r="E46" s="380" t="s">
        <v>3782</v>
      </c>
      <c r="F46" s="409">
        <f>SUMIF(129:129,E46,130:130)-SUMIF(129:129,C46,130:130)+100</f>
        <v>100</v>
      </c>
      <c r="G46" s="380" t="s">
        <v>3782</v>
      </c>
      <c r="H46" s="383">
        <f>SUMIF(129:129,G46,130:130)-SUMIF(129:129,C46,130:130)+100</f>
        <v>100</v>
      </c>
      <c r="I46" s="380" t="s">
        <v>3782</v>
      </c>
      <c r="J46" s="383">
        <f>SUMIF(129:129,I46,130:130)-SUMIF(129:129,C46,130:130)+100</f>
        <v>100</v>
      </c>
      <c r="K46" s="559"/>
      <c r="L46" s="2718"/>
      <c r="M46" s="2712"/>
      <c r="N46" s="2712"/>
      <c r="O46" s="2712"/>
      <c r="P46" s="3756"/>
      <c r="Q46" s="1348" t="str">
        <f t="shared" si="11"/>
        <v>地下面积占比</v>
      </c>
      <c r="R46" s="701" t="s">
        <v>14</v>
      </c>
      <c r="S46" s="702">
        <f t="shared" si="12"/>
        <v>100</v>
      </c>
      <c r="T46" s="701" t="s">
        <v>14</v>
      </c>
      <c r="U46" s="702">
        <f t="shared" si="13"/>
        <v>100</v>
      </c>
      <c r="V46" s="701" t="s">
        <v>14</v>
      </c>
      <c r="W46" s="702">
        <f t="shared" si="14"/>
        <v>100</v>
      </c>
      <c r="X46" s="1351"/>
      <c r="Y46" s="3758"/>
      <c r="Z46" s="1352" t="str">
        <f t="shared" si="15"/>
        <v>地下面积占比</v>
      </c>
      <c r="AA46" s="1349">
        <f t="shared" si="3"/>
        <v>1</v>
      </c>
      <c r="AB46" s="1349">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8"/>
      <c r="M47" s="2712"/>
      <c r="N47" s="2712"/>
      <c r="O47" s="2712"/>
      <c r="P47" s="3757"/>
      <c r="Q47" s="1348">
        <f t="shared" si="11"/>
        <v>111</v>
      </c>
      <c r="R47" s="701" t="s">
        <v>14</v>
      </c>
      <c r="S47" s="702">
        <f t="shared" si="12"/>
        <v>100</v>
      </c>
      <c r="T47" s="701" t="s">
        <v>14</v>
      </c>
      <c r="U47" s="702">
        <f t="shared" si="13"/>
        <v>100</v>
      </c>
      <c r="V47" s="701" t="s">
        <v>14</v>
      </c>
      <c r="W47" s="702">
        <f t="shared" si="14"/>
        <v>100</v>
      </c>
      <c r="X47" s="1351"/>
      <c r="Y47" s="3759"/>
      <c r="Z47" s="1352">
        <f t="shared" si="15"/>
        <v>111</v>
      </c>
      <c r="AA47" s="1349">
        <f t="shared" si="3"/>
        <v>1</v>
      </c>
      <c r="AB47" s="1349">
        <f t="shared" si="4"/>
        <v>1</v>
      </c>
      <c r="AC47" s="1958">
        <f t="shared" si="5"/>
        <v>1</v>
      </c>
    </row>
    <row r="48" spans="1:29" ht="15">
      <c r="A48" s="427" t="s">
        <v>1708</v>
      </c>
      <c r="B48" s="428"/>
      <c r="C48" s="1150" t="s">
        <v>0</v>
      </c>
      <c r="D48" s="1151"/>
      <c r="E48" s="1152">
        <f>大宗!M2</f>
        <v>20000</v>
      </c>
      <c r="F48" s="1153"/>
      <c r="G48" s="1154">
        <f>大宗!M14</f>
        <v>20133</v>
      </c>
      <c r="H48" s="1155"/>
      <c r="I48" s="1152">
        <f>大宗!M16</f>
        <v>21000</v>
      </c>
      <c r="J48" s="433"/>
      <c r="K48" s="710"/>
      <c r="L48" s="2720"/>
      <c r="M48" s="2712"/>
      <c r="N48" s="2712"/>
      <c r="O48" s="2712"/>
      <c r="P48" s="3745" t="str">
        <f>A48</f>
        <v>成交单价（元/平方米）</v>
      </c>
      <c r="Q48" s="3746"/>
      <c r="R48" s="3747">
        <f>E48</f>
        <v>20000</v>
      </c>
      <c r="S48" s="3747"/>
      <c r="T48" s="3747">
        <f>G48</f>
        <v>20133</v>
      </c>
      <c r="U48" s="3747"/>
      <c r="V48" s="3747">
        <f>I48</f>
        <v>21000</v>
      </c>
      <c r="W48" s="3747"/>
      <c r="X48" s="394"/>
      <c r="Y48" s="708"/>
      <c r="Z48" s="394"/>
      <c r="AA48" s="394"/>
      <c r="AB48" s="394"/>
      <c r="AC48" s="575"/>
    </row>
    <row r="49" spans="1:32" ht="15.75" thickBot="1">
      <c r="A49" s="434" t="s">
        <v>1793</v>
      </c>
      <c r="B49" s="435"/>
      <c r="C49" s="1156">
        <f>R50</f>
        <v>20988</v>
      </c>
      <c r="D49" s="2313" t="s">
        <v>2138</v>
      </c>
      <c r="E49" s="1157">
        <f>R49</f>
        <v>21689</v>
      </c>
      <c r="F49" s="2314"/>
      <c r="G49" s="1156">
        <f>T49</f>
        <v>19431</v>
      </c>
      <c r="H49" s="2314"/>
      <c r="I49" s="1157">
        <f>V49</f>
        <v>21844</v>
      </c>
      <c r="J49" s="2314"/>
      <c r="K49" s="2316">
        <f>F49+H49+J49</f>
        <v>0</v>
      </c>
      <c r="L49" s="2720"/>
      <c r="M49" s="2712"/>
      <c r="N49" s="2712"/>
      <c r="O49" s="2712"/>
      <c r="P49" s="3745" t="str">
        <f>A49</f>
        <v>比较价值（元/平方米）</v>
      </c>
      <c r="Q49" s="3746"/>
      <c r="R49" s="3747">
        <f>IF(F1="售价",ROUND(PRODUCT(R48,AA7:AA47),0),ROUND(PRODUCT(R48,AA7:AA47),1))</f>
        <v>21689</v>
      </c>
      <c r="S49" s="3747"/>
      <c r="T49" s="3747">
        <f>IF(F1="售价",ROUND(PRODUCT(T48,AB7:AB47),0),ROUND(PRODUCT(T48,AB7:AB47),1))</f>
        <v>19431</v>
      </c>
      <c r="U49" s="3747"/>
      <c r="V49" s="3747">
        <f>IF(F1="售价",ROUND(PRODUCT(V48,AC7:AC47),0),ROUND(PRODUCT(V48,AC7:AC47),1))</f>
        <v>21844</v>
      </c>
      <c r="W49" s="3747"/>
      <c r="X49" s="394"/>
      <c r="Y49" s="394"/>
      <c r="Z49" s="394"/>
      <c r="AA49" s="394"/>
      <c r="AB49" s="394"/>
      <c r="AC49" s="575"/>
    </row>
    <row r="50" spans="1:32" ht="15.75" thickBot="1">
      <c r="A50" s="438" t="s">
        <v>1794</v>
      </c>
      <c r="B50" s="439"/>
      <c r="C50" s="1159">
        <f>R50</f>
        <v>20988</v>
      </c>
      <c r="D50" s="1159"/>
      <c r="E50" s="1159"/>
      <c r="F50" s="1159"/>
      <c r="G50" s="1159"/>
      <c r="H50" s="1159"/>
      <c r="I50" s="1159"/>
      <c r="J50" s="440"/>
      <c r="K50" s="711"/>
      <c r="L50" s="2720"/>
      <c r="M50" s="2712"/>
      <c r="N50" s="2712"/>
      <c r="O50" s="2712"/>
      <c r="P50" s="3748" t="str">
        <f>A50</f>
        <v>估价对象XX用房的比较价值（楼面单价，元/平方米）</v>
      </c>
      <c r="Q50" s="3749"/>
      <c r="R50" s="3750">
        <f>IF(F1="售价",ROUND(IF(D49="简单平均",AVERAGE(R49:V49),R49*F49+T49*H49+V49*J49),0),ROUND(IF(D49="简单平均",AVERAGE(R49:V49),R49*F49+T49*H49+V49*J49),1))</f>
        <v>20988</v>
      </c>
      <c r="S50" s="3750"/>
      <c r="T50" s="3750"/>
      <c r="U50" s="3750"/>
      <c r="V50" s="3750"/>
      <c r="W50" s="3750"/>
      <c r="X50" s="1942"/>
      <c r="Y50" s="1942"/>
      <c r="Z50" s="1942"/>
      <c r="AA50" s="1942"/>
      <c r="AB50" s="1942"/>
      <c r="AC50" s="1943"/>
    </row>
    <row r="51" spans="1:32">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32">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32" ht="13.5" customHeight="1">
      <c r="A53" s="2721"/>
      <c r="B53" s="2721"/>
      <c r="C53" s="443" t="s">
        <v>1795</v>
      </c>
      <c r="D53" s="444"/>
      <c r="E53" s="445">
        <f>IF(E48&lt;E49,E49/E48-1,E48/E49-1)</f>
        <v>8.4449999999999914E-2</v>
      </c>
      <c r="F53" s="446" t="str">
        <f>IF(OR(E53&gt;=0.3,E53&lt;=-0.3),"超过30%","")</f>
        <v/>
      </c>
      <c r="G53" s="445">
        <f>IF(G48&lt;G49,G49/G48-1,G48/G49-1)</f>
        <v>3.6127836961556303E-2</v>
      </c>
      <c r="H53" s="446" t="str">
        <f>IF(OR(G53&gt;=0.3,G53&lt;=-0.3),"超过30%","")</f>
        <v/>
      </c>
      <c r="I53" s="445">
        <f>IF(I48&lt;I49,I49/I48-1,I48/I49-1)</f>
        <v>4.019047619047611E-2</v>
      </c>
      <c r="J53" s="446"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32" ht="13.5" customHeight="1">
      <c r="A54" s="2721"/>
      <c r="B54" s="2721"/>
      <c r="C54" s="443" t="s">
        <v>1796</v>
      </c>
      <c r="D54" s="447"/>
      <c r="E54" s="445">
        <f>IF(E49&lt;G49,G49/E49-1,E49/G49-1)</f>
        <v>0.11620606247748433</v>
      </c>
      <c r="F54" s="446" t="str">
        <f>IF(OR(E54&gt;=0.2,E54&lt;=-0.2),"超过20%","")</f>
        <v/>
      </c>
      <c r="G54" s="445">
        <f>IF(G49&lt;I49,I49/G49-1,G49/I49-1)</f>
        <v>0.12418300653594772</v>
      </c>
      <c r="H54" s="446" t="str">
        <f>IF(OR(G54&gt;=0.2,G54&lt;=-0.2),"超过20%","")</f>
        <v/>
      </c>
      <c r="I54" s="445">
        <f>IF(I49&lt;E49,E49/I49-1,I49/E49-1)</f>
        <v>7.1464797823781456E-3</v>
      </c>
      <c r="J54" s="446"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32" s="448" customFormat="1" ht="13.5" customHeight="1">
      <c r="A55" s="2724"/>
      <c r="B55" s="2724"/>
      <c r="C55" s="443" t="s">
        <v>1797</v>
      </c>
      <c r="D55" s="447"/>
      <c r="E55" s="445">
        <f>IF(E48&lt;G48,G48/E48-1,E48/G48-1)</f>
        <v>6.6500000000000448E-3</v>
      </c>
      <c r="F55" s="446" t="str">
        <f>IF(OR(E55&gt;=0.3,E55&lt;=-0.3),"超过30%","")</f>
        <v/>
      </c>
      <c r="G55" s="445">
        <f>IF(G48&lt;I48,I48/G48-1,G48/I48-1)</f>
        <v>4.3063626881239658E-2</v>
      </c>
      <c r="H55" s="446" t="str">
        <f>IF(OR(G55&gt;=0.3,G55&lt;=-0.3),"超过30%","")</f>
        <v/>
      </c>
      <c r="I55" s="445">
        <f>IF(I48&lt;E48,E48/I48-1,I48/E48-1)</f>
        <v>5.0000000000000044E-2</v>
      </c>
      <c r="J55" s="446"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32" s="448"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32">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32" ht="21.75" thickBot="1">
      <c r="A58" s="690" t="s">
        <v>1798</v>
      </c>
      <c r="B58" s="686"/>
      <c r="C58" s="691"/>
      <c r="D58" s="691"/>
      <c r="E58" s="691"/>
      <c r="F58" s="692"/>
      <c r="G58" s="692"/>
      <c r="H58" s="691"/>
      <c r="I58" s="691"/>
      <c r="J58" s="691"/>
      <c r="K58" s="693"/>
      <c r="L58" s="938"/>
      <c r="M58" s="936"/>
      <c r="N58" s="2765"/>
      <c r="O58" s="2765"/>
      <c r="P58" s="2754"/>
      <c r="Q58" s="2735"/>
      <c r="R58" s="2721"/>
      <c r="S58" s="2721"/>
      <c r="T58" s="2721"/>
      <c r="U58" s="2721"/>
      <c r="V58" s="2721"/>
      <c r="W58" s="2721"/>
      <c r="X58" s="2721"/>
      <c r="Y58" s="2721"/>
      <c r="Z58" s="2721"/>
      <c r="AA58" s="2721"/>
      <c r="AB58" s="2721"/>
      <c r="AC58" s="2721"/>
    </row>
    <row r="59" spans="1:32" s="454" customFormat="1" ht="15">
      <c r="A59" s="451" t="s">
        <v>1679</v>
      </c>
      <c r="B59" s="452"/>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3549">
        <f t="shared" ref="P59" si="17">EDATE(O59,-1)</f>
        <v>45017</v>
      </c>
      <c r="Q59" s="3549">
        <f t="shared" ref="Q59" si="18">EDATE(P59,-1)</f>
        <v>44986</v>
      </c>
      <c r="R59" s="3549">
        <f t="shared" ref="R59" si="19">EDATE(Q59,-1)</f>
        <v>44958</v>
      </c>
      <c r="S59" s="3549">
        <f t="shared" ref="S59" si="20">EDATE(R59,-1)</f>
        <v>44927</v>
      </c>
      <c r="T59" s="3549">
        <f t="shared" ref="T59" si="21">EDATE(S59,-1)</f>
        <v>44896</v>
      </c>
      <c r="U59" s="3549">
        <f t="shared" ref="U59" si="22">EDATE(T59,-1)</f>
        <v>44866</v>
      </c>
      <c r="V59" s="3549">
        <f t="shared" ref="V59" si="23">EDATE(U59,-1)</f>
        <v>44835</v>
      </c>
      <c r="W59" s="3549">
        <f t="shared" ref="W59" si="24">EDATE(V59,-1)</f>
        <v>44805</v>
      </c>
      <c r="X59" s="3549">
        <f t="shared" ref="X59" si="25">EDATE(W59,-1)</f>
        <v>44774</v>
      </c>
      <c r="Y59" s="3549">
        <f t="shared" ref="Y59" si="26">EDATE(X59,-1)</f>
        <v>44743</v>
      </c>
      <c r="Z59" s="3549">
        <f t="shared" ref="Z59" si="27">EDATE(Y59,-1)</f>
        <v>44713</v>
      </c>
      <c r="AA59" s="3549">
        <f t="shared" ref="AA59" si="28">EDATE(Z59,-1)</f>
        <v>44682</v>
      </c>
      <c r="AB59" s="3549">
        <f t="shared" ref="AB59" si="29">EDATE(AA59,-1)</f>
        <v>44652</v>
      </c>
      <c r="AC59" s="3549">
        <f t="shared" ref="AC59" si="30">EDATE(AB59,-1)</f>
        <v>44621</v>
      </c>
      <c r="AD59" s="3549">
        <f t="shared" ref="AD59" si="31">EDATE(AC59,-1)</f>
        <v>44593</v>
      </c>
      <c r="AE59" s="3549">
        <f t="shared" ref="AE59" si="32">EDATE(AD59,-1)</f>
        <v>44562</v>
      </c>
      <c r="AF59" s="3549">
        <f t="shared" ref="AF59" si="33">EDATE(AE59,-1)</f>
        <v>44531</v>
      </c>
    </row>
    <row r="60" spans="1:32" s="108" customFormat="1" ht="15">
      <c r="A60" s="455"/>
      <c r="B60" s="456"/>
      <c r="C60" s="1179">
        <v>100</v>
      </c>
      <c r="D60" s="458">
        <v>100</v>
      </c>
      <c r="E60" s="458">
        <v>100</v>
      </c>
      <c r="F60" s="458">
        <v>100</v>
      </c>
      <c r="G60" s="458">
        <v>100</v>
      </c>
      <c r="H60" s="458">
        <v>100</v>
      </c>
      <c r="I60" s="458">
        <v>100</v>
      </c>
      <c r="J60" s="458">
        <v>100</v>
      </c>
      <c r="K60" s="458">
        <v>100</v>
      </c>
      <c r="L60" s="458">
        <v>100</v>
      </c>
      <c r="M60" s="458">
        <v>100</v>
      </c>
      <c r="N60" s="458">
        <v>100</v>
      </c>
      <c r="O60" s="458">
        <v>100</v>
      </c>
      <c r="P60" s="458">
        <v>100</v>
      </c>
      <c r="Q60" s="458">
        <v>100</v>
      </c>
      <c r="R60" s="458">
        <v>100</v>
      </c>
      <c r="S60" s="458">
        <v>100</v>
      </c>
      <c r="T60" s="458">
        <v>100</v>
      </c>
      <c r="U60" s="458">
        <v>100</v>
      </c>
      <c r="V60" s="458">
        <v>100</v>
      </c>
      <c r="W60" s="458">
        <v>100</v>
      </c>
      <c r="X60" s="458">
        <v>100</v>
      </c>
      <c r="Y60" s="458">
        <v>100</v>
      </c>
      <c r="Z60" s="458">
        <v>100</v>
      </c>
      <c r="AA60" s="458">
        <v>100</v>
      </c>
      <c r="AB60" s="458">
        <v>100</v>
      </c>
      <c r="AC60" s="458">
        <v>100</v>
      </c>
      <c r="AD60" s="458">
        <v>100</v>
      </c>
      <c r="AE60" s="458">
        <v>100</v>
      </c>
      <c r="AF60" s="458">
        <v>100</v>
      </c>
    </row>
    <row r="61" spans="1:32" s="108" customFormat="1" ht="15.75" thickBot="1">
      <c r="A61" s="461" t="s">
        <v>1716</v>
      </c>
      <c r="B61" s="462"/>
      <c r="C61" s="463"/>
      <c r="D61" s="464"/>
      <c r="E61" s="464"/>
      <c r="F61" s="464"/>
      <c r="G61" s="464"/>
      <c r="H61" s="464"/>
      <c r="I61" s="464"/>
      <c r="J61" s="464"/>
      <c r="K61" s="464"/>
      <c r="L61" s="464"/>
      <c r="M61" s="465"/>
      <c r="N61" s="464"/>
      <c r="O61" s="465"/>
      <c r="P61" s="2756"/>
      <c r="Q61" s="2735"/>
      <c r="R61" s="2657"/>
      <c r="S61" s="2657"/>
      <c r="T61" s="2657"/>
      <c r="U61" s="2657"/>
      <c r="V61" s="2657"/>
      <c r="W61" s="2657"/>
      <c r="X61" s="2657"/>
      <c r="Y61" s="2657"/>
      <c r="Z61" s="2657"/>
      <c r="AA61" s="2657"/>
      <c r="AB61" s="2657"/>
      <c r="AC61" s="2657"/>
    </row>
    <row r="62" spans="1:32" s="108" customFormat="1" ht="15">
      <c r="A62" s="467" t="s">
        <v>1681</v>
      </c>
      <c r="B62" s="456"/>
      <c r="C62" s="468" t="s">
        <v>1776</v>
      </c>
      <c r="D62" s="469"/>
      <c r="E62" s="469"/>
      <c r="F62" s="469"/>
      <c r="G62" s="469"/>
      <c r="H62" s="469"/>
      <c r="I62" s="469"/>
      <c r="J62" s="469"/>
      <c r="K62" s="469"/>
      <c r="L62" s="470"/>
      <c r="M62" s="471"/>
      <c r="N62" s="2748"/>
      <c r="O62" s="2748"/>
      <c r="P62" s="2757"/>
      <c r="Q62" s="2735"/>
      <c r="R62" s="2657"/>
      <c r="S62" s="2657"/>
      <c r="T62" s="2657"/>
      <c r="U62" s="2657"/>
      <c r="V62" s="2657"/>
      <c r="W62" s="2657"/>
      <c r="X62" s="2657"/>
      <c r="Y62" s="2657"/>
      <c r="Z62" s="2657"/>
      <c r="AA62" s="2657"/>
      <c r="AB62" s="2657"/>
      <c r="AC62" s="2657"/>
    </row>
    <row r="63" spans="1:32" s="108" customFormat="1" ht="15.75" thickBot="1">
      <c r="A63" s="467"/>
      <c r="B63" s="456"/>
      <c r="C63" s="457">
        <v>100</v>
      </c>
      <c r="D63" s="458"/>
      <c r="E63" s="458"/>
      <c r="F63" s="458"/>
      <c r="G63" s="458"/>
      <c r="H63" s="458"/>
      <c r="I63" s="458"/>
      <c r="J63" s="458"/>
      <c r="K63" s="458"/>
      <c r="L63" s="458"/>
      <c r="M63" s="460"/>
      <c r="N63" s="2748"/>
      <c r="O63" s="2748"/>
      <c r="P63" s="2756"/>
      <c r="Q63" s="2735"/>
      <c r="R63" s="2657"/>
      <c r="S63" s="2657"/>
      <c r="T63" s="2657"/>
      <c r="U63" s="2657"/>
      <c r="V63" s="2657"/>
      <c r="W63" s="2657"/>
      <c r="X63" s="2657"/>
      <c r="Y63" s="2657"/>
      <c r="Z63" s="2657"/>
      <c r="AA63" s="2657"/>
      <c r="AB63" s="2657"/>
      <c r="AC63" s="2657"/>
    </row>
    <row r="64" spans="1:32">
      <c r="A64" s="473" t="s">
        <v>1719</v>
      </c>
      <c r="B64" s="474" t="s">
        <v>1685</v>
      </c>
      <c r="C64" s="475" t="str">
        <f>C9</f>
        <v>科研（办公）</v>
      </c>
      <c r="D64" s="3551" t="s">
        <v>3754</v>
      </c>
      <c r="E64" s="476"/>
      <c r="F64" s="476"/>
      <c r="G64" s="476"/>
      <c r="H64" s="476"/>
      <c r="I64" s="476"/>
      <c r="J64" s="476"/>
      <c r="K64" s="477"/>
      <c r="L64" s="478"/>
      <c r="M64" s="479"/>
      <c r="N64" s="2749"/>
      <c r="O64" s="2749"/>
      <c r="P64" s="2758"/>
      <c r="Q64" s="2735"/>
      <c r="R64" s="2721"/>
      <c r="S64" s="2721"/>
      <c r="T64" s="2721"/>
      <c r="U64" s="2721"/>
      <c r="V64" s="2721"/>
      <c r="W64" s="2721"/>
      <c r="X64" s="2721"/>
      <c r="Y64" s="2721"/>
      <c r="Z64" s="2721"/>
      <c r="AA64" s="2721"/>
      <c r="AB64" s="2721"/>
      <c r="AC64" s="2721"/>
    </row>
    <row r="65" spans="1:29" ht="15.75" thickBot="1">
      <c r="A65" s="480"/>
      <c r="B65" s="481"/>
      <c r="C65" s="482">
        <v>100</v>
      </c>
      <c r="D65" s="482">
        <v>90</v>
      </c>
      <c r="E65" s="482"/>
      <c r="F65" s="482"/>
      <c r="G65" s="482"/>
      <c r="H65" s="482"/>
      <c r="I65" s="482"/>
      <c r="J65" s="482"/>
      <c r="K65" s="482"/>
      <c r="L65" s="482"/>
      <c r="M65" s="483"/>
      <c r="N65" s="2750"/>
      <c r="O65" s="2750"/>
      <c r="P65" s="2758"/>
      <c r="Q65" s="2735"/>
      <c r="R65" s="2721"/>
      <c r="S65" s="2721"/>
      <c r="T65" s="2721"/>
      <c r="U65" s="2721"/>
      <c r="V65" s="2721"/>
      <c r="W65" s="2721"/>
      <c r="X65" s="2721"/>
      <c r="Y65" s="2721"/>
      <c r="Z65" s="2721"/>
      <c r="AA65" s="2721"/>
      <c r="AB65" s="2721"/>
      <c r="AC65" s="2721"/>
    </row>
    <row r="66" spans="1:29" ht="27.75" thickTop="1">
      <c r="A66" s="480"/>
      <c r="B66" s="484" t="s">
        <v>1688</v>
      </c>
      <c r="C66" s="529"/>
      <c r="D66" s="529"/>
      <c r="E66" s="529"/>
      <c r="F66" s="529"/>
      <c r="G66" s="529"/>
      <c r="H66" s="529"/>
      <c r="I66" s="529"/>
      <c r="J66" s="529"/>
      <c r="K66" s="530"/>
      <c r="L66" s="531"/>
      <c r="M66" s="532"/>
      <c r="N66" s="2749"/>
      <c r="O66" s="2749"/>
      <c r="P66" s="2758"/>
      <c r="Q66" s="2735"/>
      <c r="R66" s="2721"/>
      <c r="S66" s="2721"/>
      <c r="T66" s="2721"/>
      <c r="U66" s="2721"/>
      <c r="V66" s="2721"/>
      <c r="W66" s="2721"/>
      <c r="X66" s="2721"/>
      <c r="Y66" s="2721"/>
      <c r="Z66" s="2721"/>
      <c r="AA66" s="2721"/>
      <c r="AB66" s="2721"/>
      <c r="AC66" s="2721"/>
    </row>
    <row r="67" spans="1:29" ht="15.75" thickBot="1">
      <c r="A67" s="480"/>
      <c r="B67" s="489"/>
      <c r="C67" s="482"/>
      <c r="D67" s="482"/>
      <c r="E67" s="482"/>
      <c r="F67" s="482"/>
      <c r="G67" s="482"/>
      <c r="H67" s="482"/>
      <c r="I67" s="482"/>
      <c r="J67" s="482"/>
      <c r="K67" s="482"/>
      <c r="L67" s="482"/>
      <c r="M67" s="483"/>
      <c r="N67" s="2750"/>
      <c r="O67" s="2750"/>
      <c r="P67" s="2758"/>
      <c r="Q67" s="2735"/>
      <c r="R67" s="2721"/>
      <c r="S67" s="2721"/>
      <c r="T67" s="2721"/>
      <c r="U67" s="2721"/>
      <c r="V67" s="2721"/>
      <c r="W67" s="2721"/>
      <c r="X67" s="2721"/>
      <c r="Y67" s="2721"/>
      <c r="Z67" s="2721"/>
      <c r="AA67" s="2721"/>
      <c r="AB67" s="2721"/>
      <c r="AC67" s="2721"/>
    </row>
    <row r="68" spans="1:29" ht="15.75" thickTop="1">
      <c r="A68" s="480"/>
      <c r="B68" s="492" t="s">
        <v>1689</v>
      </c>
      <c r="C68" s="493" t="str">
        <f>C69&amp;"（含）"&amp;"-"&amp;D69</f>
        <v>0（含）-3</v>
      </c>
      <c r="D68" s="493" t="str">
        <f t="shared" ref="D68:L68" si="34">D69&amp;"（含）"&amp;"-"&amp;E69</f>
        <v>3（含）-</v>
      </c>
      <c r="E68" s="493" t="str">
        <f t="shared" si="34"/>
        <v>（含）-</v>
      </c>
      <c r="F68" s="493" t="str">
        <f t="shared" si="34"/>
        <v>（含）-</v>
      </c>
      <c r="G68" s="493" t="str">
        <f t="shared" si="34"/>
        <v>（含）-</v>
      </c>
      <c r="H68" s="493" t="str">
        <f t="shared" si="34"/>
        <v>（含）-</v>
      </c>
      <c r="I68" s="493" t="str">
        <f t="shared" si="34"/>
        <v>（含）-</v>
      </c>
      <c r="J68" s="493" t="str">
        <f t="shared" si="34"/>
        <v>（含）-</v>
      </c>
      <c r="K68" s="493" t="str">
        <f t="shared" si="34"/>
        <v>（含）-</v>
      </c>
      <c r="L68" s="493" t="str">
        <f t="shared" si="34"/>
        <v>（含）-</v>
      </c>
      <c r="M68" s="396"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0"/>
      <c r="B69" s="494"/>
      <c r="C69" s="495">
        <v>0</v>
      </c>
      <c r="D69" s="495">
        <v>3</v>
      </c>
      <c r="E69" s="495"/>
      <c r="F69" s="495"/>
      <c r="G69" s="495"/>
      <c r="H69" s="495"/>
      <c r="I69" s="495"/>
      <c r="J69" s="495"/>
      <c r="K69" s="496"/>
      <c r="L69" s="497"/>
      <c r="M69" s="498"/>
      <c r="N69" s="2749"/>
      <c r="O69" s="2749"/>
      <c r="P69" s="2758"/>
      <c r="Q69" s="2735"/>
      <c r="R69" s="2721"/>
      <c r="S69" s="2721"/>
      <c r="T69" s="2721"/>
      <c r="U69" s="2721"/>
      <c r="V69" s="2721"/>
      <c r="W69" s="2721"/>
      <c r="X69" s="2721"/>
      <c r="Y69" s="2721"/>
      <c r="Z69" s="2721"/>
      <c r="AA69" s="2721"/>
      <c r="AB69" s="2721"/>
      <c r="AC69" s="2721"/>
    </row>
    <row r="70" spans="1:29" ht="15.75" thickBot="1">
      <c r="A70" s="480"/>
      <c r="B70" s="481"/>
      <c r="C70" s="490">
        <v>100</v>
      </c>
      <c r="D70" s="490">
        <f t="shared" ref="D70:M70" si="35">C70-$K11</f>
        <v>100</v>
      </c>
      <c r="E70" s="490">
        <f t="shared" si="35"/>
        <v>100</v>
      </c>
      <c r="F70" s="490">
        <f t="shared" si="35"/>
        <v>100</v>
      </c>
      <c r="G70" s="490">
        <f t="shared" si="35"/>
        <v>100</v>
      </c>
      <c r="H70" s="490">
        <f t="shared" si="35"/>
        <v>100</v>
      </c>
      <c r="I70" s="490">
        <f t="shared" si="35"/>
        <v>100</v>
      </c>
      <c r="J70" s="490">
        <f t="shared" si="35"/>
        <v>100</v>
      </c>
      <c r="K70" s="490">
        <f t="shared" si="35"/>
        <v>100</v>
      </c>
      <c r="L70" s="490">
        <f t="shared" si="35"/>
        <v>100</v>
      </c>
      <c r="M70" s="491">
        <f t="shared" si="35"/>
        <v>100</v>
      </c>
      <c r="N70" s="2750"/>
      <c r="O70" s="2750"/>
      <c r="P70" s="2758"/>
      <c r="Q70" s="2735"/>
      <c r="R70" s="2721"/>
      <c r="S70" s="2721"/>
      <c r="T70" s="2721"/>
      <c r="U70" s="2721"/>
      <c r="V70" s="2721"/>
      <c r="W70" s="2721"/>
      <c r="X70" s="2721"/>
      <c r="Y70" s="2721"/>
      <c r="Z70" s="2721"/>
      <c r="AA70" s="2721"/>
      <c r="AB70" s="2721"/>
      <c r="AC70" s="2721"/>
    </row>
    <row r="71" spans="1:29" s="419" customFormat="1" ht="15.75" thickTop="1">
      <c r="A71" s="499"/>
      <c r="B71" s="484">
        <f>B12</f>
        <v>111</v>
      </c>
      <c r="C71" s="500"/>
      <c r="D71" s="500"/>
      <c r="E71" s="500"/>
      <c r="F71" s="500"/>
      <c r="G71" s="500"/>
      <c r="H71" s="501"/>
      <c r="I71" s="501"/>
      <c r="J71" s="501"/>
      <c r="K71" s="501"/>
      <c r="L71" s="502"/>
      <c r="M71" s="503"/>
      <c r="N71" s="2751"/>
      <c r="O71" s="2751"/>
      <c r="P71" s="2759"/>
      <c r="Q71" s="2742"/>
      <c r="R71" s="2743"/>
      <c r="S71" s="2743"/>
      <c r="T71" s="2743"/>
      <c r="U71" s="2743"/>
      <c r="V71" s="2743"/>
      <c r="W71" s="2743"/>
      <c r="X71" s="2743"/>
      <c r="Y71" s="2743"/>
      <c r="Z71" s="2743"/>
      <c r="AA71" s="2743"/>
      <c r="AB71" s="2743"/>
      <c r="AC71" s="2743"/>
    </row>
    <row r="72" spans="1:29" s="419" customFormat="1" ht="15.75" thickBot="1">
      <c r="A72" s="499"/>
      <c r="B72" s="489"/>
      <c r="C72" s="506"/>
      <c r="D72" s="482"/>
      <c r="E72" s="482"/>
      <c r="F72" s="482"/>
      <c r="G72" s="482"/>
      <c r="H72" s="482"/>
      <c r="I72" s="482"/>
      <c r="J72" s="482"/>
      <c r="K72" s="482"/>
      <c r="L72" s="482"/>
      <c r="M72" s="483"/>
      <c r="N72" s="2750"/>
      <c r="O72" s="2750"/>
      <c r="P72" s="2759"/>
      <c r="Q72" s="2742"/>
      <c r="R72" s="2743"/>
      <c r="S72" s="2743"/>
      <c r="T72" s="2743"/>
      <c r="U72" s="2743"/>
      <c r="V72" s="2743"/>
      <c r="W72" s="2743"/>
      <c r="X72" s="2743"/>
      <c r="Y72" s="2743"/>
      <c r="Z72" s="2743"/>
      <c r="AA72" s="2743"/>
      <c r="AB72" s="2743"/>
      <c r="AC72" s="2743"/>
    </row>
    <row r="73" spans="1:29" s="419" customFormat="1" ht="15.75" thickTop="1">
      <c r="A73" s="499"/>
      <c r="B73" s="484">
        <f>B13</f>
        <v>111</v>
      </c>
      <c r="C73" s="500"/>
      <c r="D73" s="500"/>
      <c r="E73" s="500"/>
      <c r="F73" s="500"/>
      <c r="G73" s="500"/>
      <c r="H73" s="501"/>
      <c r="I73" s="501"/>
      <c r="J73" s="501"/>
      <c r="K73" s="501"/>
      <c r="L73" s="502"/>
      <c r="M73" s="503"/>
      <c r="N73" s="2751"/>
      <c r="O73" s="2751"/>
      <c r="P73" s="2760"/>
      <c r="Q73" s="2745"/>
      <c r="R73" s="2743"/>
      <c r="S73" s="2743"/>
      <c r="T73" s="2743"/>
      <c r="U73" s="2743"/>
      <c r="V73" s="2743"/>
      <c r="W73" s="2743"/>
      <c r="X73" s="2743"/>
      <c r="Y73" s="2743"/>
      <c r="Z73" s="2743"/>
      <c r="AA73" s="2743"/>
      <c r="AB73" s="2743"/>
      <c r="AC73" s="2743"/>
    </row>
    <row r="74" spans="1:29" s="419" customFormat="1" ht="15.75" thickBot="1">
      <c r="A74" s="499"/>
      <c r="B74" s="489"/>
      <c r="C74" s="506"/>
      <c r="D74" s="506"/>
      <c r="E74" s="506"/>
      <c r="F74" s="506"/>
      <c r="G74" s="506"/>
      <c r="H74" s="508"/>
      <c r="I74" s="508"/>
      <c r="J74" s="508"/>
      <c r="K74" s="508"/>
      <c r="L74" s="508"/>
      <c r="M74" s="509"/>
      <c r="N74" s="2751"/>
      <c r="O74" s="2751"/>
      <c r="P74" s="2759"/>
      <c r="Q74" s="2742"/>
      <c r="R74" s="2743"/>
      <c r="S74" s="2743"/>
      <c r="T74" s="2743"/>
      <c r="U74" s="2743"/>
      <c r="V74" s="2743"/>
      <c r="W74" s="2743"/>
      <c r="X74" s="2743"/>
      <c r="Y74" s="2743"/>
      <c r="Z74" s="2743"/>
      <c r="AA74" s="2743"/>
      <c r="AB74" s="2743"/>
      <c r="AC74" s="2743"/>
    </row>
    <row r="75" spans="1:29" s="419" customFormat="1" ht="15.75" thickTop="1">
      <c r="A75" s="499"/>
      <c r="B75" s="492">
        <f>B14</f>
        <v>111</v>
      </c>
      <c r="C75" s="469"/>
      <c r="D75" s="469"/>
      <c r="E75" s="469"/>
      <c r="F75" s="469"/>
      <c r="G75" s="469"/>
      <c r="H75" s="510"/>
      <c r="I75" s="510"/>
      <c r="J75" s="510"/>
      <c r="K75" s="510"/>
      <c r="L75" s="511"/>
      <c r="M75" s="512"/>
      <c r="N75" s="2751"/>
      <c r="O75" s="2751"/>
      <c r="P75" s="2761"/>
      <c r="Q75" s="2742"/>
      <c r="R75" s="2743"/>
      <c r="S75" s="2743"/>
      <c r="T75" s="2743"/>
      <c r="U75" s="2743"/>
      <c r="V75" s="2743"/>
      <c r="W75" s="2743"/>
      <c r="X75" s="2743"/>
      <c r="Y75" s="2743"/>
      <c r="Z75" s="2743"/>
      <c r="AA75" s="2743"/>
      <c r="AB75" s="2743"/>
      <c r="AC75" s="2743"/>
    </row>
    <row r="76" spans="1:29" s="419" customFormat="1" ht="15.75" thickBot="1">
      <c r="A76" s="514"/>
      <c r="B76" s="515"/>
      <c r="C76" s="516"/>
      <c r="D76" s="516"/>
      <c r="E76" s="516"/>
      <c r="F76" s="516"/>
      <c r="G76" s="516"/>
      <c r="H76" s="517"/>
      <c r="I76" s="517"/>
      <c r="J76" s="517"/>
      <c r="K76" s="517"/>
      <c r="L76" s="517"/>
      <c r="M76" s="518"/>
      <c r="N76" s="2751"/>
      <c r="O76" s="2751"/>
      <c r="P76" s="2759"/>
      <c r="Q76" s="2742"/>
      <c r="R76" s="2743"/>
      <c r="S76" s="2743"/>
      <c r="T76" s="2743"/>
      <c r="U76" s="2743"/>
      <c r="V76" s="2743"/>
      <c r="W76" s="2743"/>
      <c r="X76" s="2743"/>
      <c r="Y76" s="2743"/>
      <c r="Z76" s="2743"/>
      <c r="AA76" s="2743"/>
      <c r="AB76" s="2743"/>
      <c r="AC76" s="2743"/>
    </row>
    <row r="77" spans="1:29">
      <c r="A77" s="473" t="s">
        <v>1690</v>
      </c>
      <c r="B77" s="474" t="s">
        <v>1821</v>
      </c>
      <c r="C77" s="519" t="s">
        <v>1721</v>
      </c>
      <c r="D77" s="519" t="s">
        <v>1722</v>
      </c>
      <c r="E77" s="519" t="s">
        <v>1723</v>
      </c>
      <c r="F77" s="519" t="s">
        <v>1724</v>
      </c>
      <c r="G77" s="519" t="s">
        <v>1725</v>
      </c>
      <c r="H77" s="475"/>
      <c r="I77" s="475"/>
      <c r="J77" s="475"/>
      <c r="K77" s="520"/>
      <c r="L77" s="521"/>
      <c r="M77" s="522"/>
      <c r="N77" s="2749"/>
      <c r="O77" s="2749"/>
      <c r="P77" s="2762"/>
      <c r="Q77" s="2735"/>
      <c r="R77" s="2721"/>
      <c r="S77" s="2721"/>
      <c r="T77" s="2721"/>
      <c r="U77" s="2721"/>
      <c r="V77" s="2721"/>
      <c r="W77" s="2721"/>
      <c r="X77" s="2721"/>
      <c r="Y77" s="2721"/>
      <c r="Z77" s="2721"/>
      <c r="AA77" s="2721"/>
      <c r="AB77" s="2721"/>
      <c r="AC77" s="2721"/>
    </row>
    <row r="78" spans="1:29" ht="15.75" thickBot="1">
      <c r="A78" s="480"/>
      <c r="B78" s="489"/>
      <c r="C78" s="490">
        <v>100</v>
      </c>
      <c r="D78" s="490">
        <f>C78-$K15</f>
        <v>97</v>
      </c>
      <c r="E78" s="490">
        <f>D78-$K15</f>
        <v>94</v>
      </c>
      <c r="F78" s="490">
        <f>E78-$K15</f>
        <v>91</v>
      </c>
      <c r="G78" s="490">
        <f>F78-$K15</f>
        <v>88</v>
      </c>
      <c r="H78" s="490"/>
      <c r="I78" s="490"/>
      <c r="J78" s="490"/>
      <c r="K78" s="490"/>
      <c r="L78" s="490"/>
      <c r="M78" s="491"/>
      <c r="N78" s="2750"/>
      <c r="O78" s="2750"/>
      <c r="P78" s="2758"/>
      <c r="Q78" s="2735"/>
      <c r="R78" s="2721"/>
      <c r="S78" s="2721"/>
      <c r="T78" s="2721"/>
      <c r="U78" s="2721"/>
      <c r="V78" s="2721"/>
      <c r="W78" s="2721"/>
      <c r="X78" s="2721"/>
      <c r="Y78" s="2721"/>
      <c r="Z78" s="2721"/>
      <c r="AA78" s="2721"/>
      <c r="AB78" s="2721"/>
      <c r="AC78" s="2721"/>
    </row>
    <row r="79" spans="1:29" ht="15.75" thickTop="1">
      <c r="A79" s="480"/>
      <c r="B79" s="484" t="s">
        <v>1726</v>
      </c>
      <c r="C79" s="524" t="s">
        <v>1721</v>
      </c>
      <c r="D79" s="524" t="s">
        <v>1722</v>
      </c>
      <c r="E79" s="524" t="s">
        <v>1723</v>
      </c>
      <c r="F79" s="524" t="s">
        <v>1724</v>
      </c>
      <c r="G79" s="524" t="s">
        <v>1725</v>
      </c>
      <c r="H79" s="485"/>
      <c r="I79" s="485"/>
      <c r="J79" s="485"/>
      <c r="K79" s="486"/>
      <c r="L79" s="487"/>
      <c r="M79" s="488"/>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C80-$K17</f>
        <v>97</v>
      </c>
      <c r="E80" s="490">
        <f>D80-$K17</f>
        <v>94</v>
      </c>
      <c r="F80" s="490">
        <f>E80-$K17</f>
        <v>91</v>
      </c>
      <c r="G80" s="490">
        <f>F80-$K17</f>
        <v>88</v>
      </c>
      <c r="H80" s="490"/>
      <c r="I80" s="490"/>
      <c r="J80" s="490"/>
      <c r="K80" s="490"/>
      <c r="L80" s="490"/>
      <c r="M80" s="491"/>
      <c r="N80" s="2750"/>
      <c r="O80" s="2750"/>
      <c r="P80" s="2758"/>
      <c r="Q80" s="2735"/>
      <c r="R80" s="2721"/>
      <c r="S80" s="2721"/>
      <c r="T80" s="2721"/>
      <c r="U80" s="2721"/>
      <c r="V80" s="2721"/>
      <c r="W80" s="2721"/>
      <c r="X80" s="2721"/>
      <c r="Y80" s="2721"/>
      <c r="Z80" s="2721"/>
      <c r="AA80" s="2721"/>
      <c r="AB80" s="2721"/>
      <c r="AC80" s="2721"/>
    </row>
    <row r="81" spans="1:29" ht="15.75" thickTop="1">
      <c r="A81" s="480"/>
      <c r="B81" s="484" t="s">
        <v>1727</v>
      </c>
      <c r="C81" s="524" t="s">
        <v>1721</v>
      </c>
      <c r="D81" s="524" t="s">
        <v>1722</v>
      </c>
      <c r="E81" s="524" t="s">
        <v>1723</v>
      </c>
      <c r="F81" s="524" t="s">
        <v>1724</v>
      </c>
      <c r="G81" s="524" t="s">
        <v>1725</v>
      </c>
      <c r="H81" s="485"/>
      <c r="I81" s="485"/>
      <c r="J81" s="485"/>
      <c r="K81" s="486"/>
      <c r="L81" s="487"/>
      <c r="M81" s="488"/>
      <c r="N81" s="2749"/>
      <c r="O81" s="2749"/>
      <c r="P81" s="2758"/>
      <c r="Q81" s="2735"/>
      <c r="R81" s="2721"/>
      <c r="S81" s="2721"/>
      <c r="T81" s="2721"/>
      <c r="U81" s="2721"/>
      <c r="V81" s="2721"/>
      <c r="W81" s="2721"/>
      <c r="X81" s="2721"/>
      <c r="Y81" s="2721"/>
      <c r="Z81" s="2721"/>
      <c r="AA81" s="2721"/>
      <c r="AB81" s="2721"/>
      <c r="AC81" s="2721"/>
    </row>
    <row r="82" spans="1:29" ht="15.75" thickBot="1">
      <c r="A82" s="480"/>
      <c r="B82" s="489"/>
      <c r="C82" s="490">
        <v>100</v>
      </c>
      <c r="D82" s="490">
        <f>C82-$K19</f>
        <v>98</v>
      </c>
      <c r="E82" s="490">
        <f>D82-$K19</f>
        <v>96</v>
      </c>
      <c r="F82" s="490">
        <f>E82-$K19</f>
        <v>94</v>
      </c>
      <c r="G82" s="490">
        <f>F82-$K19</f>
        <v>92</v>
      </c>
      <c r="H82" s="490"/>
      <c r="I82" s="490"/>
      <c r="J82" s="490"/>
      <c r="K82" s="490"/>
      <c r="L82" s="490"/>
      <c r="M82" s="491"/>
      <c r="N82" s="2750"/>
      <c r="O82" s="2750"/>
      <c r="P82" s="2758"/>
      <c r="Q82" s="2735"/>
      <c r="R82" s="2721"/>
      <c r="S82" s="2721"/>
      <c r="T82" s="2721"/>
      <c r="U82" s="2721"/>
      <c r="V82" s="2721"/>
      <c r="W82" s="2721"/>
      <c r="X82" s="2721"/>
      <c r="Y82" s="2721"/>
      <c r="Z82" s="2721"/>
      <c r="AA82" s="2721"/>
      <c r="AB82" s="2721"/>
      <c r="AC82" s="2721"/>
    </row>
    <row r="83" spans="1:29" ht="15.75" thickTop="1">
      <c r="A83" s="480"/>
      <c r="B83" s="492" t="s">
        <v>1813</v>
      </c>
      <c r="C83" s="605" t="s">
        <v>1799</v>
      </c>
      <c r="D83" s="605" t="s">
        <v>1800</v>
      </c>
      <c r="E83" s="605" t="s">
        <v>1801</v>
      </c>
      <c r="F83" s="605" t="s">
        <v>1802</v>
      </c>
      <c r="G83" s="605" t="s">
        <v>1803</v>
      </c>
      <c r="H83" s="485"/>
      <c r="I83" s="485"/>
      <c r="J83" s="485"/>
      <c r="K83" s="485"/>
      <c r="L83" s="485"/>
      <c r="M83" s="1125"/>
      <c r="N83" s="2750"/>
      <c r="O83" s="2750"/>
      <c r="P83" s="2758"/>
      <c r="Q83" s="2735"/>
      <c r="R83" s="2721"/>
      <c r="S83" s="2721"/>
      <c r="T83" s="2721"/>
      <c r="U83" s="2721"/>
      <c r="V83" s="2721"/>
      <c r="W83" s="2721"/>
      <c r="X83" s="2721"/>
      <c r="Y83" s="2721"/>
      <c r="Z83" s="2721"/>
      <c r="AA83" s="2721"/>
      <c r="AB83" s="2721"/>
      <c r="AC83" s="2721"/>
    </row>
    <row r="84" spans="1:29" ht="15.75" thickBot="1">
      <c r="A84" s="480"/>
      <c r="B84" s="492"/>
      <c r="C84" s="490">
        <v>100</v>
      </c>
      <c r="D84" s="490">
        <f>C84-$K21</f>
        <v>99</v>
      </c>
      <c r="E84" s="490">
        <f>D84-$K21</f>
        <v>98</v>
      </c>
      <c r="F84" s="490">
        <f>E84-$K21</f>
        <v>97</v>
      </c>
      <c r="G84" s="490">
        <f>F84-$K21</f>
        <v>96</v>
      </c>
      <c r="H84" s="605"/>
      <c r="I84" s="605"/>
      <c r="J84" s="605"/>
      <c r="K84" s="605"/>
      <c r="L84" s="605"/>
      <c r="M84" s="398"/>
      <c r="N84" s="2750"/>
      <c r="O84" s="2750"/>
      <c r="P84" s="2758"/>
      <c r="Q84" s="2735"/>
      <c r="R84" s="2721"/>
      <c r="S84" s="2721"/>
      <c r="T84" s="2721"/>
      <c r="U84" s="2721"/>
      <c r="V84" s="2721"/>
      <c r="W84" s="2721"/>
      <c r="X84" s="2721"/>
      <c r="Y84" s="2721"/>
      <c r="Z84" s="2721"/>
      <c r="AA84" s="2721"/>
      <c r="AB84" s="2721"/>
      <c r="AC84" s="2721"/>
    </row>
    <row r="85" spans="1:29" ht="15.75" thickTop="1">
      <c r="A85" s="480"/>
      <c r="B85" s="484" t="s">
        <v>1822</v>
      </c>
      <c r="C85" s="524" t="s">
        <v>1721</v>
      </c>
      <c r="D85" s="524" t="s">
        <v>1722</v>
      </c>
      <c r="E85" s="524" t="s">
        <v>1723</v>
      </c>
      <c r="F85" s="524" t="s">
        <v>1724</v>
      </c>
      <c r="G85" s="524" t="s">
        <v>1725</v>
      </c>
      <c r="H85" s="485"/>
      <c r="I85" s="485"/>
      <c r="J85" s="485"/>
      <c r="K85" s="486"/>
      <c r="L85" s="487"/>
      <c r="M85" s="488"/>
      <c r="N85" s="2749"/>
      <c r="O85" s="2749"/>
      <c r="P85" s="2758"/>
      <c r="Q85" s="2735"/>
      <c r="R85" s="2721"/>
      <c r="S85" s="2721"/>
      <c r="T85" s="2721"/>
      <c r="U85" s="2721"/>
      <c r="V85" s="2721"/>
      <c r="W85" s="2721"/>
      <c r="X85" s="2721"/>
      <c r="Y85" s="2721"/>
      <c r="Z85" s="2721"/>
      <c r="AA85" s="2721"/>
      <c r="AB85" s="2721"/>
      <c r="AC85" s="2721"/>
    </row>
    <row r="86" spans="1:29" ht="15.75" thickBot="1">
      <c r="A86" s="480"/>
      <c r="B86" s="489"/>
      <c r="C86" s="490">
        <v>100</v>
      </c>
      <c r="D86" s="490">
        <f>C86-$K23</f>
        <v>97</v>
      </c>
      <c r="E86" s="490">
        <f>D86-$K23</f>
        <v>94</v>
      </c>
      <c r="F86" s="490">
        <f>E86-$K23</f>
        <v>91</v>
      </c>
      <c r="G86" s="490">
        <f>F86-$K23</f>
        <v>88</v>
      </c>
      <c r="H86" s="490"/>
      <c r="I86" s="490"/>
      <c r="J86" s="490"/>
      <c r="K86" s="490"/>
      <c r="L86" s="490"/>
      <c r="M86" s="491"/>
      <c r="N86" s="2750"/>
      <c r="O86" s="2750"/>
      <c r="P86" s="2758"/>
      <c r="Q86" s="2735"/>
      <c r="R86" s="2721"/>
      <c r="S86" s="2721"/>
      <c r="T86" s="2721"/>
      <c r="U86" s="2721"/>
      <c r="V86" s="2721"/>
      <c r="W86" s="2721"/>
      <c r="X86" s="2721"/>
      <c r="Y86" s="2721"/>
      <c r="Z86" s="2721"/>
      <c r="AA86" s="2721"/>
      <c r="AB86" s="2721"/>
      <c r="AC86" s="2721"/>
    </row>
    <row r="87" spans="1:29" s="108" customFormat="1" ht="27.75" thickTop="1">
      <c r="A87" s="525"/>
      <c r="B87" s="484" t="s">
        <v>1823</v>
      </c>
      <c r="C87" s="3553" t="s">
        <v>3764</v>
      </c>
      <c r="D87" s="3553" t="s">
        <v>3765</v>
      </c>
      <c r="E87" s="3553" t="s">
        <v>3766</v>
      </c>
      <c r="F87" s="3553" t="s">
        <v>3767</v>
      </c>
      <c r="G87" s="3553" t="s">
        <v>3768</v>
      </c>
      <c r="H87" s="500"/>
      <c r="I87" s="500"/>
      <c r="J87" s="500"/>
      <c r="K87" s="500"/>
      <c r="L87" s="526"/>
      <c r="M87" s="527"/>
      <c r="N87" s="2748"/>
      <c r="O87" s="2748"/>
      <c r="P87" s="2758"/>
      <c r="Q87" s="2735"/>
      <c r="R87" s="2657"/>
      <c r="S87" s="2657"/>
      <c r="T87" s="2657"/>
      <c r="U87" s="2657"/>
      <c r="V87" s="2657"/>
      <c r="W87" s="2657"/>
      <c r="X87" s="2657"/>
      <c r="Y87" s="2657"/>
      <c r="Z87" s="2657"/>
      <c r="AA87" s="2657"/>
      <c r="AB87" s="2657"/>
      <c r="AC87" s="2657"/>
    </row>
    <row r="88" spans="1:29" s="108" customFormat="1" ht="15.75" thickBot="1">
      <c r="A88" s="525"/>
      <c r="B88" s="489"/>
      <c r="C88" s="528">
        <v>100</v>
      </c>
      <c r="D88" s="490">
        <f t="shared" ref="D88:M88" si="36">C88-$K25</f>
        <v>100</v>
      </c>
      <c r="E88" s="490">
        <f t="shared" si="36"/>
        <v>100</v>
      </c>
      <c r="F88" s="490">
        <f t="shared" si="36"/>
        <v>100</v>
      </c>
      <c r="G88" s="490">
        <f t="shared" si="36"/>
        <v>100</v>
      </c>
      <c r="H88" s="490">
        <f t="shared" si="36"/>
        <v>100</v>
      </c>
      <c r="I88" s="490">
        <f t="shared" si="36"/>
        <v>100</v>
      </c>
      <c r="J88" s="490">
        <f t="shared" si="36"/>
        <v>100</v>
      </c>
      <c r="K88" s="490">
        <f t="shared" si="36"/>
        <v>100</v>
      </c>
      <c r="L88" s="490">
        <f t="shared" si="36"/>
        <v>100</v>
      </c>
      <c r="M88" s="490">
        <f t="shared" si="36"/>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5"/>
      <c r="B89" s="484" t="str">
        <f>B27</f>
        <v>楼层</v>
      </c>
      <c r="C89" s="500"/>
      <c r="D89" s="500"/>
      <c r="E89" s="500"/>
      <c r="F89" s="1923"/>
      <c r="G89" s="500"/>
      <c r="H89" s="500"/>
      <c r="I89" s="500"/>
      <c r="J89" s="500"/>
      <c r="K89" s="500"/>
      <c r="L89" s="500"/>
      <c r="M89" s="527"/>
      <c r="N89" s="2748"/>
      <c r="O89" s="2748"/>
      <c r="P89" s="2758"/>
      <c r="Q89" s="2735"/>
      <c r="R89" s="2657"/>
      <c r="S89" s="2657"/>
      <c r="T89" s="2657"/>
      <c r="U89" s="2657"/>
      <c r="V89" s="2657"/>
      <c r="W89" s="2657"/>
      <c r="X89" s="2657"/>
      <c r="Y89" s="2657"/>
      <c r="Z89" s="2657"/>
      <c r="AA89" s="2657"/>
      <c r="AB89" s="2657"/>
      <c r="AC89" s="2657"/>
    </row>
    <row r="90" spans="1:29" s="108" customFormat="1" ht="15.75" thickBot="1">
      <c r="A90" s="525"/>
      <c r="B90" s="489"/>
      <c r="C90" s="528">
        <v>100</v>
      </c>
      <c r="D90" s="490">
        <f>C90-$K27</f>
        <v>100</v>
      </c>
      <c r="E90" s="490">
        <f t="shared" ref="E90:M90" si="37">D90-$K27</f>
        <v>100</v>
      </c>
      <c r="F90" s="490">
        <f t="shared" si="37"/>
        <v>100</v>
      </c>
      <c r="G90" s="490">
        <f t="shared" si="37"/>
        <v>100</v>
      </c>
      <c r="H90" s="490">
        <f t="shared" si="37"/>
        <v>100</v>
      </c>
      <c r="I90" s="490">
        <f t="shared" si="37"/>
        <v>100</v>
      </c>
      <c r="J90" s="490">
        <f t="shared" si="37"/>
        <v>100</v>
      </c>
      <c r="K90" s="490">
        <f t="shared" si="37"/>
        <v>100</v>
      </c>
      <c r="L90" s="490">
        <f t="shared" si="37"/>
        <v>100</v>
      </c>
      <c r="M90" s="490">
        <f t="shared" si="37"/>
        <v>100</v>
      </c>
      <c r="N90" s="2750"/>
      <c r="O90" s="2750"/>
      <c r="P90" s="2758"/>
      <c r="Q90" s="2735"/>
      <c r="R90" s="2657"/>
      <c r="S90" s="2657"/>
      <c r="T90" s="2657"/>
      <c r="U90" s="2657"/>
      <c r="V90" s="2657"/>
      <c r="W90" s="2657"/>
      <c r="X90" s="2657"/>
      <c r="Y90" s="2657"/>
      <c r="Z90" s="2657"/>
      <c r="AA90" s="2657"/>
      <c r="AB90" s="2657"/>
      <c r="AC90" s="2657"/>
    </row>
    <row r="91" spans="1:29" s="419" customFormat="1" ht="15.75" thickTop="1">
      <c r="A91" s="499"/>
      <c r="B91" s="484" t="str">
        <f>B28</f>
        <v>朝向</v>
      </c>
      <c r="C91" s="500"/>
      <c r="D91" s="500"/>
      <c r="E91" s="500"/>
      <c r="F91" s="500"/>
      <c r="G91" s="500"/>
      <c r="H91" s="501"/>
      <c r="I91" s="501"/>
      <c r="J91" s="501"/>
      <c r="K91" s="501"/>
      <c r="L91" s="502"/>
      <c r="M91" s="503"/>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28">
        <v>100</v>
      </c>
      <c r="D92" s="490">
        <f t="shared" ref="D92:M92" si="38">C92-$K28</f>
        <v>100</v>
      </c>
      <c r="E92" s="490">
        <f t="shared" si="38"/>
        <v>100</v>
      </c>
      <c r="F92" s="490">
        <f t="shared" si="38"/>
        <v>100</v>
      </c>
      <c r="G92" s="490">
        <f t="shared" si="38"/>
        <v>100</v>
      </c>
      <c r="H92" s="490">
        <f t="shared" si="38"/>
        <v>100</v>
      </c>
      <c r="I92" s="490">
        <f t="shared" si="38"/>
        <v>100</v>
      </c>
      <c r="J92" s="490">
        <f t="shared" si="38"/>
        <v>100</v>
      </c>
      <c r="K92" s="490">
        <f t="shared" si="38"/>
        <v>100</v>
      </c>
      <c r="L92" s="490">
        <f t="shared" si="38"/>
        <v>100</v>
      </c>
      <c r="M92" s="490">
        <f t="shared" si="38"/>
        <v>100</v>
      </c>
      <c r="N92" s="2751"/>
      <c r="O92" s="2751"/>
      <c r="P92" s="2759"/>
      <c r="Q92" s="2742"/>
      <c r="R92" s="2743"/>
      <c r="S92" s="2743"/>
      <c r="T92" s="2743"/>
      <c r="U92" s="2743"/>
      <c r="V92" s="2743"/>
      <c r="W92" s="2743"/>
      <c r="X92" s="2743"/>
      <c r="Y92" s="2743"/>
      <c r="Z92" s="2743"/>
      <c r="AA92" s="2743"/>
      <c r="AB92" s="2743"/>
      <c r="AC92" s="2743"/>
    </row>
    <row r="93" spans="1:29" ht="15.75" thickTop="1">
      <c r="A93" s="480"/>
      <c r="B93" s="484">
        <f>B29</f>
        <v>111</v>
      </c>
      <c r="C93" s="500"/>
      <c r="D93" s="500"/>
      <c r="E93" s="500"/>
      <c r="F93" s="500"/>
      <c r="G93" s="500"/>
      <c r="H93" s="500"/>
      <c r="I93" s="500"/>
      <c r="J93" s="500"/>
      <c r="K93" s="500"/>
      <c r="L93" s="526"/>
      <c r="M93" s="527"/>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506"/>
      <c r="D94" s="482"/>
      <c r="E94" s="482"/>
      <c r="F94" s="482"/>
      <c r="G94" s="482"/>
      <c r="H94" s="482"/>
      <c r="I94" s="482"/>
      <c r="J94" s="482"/>
      <c r="K94" s="482"/>
      <c r="L94" s="482"/>
      <c r="M94" s="483"/>
      <c r="N94" s="2750"/>
      <c r="O94" s="2750"/>
      <c r="P94" s="2758"/>
      <c r="Q94" s="2735"/>
      <c r="R94" s="2721"/>
      <c r="S94" s="2721"/>
      <c r="T94" s="2721"/>
      <c r="U94" s="2721"/>
      <c r="V94" s="2721"/>
      <c r="W94" s="2721"/>
      <c r="X94" s="2721"/>
      <c r="Y94" s="2721"/>
      <c r="Z94" s="2721"/>
      <c r="AA94" s="2721"/>
      <c r="AB94" s="2721"/>
      <c r="AC94" s="2721"/>
    </row>
    <row r="95" spans="1:29" ht="15.75" thickTop="1">
      <c r="A95" s="480"/>
      <c r="B95" s="484">
        <f>B30</f>
        <v>111</v>
      </c>
      <c r="C95" s="500"/>
      <c r="D95" s="500"/>
      <c r="E95" s="500"/>
      <c r="F95" s="500"/>
      <c r="G95" s="529"/>
      <c r="H95" s="529"/>
      <c r="I95" s="529"/>
      <c r="J95" s="529"/>
      <c r="K95" s="530"/>
      <c r="L95" s="531"/>
      <c r="M95" s="532"/>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506"/>
      <c r="D96" s="506"/>
      <c r="E96" s="506"/>
      <c r="F96" s="506"/>
      <c r="G96" s="482"/>
      <c r="H96" s="482"/>
      <c r="I96" s="482"/>
      <c r="J96" s="482"/>
      <c r="K96" s="482"/>
      <c r="L96" s="482"/>
      <c r="M96" s="483"/>
      <c r="N96" s="2750"/>
      <c r="O96" s="2750"/>
      <c r="P96" s="2758"/>
      <c r="Q96" s="2735"/>
      <c r="R96" s="2721"/>
      <c r="S96" s="2721"/>
      <c r="T96" s="2721"/>
      <c r="U96" s="2721"/>
      <c r="V96" s="2721"/>
      <c r="W96" s="2721"/>
      <c r="X96" s="2721"/>
      <c r="Y96" s="2721"/>
      <c r="Z96" s="2721"/>
      <c r="AA96" s="2721"/>
      <c r="AB96" s="2721"/>
      <c r="AC96" s="2721"/>
    </row>
    <row r="97" spans="1:29" ht="15.75" thickTop="1">
      <c r="A97" s="480"/>
      <c r="B97" s="484">
        <f>B31</f>
        <v>111</v>
      </c>
      <c r="C97" s="500"/>
      <c r="D97" s="500"/>
      <c r="E97" s="500"/>
      <c r="F97" s="500"/>
      <c r="G97" s="529"/>
      <c r="H97" s="529"/>
      <c r="I97" s="529"/>
      <c r="J97" s="529"/>
      <c r="K97" s="530"/>
      <c r="L97" s="531"/>
      <c r="M97" s="532"/>
      <c r="N97" s="2749"/>
      <c r="O97" s="2749"/>
      <c r="P97" s="2758"/>
      <c r="Q97" s="2735"/>
      <c r="R97" s="2721"/>
      <c r="S97" s="2721"/>
      <c r="T97" s="2721"/>
      <c r="U97" s="2721"/>
      <c r="V97" s="2721"/>
      <c r="W97" s="2721"/>
      <c r="X97" s="2721"/>
      <c r="Y97" s="2721"/>
      <c r="Z97" s="2721"/>
      <c r="AA97" s="2721"/>
      <c r="AB97" s="2721"/>
      <c r="AC97" s="2721"/>
    </row>
    <row r="98" spans="1:29" ht="15.75" thickBot="1">
      <c r="A98" s="480"/>
      <c r="B98" s="489"/>
      <c r="C98" s="506"/>
      <c r="D98" s="482"/>
      <c r="E98" s="482"/>
      <c r="F98" s="482"/>
      <c r="G98" s="482"/>
      <c r="H98" s="482"/>
      <c r="I98" s="482"/>
      <c r="J98" s="482"/>
      <c r="K98" s="482"/>
      <c r="L98" s="482"/>
      <c r="M98" s="483"/>
      <c r="N98" s="2750"/>
      <c r="O98" s="2750"/>
      <c r="P98" s="2758"/>
      <c r="Q98" s="2735"/>
      <c r="R98" s="2721"/>
      <c r="S98" s="2721"/>
      <c r="T98" s="2721"/>
      <c r="U98" s="2721"/>
      <c r="V98" s="2721"/>
      <c r="W98" s="2721"/>
      <c r="X98" s="2721"/>
      <c r="Y98" s="2721"/>
      <c r="Z98" s="2721"/>
      <c r="AA98" s="2721"/>
      <c r="AB98" s="2721"/>
      <c r="AC98" s="2721"/>
    </row>
    <row r="99" spans="1:29" ht="15.75" thickTop="1">
      <c r="A99" s="480"/>
      <c r="B99" s="492">
        <f>B32</f>
        <v>111</v>
      </c>
      <c r="C99" s="469"/>
      <c r="D99" s="469"/>
      <c r="E99" s="469"/>
      <c r="F99" s="469"/>
      <c r="G99" s="533"/>
      <c r="H99" s="533"/>
      <c r="I99" s="533"/>
      <c r="J99" s="533"/>
      <c r="K99" s="534"/>
      <c r="L99" s="535"/>
      <c r="M99" s="536"/>
      <c r="N99" s="2749"/>
      <c r="O99" s="2749"/>
      <c r="P99" s="2758"/>
      <c r="Q99" s="2735"/>
      <c r="R99" s="2721"/>
      <c r="S99" s="2721"/>
      <c r="T99" s="2721"/>
      <c r="U99" s="2721"/>
      <c r="V99" s="2721"/>
      <c r="W99" s="2721"/>
      <c r="X99" s="2721"/>
      <c r="Y99" s="2721"/>
      <c r="Z99" s="2721"/>
      <c r="AA99" s="2721"/>
      <c r="AB99" s="2721"/>
      <c r="AC99" s="2721"/>
    </row>
    <row r="100" spans="1:29" ht="15.75" thickBot="1">
      <c r="A100" s="1924"/>
      <c r="B100" s="515"/>
      <c r="C100" s="516"/>
      <c r="D100" s="516"/>
      <c r="E100" s="516"/>
      <c r="F100" s="516"/>
      <c r="G100" s="537"/>
      <c r="H100" s="537"/>
      <c r="I100" s="537"/>
      <c r="J100" s="537"/>
      <c r="K100" s="537"/>
      <c r="L100" s="537"/>
      <c r="M100" s="538"/>
      <c r="N100" s="2750"/>
      <c r="O100" s="2750"/>
      <c r="P100" s="2758"/>
      <c r="Q100" s="2735"/>
      <c r="R100" s="2721"/>
      <c r="S100" s="2721"/>
      <c r="T100" s="2721"/>
      <c r="U100" s="2721"/>
      <c r="V100" s="2721"/>
      <c r="W100" s="2721"/>
      <c r="X100" s="2721"/>
      <c r="Y100" s="2721"/>
      <c r="Z100" s="2721"/>
      <c r="AA100" s="2721"/>
      <c r="AB100" s="2721"/>
      <c r="AC100" s="2721"/>
    </row>
    <row r="101" spans="1:29">
      <c r="A101" s="473" t="s">
        <v>1694</v>
      </c>
      <c r="B101" s="474" t="s">
        <v>1736</v>
      </c>
      <c r="C101" s="476"/>
      <c r="D101" s="476"/>
      <c r="E101" s="476"/>
      <c r="F101" s="476"/>
      <c r="G101" s="476"/>
      <c r="H101" s="476"/>
      <c r="I101" s="476"/>
      <c r="J101" s="476"/>
      <c r="K101" s="477"/>
      <c r="L101" s="478"/>
      <c r="M101" s="479"/>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490">
        <v>100</v>
      </c>
      <c r="D102" s="490">
        <f t="shared" ref="D102:M102" si="39">C102-$K33</f>
        <v>100</v>
      </c>
      <c r="E102" s="490">
        <f t="shared" si="39"/>
        <v>100</v>
      </c>
      <c r="F102" s="490">
        <f t="shared" si="39"/>
        <v>100</v>
      </c>
      <c r="G102" s="490">
        <f t="shared" si="39"/>
        <v>100</v>
      </c>
      <c r="H102" s="490">
        <f t="shared" si="39"/>
        <v>100</v>
      </c>
      <c r="I102" s="490">
        <f t="shared" si="39"/>
        <v>100</v>
      </c>
      <c r="J102" s="490">
        <f t="shared" si="39"/>
        <v>100</v>
      </c>
      <c r="K102" s="490">
        <f t="shared" si="39"/>
        <v>100</v>
      </c>
      <c r="L102" s="490">
        <f t="shared" si="39"/>
        <v>100</v>
      </c>
      <c r="M102" s="491">
        <f t="shared" si="39"/>
        <v>100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0"/>
      <c r="B103" s="484" t="s">
        <v>1737</v>
      </c>
      <c r="C103" s="524" t="str">
        <f>C104&amp;"(含)"&amp;"-"&amp;D104</f>
        <v>0(含)-30000</v>
      </c>
      <c r="D103" s="524" t="str">
        <f t="shared" ref="D103:L103" si="40">D104&amp;"(含)"&amp;"-"&amp;E104</f>
        <v>30000(含)-100000</v>
      </c>
      <c r="E103" s="524" t="str">
        <f t="shared" si="40"/>
        <v>100000(含)-200000</v>
      </c>
      <c r="F103" s="524" t="str">
        <f t="shared" si="40"/>
        <v>200000(含)-400000</v>
      </c>
      <c r="G103" s="524" t="str">
        <f t="shared" si="40"/>
        <v>400000(含)-</v>
      </c>
      <c r="H103" s="524" t="str">
        <f t="shared" si="40"/>
        <v>(含)-</v>
      </c>
      <c r="I103" s="524" t="str">
        <f t="shared" si="40"/>
        <v>(含)-</v>
      </c>
      <c r="J103" s="524" t="str">
        <f t="shared" si="40"/>
        <v>(含)-</v>
      </c>
      <c r="K103" s="524" t="str">
        <f t="shared" si="40"/>
        <v>(含)-</v>
      </c>
      <c r="L103" s="524" t="str">
        <f t="shared" si="40"/>
        <v>(含)-</v>
      </c>
      <c r="M103" s="567"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19" customFormat="1">
      <c r="A104" s="539"/>
      <c r="B104" s="540"/>
      <c r="C104" s="541">
        <v>0</v>
      </c>
      <c r="D104" s="541">
        <v>30000</v>
      </c>
      <c r="E104" s="541">
        <v>100000</v>
      </c>
      <c r="F104" s="541">
        <v>200000</v>
      </c>
      <c r="G104" s="541">
        <v>400000</v>
      </c>
      <c r="H104" s="541"/>
      <c r="I104" s="541"/>
      <c r="J104" s="542"/>
      <c r="K104" s="542"/>
      <c r="L104" s="543"/>
      <c r="M104" s="544"/>
      <c r="N104" s="2751"/>
      <c r="O104" s="2751"/>
      <c r="P104" s="2759"/>
      <c r="Q104" s="2742"/>
      <c r="R104" s="2743"/>
      <c r="S104" s="2743"/>
      <c r="T104" s="2743"/>
      <c r="U104" s="2743"/>
      <c r="V104" s="2743"/>
      <c r="W104" s="2743"/>
      <c r="X104" s="2743"/>
      <c r="Y104" s="2743"/>
      <c r="Z104" s="2743"/>
      <c r="AA104" s="2743"/>
      <c r="AB104" s="2743"/>
      <c r="AC104" s="2743"/>
    </row>
    <row r="105" spans="1:29" s="419" customFormat="1" ht="15.75" thickBot="1">
      <c r="A105" s="499"/>
      <c r="B105" s="489"/>
      <c r="C105" s="506">
        <v>100</v>
      </c>
      <c r="D105" s="482">
        <f>C105-3</f>
        <v>97</v>
      </c>
      <c r="E105" s="482">
        <f t="shared" ref="E105:G105" si="41">D105-3</f>
        <v>94</v>
      </c>
      <c r="F105" s="482">
        <f t="shared" si="41"/>
        <v>91</v>
      </c>
      <c r="G105" s="482">
        <f t="shared" si="41"/>
        <v>88</v>
      </c>
      <c r="H105" s="482"/>
      <c r="I105" s="482"/>
      <c r="J105" s="482"/>
      <c r="K105" s="482"/>
      <c r="L105" s="482"/>
      <c r="M105" s="483"/>
      <c r="N105" s="2750"/>
      <c r="O105" s="2750"/>
      <c r="P105" s="2759"/>
      <c r="Q105" s="2742"/>
      <c r="R105" s="2743"/>
      <c r="S105" s="2743"/>
      <c r="T105" s="2743"/>
      <c r="U105" s="2743"/>
      <c r="V105" s="2743"/>
      <c r="W105" s="2743"/>
      <c r="X105" s="2743"/>
      <c r="Y105" s="2743"/>
      <c r="Z105" s="2743"/>
      <c r="AA105" s="2743"/>
      <c r="AB105" s="2743"/>
      <c r="AC105" s="2743"/>
    </row>
    <row r="106" spans="1:29" ht="15" thickTop="1">
      <c r="A106" s="545"/>
      <c r="B106" s="484" t="s">
        <v>1738</v>
      </c>
      <c r="C106" s="500"/>
      <c r="D106" s="500"/>
      <c r="E106" s="529"/>
      <c r="F106" s="529"/>
      <c r="G106" s="529"/>
      <c r="H106" s="529"/>
      <c r="I106" s="529"/>
      <c r="J106" s="529"/>
      <c r="K106" s="530"/>
      <c r="L106" s="531"/>
      <c r="M106" s="532"/>
      <c r="N106" s="2749"/>
      <c r="O106" s="2749"/>
      <c r="P106" s="2758"/>
      <c r="Q106" s="2735"/>
      <c r="R106" s="2721"/>
      <c r="S106" s="2721"/>
      <c r="T106" s="2721"/>
      <c r="U106" s="2721"/>
      <c r="V106" s="2721"/>
      <c r="W106" s="2721"/>
      <c r="X106" s="2721"/>
      <c r="Y106" s="2721"/>
      <c r="Z106" s="2721"/>
      <c r="AA106" s="2721"/>
      <c r="AB106" s="2721"/>
      <c r="AC106" s="2721"/>
    </row>
    <row r="107" spans="1:29" ht="15.75" thickBot="1">
      <c r="A107" s="480"/>
      <c r="B107" s="489"/>
      <c r="C107" s="490">
        <v>100</v>
      </c>
      <c r="D107" s="490">
        <f t="shared" ref="D107:M107" si="42">C107-$K35</f>
        <v>100</v>
      </c>
      <c r="E107" s="490">
        <f t="shared" si="42"/>
        <v>100</v>
      </c>
      <c r="F107" s="490">
        <f t="shared" si="42"/>
        <v>100</v>
      </c>
      <c r="G107" s="490">
        <f t="shared" si="42"/>
        <v>100</v>
      </c>
      <c r="H107" s="490">
        <f t="shared" si="42"/>
        <v>100</v>
      </c>
      <c r="I107" s="490">
        <f t="shared" si="42"/>
        <v>100</v>
      </c>
      <c r="J107" s="490">
        <f t="shared" si="42"/>
        <v>100</v>
      </c>
      <c r="K107" s="490">
        <f t="shared" si="42"/>
        <v>100</v>
      </c>
      <c r="L107" s="490">
        <f t="shared" si="42"/>
        <v>100</v>
      </c>
      <c r="M107" s="491">
        <f t="shared" si="42"/>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5"/>
      <c r="B108" s="484" t="s">
        <v>1740</v>
      </c>
      <c r="C108" s="3553" t="s">
        <v>3769</v>
      </c>
      <c r="D108" s="3553" t="s">
        <v>3770</v>
      </c>
      <c r="E108" s="3553" t="s">
        <v>3771</v>
      </c>
      <c r="F108" s="3554" t="s">
        <v>3772</v>
      </c>
      <c r="G108" s="529"/>
      <c r="H108" s="529"/>
      <c r="I108" s="529"/>
      <c r="J108" s="529"/>
      <c r="K108" s="530"/>
      <c r="L108" s="531"/>
      <c r="M108" s="532"/>
      <c r="N108" s="2749"/>
      <c r="O108" s="2749"/>
      <c r="P108" s="2758"/>
      <c r="Q108" s="2735"/>
      <c r="R108" s="2721"/>
      <c r="S108" s="2721"/>
      <c r="T108" s="2721"/>
      <c r="U108" s="2721"/>
      <c r="V108" s="2721"/>
      <c r="W108" s="2721"/>
      <c r="X108" s="2721"/>
      <c r="Y108" s="2721"/>
      <c r="Z108" s="2721"/>
      <c r="AA108" s="2721"/>
      <c r="AB108" s="2721"/>
      <c r="AC108" s="2721"/>
    </row>
    <row r="109" spans="1:29" ht="15.75" thickBot="1">
      <c r="A109" s="480"/>
      <c r="B109" s="489"/>
      <c r="C109" s="490">
        <v>100</v>
      </c>
      <c r="D109" s="490">
        <f t="shared" ref="D109:M109" si="43">C109-$K36</f>
        <v>98</v>
      </c>
      <c r="E109" s="490">
        <f t="shared" si="43"/>
        <v>96</v>
      </c>
      <c r="F109" s="490">
        <f t="shared" si="43"/>
        <v>94</v>
      </c>
      <c r="G109" s="490">
        <f t="shared" si="43"/>
        <v>92</v>
      </c>
      <c r="H109" s="490">
        <f t="shared" si="43"/>
        <v>90</v>
      </c>
      <c r="I109" s="490">
        <f t="shared" si="43"/>
        <v>88</v>
      </c>
      <c r="J109" s="490">
        <f t="shared" si="43"/>
        <v>86</v>
      </c>
      <c r="K109" s="490">
        <f t="shared" si="43"/>
        <v>84</v>
      </c>
      <c r="L109" s="490">
        <f t="shared" si="43"/>
        <v>82</v>
      </c>
      <c r="M109" s="491">
        <f t="shared" si="43"/>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9"/>
      <c r="O110" s="2749"/>
      <c r="P110" s="2758"/>
      <c r="Q110" s="2735"/>
      <c r="R110" s="2721"/>
      <c r="S110" s="2721"/>
      <c r="T110" s="2721"/>
      <c r="U110" s="2721"/>
      <c r="V110" s="2721"/>
      <c r="W110" s="2721"/>
      <c r="X110" s="2721"/>
      <c r="Y110" s="2721"/>
      <c r="Z110" s="2721"/>
      <c r="AA110" s="2721"/>
      <c r="AB110" s="2721"/>
      <c r="AC110" s="2721"/>
    </row>
    <row r="111" spans="1:29">
      <c r="A111" s="545"/>
      <c r="B111" s="492"/>
      <c r="C111" s="549">
        <v>0.5</v>
      </c>
      <c r="D111" s="549">
        <v>0.6</v>
      </c>
      <c r="E111" s="549">
        <v>0.7</v>
      </c>
      <c r="F111" s="549">
        <v>0.8</v>
      </c>
      <c r="G111" s="549">
        <v>0.9</v>
      </c>
      <c r="H111" s="549">
        <v>1.0001</v>
      </c>
      <c r="I111" s="568"/>
      <c r="J111" s="568"/>
      <c r="K111" s="569"/>
      <c r="L111" s="570"/>
      <c r="M111" s="571"/>
      <c r="N111" s="2749"/>
      <c r="O111" s="2749"/>
      <c r="P111" s="2758"/>
      <c r="Q111" s="2735"/>
      <c r="R111" s="2721"/>
      <c r="S111" s="2721"/>
      <c r="T111" s="2721"/>
      <c r="U111" s="2721"/>
      <c r="V111" s="2721"/>
      <c r="W111" s="2721"/>
      <c r="X111" s="2721"/>
      <c r="Y111" s="2721"/>
      <c r="Z111" s="2721"/>
      <c r="AA111" s="2721"/>
      <c r="AB111" s="2721"/>
      <c r="AC111" s="2721"/>
    </row>
    <row r="112" spans="1:29" ht="15.75" thickBot="1">
      <c r="A112" s="480"/>
      <c r="B112" s="489"/>
      <c r="C112" s="528">
        <v>100</v>
      </c>
      <c r="D112" s="490">
        <f>C112+$K37</f>
        <v>101</v>
      </c>
      <c r="E112" s="490">
        <f t="shared" ref="E112:M112" si="44">D112+$K37</f>
        <v>102</v>
      </c>
      <c r="F112" s="490">
        <f t="shared" si="44"/>
        <v>103</v>
      </c>
      <c r="G112" s="490">
        <f t="shared" si="44"/>
        <v>104</v>
      </c>
      <c r="H112" s="490">
        <f t="shared" si="44"/>
        <v>105</v>
      </c>
      <c r="I112" s="490">
        <f t="shared" si="44"/>
        <v>106</v>
      </c>
      <c r="J112" s="490">
        <f t="shared" si="44"/>
        <v>107</v>
      </c>
      <c r="K112" s="490">
        <f t="shared" si="44"/>
        <v>108</v>
      </c>
      <c r="L112" s="490">
        <f t="shared" si="44"/>
        <v>109</v>
      </c>
      <c r="M112" s="490">
        <f t="shared" si="44"/>
        <v>110</v>
      </c>
      <c r="N112" s="2750"/>
      <c r="O112" s="2750"/>
      <c r="P112" s="2758"/>
      <c r="Q112" s="2735"/>
      <c r="R112" s="2721"/>
      <c r="S112" s="2721"/>
      <c r="T112" s="2721"/>
      <c r="U112" s="2721"/>
      <c r="V112" s="2721"/>
      <c r="W112" s="2721"/>
      <c r="X112" s="2721"/>
      <c r="Y112" s="2721"/>
      <c r="Z112" s="2721"/>
      <c r="AA112" s="2721"/>
      <c r="AB112" s="2721"/>
      <c r="AC112" s="2721"/>
    </row>
    <row r="113" spans="1:29" s="419" customFormat="1" ht="15" thickTop="1">
      <c r="A113" s="539"/>
      <c r="B113" s="484" t="s">
        <v>1824</v>
      </c>
      <c r="C113" s="500"/>
      <c r="D113" s="500"/>
      <c r="E113" s="500"/>
      <c r="F113" s="500"/>
      <c r="G113" s="500"/>
      <c r="H113" s="529"/>
      <c r="I113" s="529"/>
      <c r="J113" s="529"/>
      <c r="K113" s="530"/>
      <c r="L113" s="531"/>
      <c r="M113" s="532"/>
      <c r="N113" s="2751"/>
      <c r="O113" s="2751"/>
      <c r="P113" s="2759"/>
      <c r="Q113" s="2742"/>
      <c r="R113" s="2743"/>
      <c r="S113" s="2743"/>
      <c r="T113" s="2743"/>
      <c r="U113" s="2743"/>
      <c r="V113" s="2743"/>
      <c r="W113" s="2743"/>
      <c r="X113" s="2743"/>
      <c r="Y113" s="2743"/>
      <c r="Z113" s="2743"/>
      <c r="AA113" s="2743"/>
      <c r="AB113" s="2743"/>
      <c r="AC113" s="2743"/>
    </row>
    <row r="114" spans="1:29" s="419" customFormat="1" ht="15.75" thickBot="1">
      <c r="A114" s="499"/>
      <c r="B114" s="489"/>
      <c r="C114" s="490">
        <v>100</v>
      </c>
      <c r="D114" s="490">
        <f>C114-$K38</f>
        <v>100</v>
      </c>
      <c r="E114" s="490">
        <f t="shared" ref="E114:M114" si="45">D114-$K38</f>
        <v>100</v>
      </c>
      <c r="F114" s="490">
        <f t="shared" si="45"/>
        <v>100</v>
      </c>
      <c r="G114" s="490">
        <f t="shared" si="45"/>
        <v>100</v>
      </c>
      <c r="H114" s="490">
        <f t="shared" si="45"/>
        <v>100</v>
      </c>
      <c r="I114" s="490">
        <f t="shared" si="45"/>
        <v>100</v>
      </c>
      <c r="J114" s="490">
        <f t="shared" si="45"/>
        <v>100</v>
      </c>
      <c r="K114" s="490">
        <f t="shared" si="45"/>
        <v>100</v>
      </c>
      <c r="L114" s="490">
        <f t="shared" si="45"/>
        <v>100</v>
      </c>
      <c r="M114" s="490">
        <f t="shared" si="45"/>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5"/>
      <c r="B115" s="484" t="s">
        <v>1741</v>
      </c>
      <c r="C115" s="3553" t="s">
        <v>3773</v>
      </c>
      <c r="D115" s="3553" t="s">
        <v>3774</v>
      </c>
      <c r="E115" s="529"/>
      <c r="F115" s="529"/>
      <c r="G115" s="529"/>
      <c r="H115" s="529"/>
      <c r="I115" s="529"/>
      <c r="J115" s="529"/>
      <c r="K115" s="530"/>
      <c r="L115" s="531"/>
      <c r="M115" s="532"/>
      <c r="N115" s="2749"/>
      <c r="O115" s="2749"/>
      <c r="P115" s="2758"/>
      <c r="Q115" s="2735"/>
      <c r="R115" s="2721"/>
      <c r="S115" s="2721"/>
      <c r="T115" s="2721"/>
      <c r="U115" s="2721"/>
      <c r="V115" s="2721"/>
      <c r="W115" s="2721"/>
      <c r="X115" s="2721"/>
      <c r="Y115" s="2721"/>
      <c r="Z115" s="2721"/>
      <c r="AA115" s="2721"/>
      <c r="AB115" s="2721"/>
      <c r="AC115" s="2721"/>
    </row>
    <row r="116" spans="1:29" ht="15.75" thickBot="1">
      <c r="A116" s="480"/>
      <c r="B116" s="489"/>
      <c r="C116" s="490">
        <v>100</v>
      </c>
      <c r="D116" s="490">
        <f t="shared" ref="D116:M116" si="46">C116-$K39</f>
        <v>98</v>
      </c>
      <c r="E116" s="490">
        <f t="shared" si="46"/>
        <v>96</v>
      </c>
      <c r="F116" s="490">
        <f t="shared" si="46"/>
        <v>94</v>
      </c>
      <c r="G116" s="490">
        <f t="shared" si="46"/>
        <v>92</v>
      </c>
      <c r="H116" s="490">
        <f t="shared" si="46"/>
        <v>90</v>
      </c>
      <c r="I116" s="490">
        <f t="shared" si="46"/>
        <v>88</v>
      </c>
      <c r="J116" s="490">
        <f t="shared" si="46"/>
        <v>86</v>
      </c>
      <c r="K116" s="490">
        <f t="shared" si="46"/>
        <v>84</v>
      </c>
      <c r="L116" s="490">
        <f t="shared" si="46"/>
        <v>82</v>
      </c>
      <c r="M116" s="491">
        <f t="shared" si="46"/>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5"/>
      <c r="B117" s="484" t="s">
        <v>1742</v>
      </c>
      <c r="C117" s="500" t="s">
        <v>3757</v>
      </c>
      <c r="D117" s="500" t="s">
        <v>3775</v>
      </c>
      <c r="E117" s="500" t="s">
        <v>3776</v>
      </c>
      <c r="F117" s="500" t="s">
        <v>3777</v>
      </c>
      <c r="G117" s="500" t="s">
        <v>3778</v>
      </c>
      <c r="H117" s="529"/>
      <c r="I117" s="529"/>
      <c r="J117" s="529"/>
      <c r="K117" s="530"/>
      <c r="L117" s="531"/>
      <c r="M117" s="532"/>
      <c r="N117" s="2749"/>
      <c r="O117" s="2749"/>
      <c r="P117" s="2758"/>
      <c r="Q117" s="2735"/>
      <c r="R117" s="2721"/>
      <c r="S117" s="2721"/>
      <c r="T117" s="2721"/>
      <c r="U117" s="2721"/>
      <c r="V117" s="2721"/>
      <c r="W117" s="2721"/>
      <c r="X117" s="2721"/>
      <c r="Y117" s="2721"/>
      <c r="Z117" s="2721"/>
      <c r="AA117" s="2721"/>
      <c r="AB117" s="2721"/>
      <c r="AC117" s="2721"/>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50"/>
      <c r="O118" s="2750"/>
      <c r="P118" s="2758"/>
      <c r="Q118" s="2735"/>
      <c r="R118" s="2721"/>
      <c r="S118" s="2721"/>
      <c r="T118" s="2721"/>
      <c r="U118" s="2721"/>
      <c r="V118" s="2721"/>
      <c r="W118" s="2721"/>
      <c r="X118" s="2721"/>
      <c r="Y118" s="2721"/>
      <c r="Z118" s="2721"/>
      <c r="AA118" s="2721"/>
      <c r="AB118" s="2721"/>
      <c r="AC118" s="2721"/>
    </row>
    <row r="119" spans="1:29" ht="15" thickTop="1">
      <c r="A119" s="545"/>
      <c r="B119" s="581" t="s">
        <v>1825</v>
      </c>
      <c r="C119" s="529"/>
      <c r="D119" s="529"/>
      <c r="E119" s="529"/>
      <c r="F119" s="529"/>
      <c r="G119" s="529"/>
      <c r="H119" s="529"/>
      <c r="I119" s="529"/>
      <c r="J119" s="529"/>
      <c r="K119" s="529"/>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0"/>
      <c r="B120" s="489"/>
      <c r="C120" s="528">
        <v>100</v>
      </c>
      <c r="D120" s="490">
        <f>C120-$K41</f>
        <v>100</v>
      </c>
      <c r="E120" s="490">
        <f t="shared" ref="E120:M120" si="47">D120-$K41</f>
        <v>100</v>
      </c>
      <c r="F120" s="490">
        <f t="shared" si="47"/>
        <v>100</v>
      </c>
      <c r="G120" s="490">
        <f t="shared" si="47"/>
        <v>100</v>
      </c>
      <c r="H120" s="490">
        <f t="shared" si="47"/>
        <v>100</v>
      </c>
      <c r="I120" s="490">
        <f t="shared" si="47"/>
        <v>100</v>
      </c>
      <c r="J120" s="490">
        <f t="shared" si="47"/>
        <v>100</v>
      </c>
      <c r="K120" s="490">
        <f t="shared" si="47"/>
        <v>100</v>
      </c>
      <c r="L120" s="490">
        <f t="shared" si="47"/>
        <v>100</v>
      </c>
      <c r="M120" s="490">
        <f t="shared" si="47"/>
        <v>100</v>
      </c>
      <c r="N120" s="2750"/>
      <c r="O120" s="2750"/>
      <c r="P120" s="2758"/>
      <c r="Q120" s="2735"/>
      <c r="R120" s="2721"/>
      <c r="S120" s="2721"/>
      <c r="T120" s="2721"/>
      <c r="U120" s="2721"/>
      <c r="V120" s="2721"/>
      <c r="W120" s="2721"/>
      <c r="X120" s="2721"/>
      <c r="Y120" s="2721"/>
      <c r="Z120" s="2721"/>
      <c r="AA120" s="2721"/>
      <c r="AB120" s="2721"/>
      <c r="AC120" s="2721"/>
    </row>
    <row r="121" spans="1:29" s="419" customFormat="1" ht="15" thickTop="1">
      <c r="A121" s="539"/>
      <c r="B121" s="484" t="s">
        <v>1808</v>
      </c>
      <c r="C121" s="500"/>
      <c r="D121" s="500"/>
      <c r="E121" s="500"/>
      <c r="F121" s="529"/>
      <c r="G121" s="501"/>
      <c r="H121" s="501"/>
      <c r="I121" s="501"/>
      <c r="J121" s="501"/>
      <c r="K121" s="501"/>
      <c r="L121" s="502"/>
      <c r="M121" s="503"/>
      <c r="N121" s="2751"/>
      <c r="O121" s="2751"/>
      <c r="P121" s="2759"/>
      <c r="Q121" s="2742"/>
      <c r="R121" s="2743"/>
      <c r="S121" s="2743"/>
      <c r="T121" s="2743"/>
      <c r="U121" s="2743"/>
      <c r="V121" s="2743"/>
      <c r="W121" s="2743"/>
      <c r="X121" s="2743"/>
      <c r="Y121" s="2743"/>
      <c r="Z121" s="2743"/>
      <c r="AA121" s="2743"/>
      <c r="AB121" s="2743"/>
      <c r="AC121" s="2743"/>
    </row>
    <row r="122" spans="1:29" s="419" customFormat="1" ht="15.75" thickBot="1">
      <c r="A122" s="499"/>
      <c r="B122" s="481"/>
      <c r="C122" s="506"/>
      <c r="D122" s="506"/>
      <c r="E122" s="506"/>
      <c r="F122" s="506"/>
      <c r="G122" s="506"/>
      <c r="H122" s="506"/>
      <c r="I122" s="506"/>
      <c r="J122" s="506"/>
      <c r="K122" s="506"/>
      <c r="L122" s="506"/>
      <c r="M122" s="506"/>
      <c r="N122" s="2751"/>
      <c r="O122" s="2751"/>
      <c r="P122" s="2759"/>
      <c r="Q122" s="2742"/>
      <c r="R122" s="2743"/>
      <c r="S122" s="2743"/>
      <c r="T122" s="2743"/>
      <c r="U122" s="2743"/>
      <c r="V122" s="2743"/>
      <c r="W122" s="2743"/>
      <c r="X122" s="2743"/>
      <c r="Y122" s="2743"/>
      <c r="Z122" s="2743"/>
      <c r="AA122" s="2743"/>
      <c r="AB122" s="2743"/>
      <c r="AC122" s="2743"/>
    </row>
    <row r="123" spans="1:29" ht="15" thickTop="1">
      <c r="A123" s="545"/>
      <c r="B123" s="484" t="s">
        <v>1744</v>
      </c>
      <c r="C123" s="3553" t="s">
        <v>3769</v>
      </c>
      <c r="D123" s="3553" t="s">
        <v>3770</v>
      </c>
      <c r="E123" s="3553" t="s">
        <v>3771</v>
      </c>
      <c r="F123" s="3554" t="s">
        <v>3772</v>
      </c>
      <c r="G123" s="529"/>
      <c r="H123" s="529"/>
      <c r="I123" s="529"/>
      <c r="J123" s="529"/>
      <c r="K123" s="530"/>
      <c r="L123" s="531"/>
      <c r="M123" s="532"/>
      <c r="N123" s="2749"/>
      <c r="O123" s="2749"/>
      <c r="P123" s="2758"/>
      <c r="Q123" s="2735"/>
      <c r="R123" s="2721"/>
      <c r="S123" s="2721"/>
      <c r="T123" s="2721"/>
      <c r="U123" s="2721"/>
      <c r="V123" s="2721"/>
      <c r="W123" s="2721"/>
      <c r="X123" s="2721"/>
      <c r="Y123" s="2721"/>
      <c r="Z123" s="2721"/>
      <c r="AA123" s="2721"/>
      <c r="AB123" s="2721"/>
      <c r="AC123" s="2721"/>
    </row>
    <row r="124" spans="1:29" ht="15.75" thickBot="1">
      <c r="A124" s="480"/>
      <c r="B124" s="489"/>
      <c r="C124" s="490">
        <v>100</v>
      </c>
      <c r="D124" s="490">
        <f t="shared" ref="D124:M124" si="48">C124-$K43</f>
        <v>98</v>
      </c>
      <c r="E124" s="490">
        <f t="shared" si="48"/>
        <v>96</v>
      </c>
      <c r="F124" s="490">
        <f t="shared" si="48"/>
        <v>94</v>
      </c>
      <c r="G124" s="490">
        <f t="shared" si="48"/>
        <v>92</v>
      </c>
      <c r="H124" s="490">
        <f t="shared" si="48"/>
        <v>90</v>
      </c>
      <c r="I124" s="490">
        <f t="shared" si="48"/>
        <v>88</v>
      </c>
      <c r="J124" s="490">
        <f t="shared" si="48"/>
        <v>86</v>
      </c>
      <c r="K124" s="490">
        <f t="shared" si="48"/>
        <v>84</v>
      </c>
      <c r="L124" s="490">
        <f t="shared" si="48"/>
        <v>82</v>
      </c>
      <c r="M124" s="491">
        <f t="shared" si="48"/>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9"/>
      <c r="O125" s="2749"/>
      <c r="P125" s="2759"/>
      <c r="Q125" s="2735"/>
      <c r="R125" s="2721"/>
      <c r="S125" s="2721"/>
      <c r="T125" s="2721"/>
      <c r="U125" s="2721"/>
      <c r="V125" s="2721"/>
      <c r="W125" s="2721"/>
      <c r="X125" s="2721"/>
      <c r="Y125" s="2721"/>
      <c r="Z125" s="2721"/>
      <c r="AA125" s="2721"/>
      <c r="AB125" s="2721"/>
      <c r="AC125" s="2721"/>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50"/>
      <c r="O126" s="2750"/>
      <c r="P126" s="2758"/>
      <c r="Q126" s="2735"/>
      <c r="R126" s="2721"/>
      <c r="S126" s="2721"/>
      <c r="T126" s="2721"/>
      <c r="U126" s="2721"/>
      <c r="V126" s="2721"/>
      <c r="W126" s="2721"/>
      <c r="X126" s="2721"/>
      <c r="Y126" s="2721"/>
      <c r="Z126" s="2721"/>
      <c r="AA126" s="2721"/>
      <c r="AB126" s="2721"/>
      <c r="AC126" s="2721"/>
    </row>
    <row r="127" spans="1:29" s="419" customFormat="1" ht="15" thickTop="1">
      <c r="A127" s="539"/>
      <c r="B127" s="484" t="str">
        <f>B45</f>
        <v>地下面积占比</v>
      </c>
      <c r="C127" s="500"/>
      <c r="D127" s="500"/>
      <c r="E127" s="500"/>
      <c r="F127" s="500"/>
      <c r="G127" s="500"/>
      <c r="H127" s="501"/>
      <c r="I127" s="501"/>
      <c r="J127" s="501"/>
      <c r="K127" s="501"/>
      <c r="L127" s="502"/>
      <c r="M127" s="503"/>
      <c r="N127" s="2751"/>
      <c r="O127" s="2751"/>
      <c r="P127" s="2759"/>
      <c r="Q127" s="2742"/>
      <c r="R127" s="2743"/>
      <c r="S127" s="2743"/>
      <c r="T127" s="2743"/>
      <c r="U127" s="2743"/>
      <c r="V127" s="2743"/>
      <c r="W127" s="2743"/>
      <c r="X127" s="2743"/>
      <c r="Y127" s="2743"/>
      <c r="Z127" s="2743"/>
      <c r="AA127" s="2743"/>
      <c r="AB127" s="2743"/>
      <c r="AC127" s="2743"/>
    </row>
    <row r="128" spans="1:29" s="419" customFormat="1" ht="15.75" thickBot="1">
      <c r="A128" s="499"/>
      <c r="B128" s="489"/>
      <c r="C128" s="506"/>
      <c r="D128" s="482"/>
      <c r="E128" s="482"/>
      <c r="F128" s="482"/>
      <c r="G128" s="506"/>
      <c r="H128" s="508"/>
      <c r="I128" s="508"/>
      <c r="J128" s="508"/>
      <c r="K128" s="508"/>
      <c r="L128" s="508"/>
      <c r="M128" s="509"/>
      <c r="N128" s="2751"/>
      <c r="O128" s="2751"/>
      <c r="P128" s="2759"/>
      <c r="Q128" s="2742"/>
      <c r="R128" s="2743"/>
      <c r="S128" s="2743"/>
      <c r="T128" s="2743"/>
      <c r="U128" s="2743"/>
      <c r="V128" s="2743"/>
      <c r="W128" s="2743"/>
      <c r="X128" s="2743"/>
      <c r="Y128" s="2743"/>
      <c r="Z128" s="2743"/>
      <c r="AA128" s="2743"/>
      <c r="AB128" s="2743"/>
      <c r="AC128" s="2743"/>
    </row>
    <row r="129" spans="1:29" ht="15" thickTop="1">
      <c r="A129" s="545"/>
      <c r="B129" s="484" t="str">
        <f>B46</f>
        <v>地下面积占比</v>
      </c>
      <c r="C129" s="500" t="s">
        <v>3780</v>
      </c>
      <c r="D129" s="500" t="s">
        <v>3781</v>
      </c>
      <c r="E129" s="500" t="s">
        <v>3782</v>
      </c>
      <c r="F129" s="500" t="s">
        <v>3783</v>
      </c>
      <c r="G129" s="500" t="s">
        <v>3784</v>
      </c>
      <c r="H129" s="529"/>
      <c r="I129" s="529"/>
      <c r="J129" s="529"/>
      <c r="K129" s="530"/>
      <c r="L129" s="531"/>
      <c r="M129" s="532"/>
      <c r="N129" s="2749"/>
      <c r="O129" s="2749"/>
      <c r="P129" s="2758"/>
      <c r="Q129" s="2735"/>
      <c r="R129" s="2721"/>
      <c r="S129" s="2721"/>
      <c r="T129" s="2721"/>
      <c r="U129" s="2721"/>
      <c r="V129" s="2721"/>
      <c r="W129" s="2721"/>
      <c r="X129" s="2721"/>
      <c r="Y129" s="2721"/>
      <c r="Z129" s="2721"/>
      <c r="AA129" s="2721"/>
      <c r="AB129" s="2721"/>
      <c r="AC129" s="2721"/>
    </row>
    <row r="130" spans="1:29" ht="15.75" thickBot="1">
      <c r="A130" s="480"/>
      <c r="B130" s="489"/>
      <c r="C130" s="506">
        <v>100</v>
      </c>
      <c r="D130" s="482">
        <v>96</v>
      </c>
      <c r="E130" s="482">
        <v>92</v>
      </c>
      <c r="F130" s="482">
        <v>88</v>
      </c>
      <c r="G130" s="482">
        <v>80</v>
      </c>
      <c r="H130" s="506"/>
      <c r="I130" s="506"/>
      <c r="J130" s="482"/>
      <c r="K130" s="482"/>
      <c r="L130" s="482"/>
      <c r="M130" s="483"/>
      <c r="N130" s="2750"/>
      <c r="O130" s="2750"/>
      <c r="P130" s="2758"/>
      <c r="Q130" s="2735"/>
      <c r="R130" s="2721"/>
      <c r="S130" s="2721"/>
      <c r="T130" s="2721"/>
      <c r="U130" s="2721"/>
      <c r="V130" s="2721"/>
      <c r="W130" s="2721"/>
      <c r="X130" s="2721"/>
      <c r="Y130" s="2721"/>
      <c r="Z130" s="2721"/>
      <c r="AA130" s="2721"/>
      <c r="AB130" s="2721"/>
      <c r="AC130" s="2721"/>
    </row>
    <row r="131" spans="1:29" ht="15" thickTop="1">
      <c r="A131" s="545"/>
      <c r="B131" s="492">
        <f>B47</f>
        <v>111</v>
      </c>
      <c r="C131" s="469"/>
      <c r="D131" s="469"/>
      <c r="E131" s="469"/>
      <c r="F131" s="469"/>
      <c r="G131" s="533"/>
      <c r="H131" s="533"/>
      <c r="I131" s="533"/>
      <c r="J131" s="533"/>
      <c r="K131" s="469"/>
      <c r="L131" s="470"/>
      <c r="M131" s="536"/>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5"/>
      <c r="C132" s="516"/>
      <c r="D132" s="516"/>
      <c r="E132" s="516"/>
      <c r="F132" s="516"/>
      <c r="G132" s="537"/>
      <c r="H132" s="537"/>
      <c r="I132" s="537"/>
      <c r="J132" s="537"/>
      <c r="K132" s="537"/>
      <c r="L132" s="537"/>
      <c r="M132" s="538"/>
      <c r="N132" s="2750"/>
      <c r="O132" s="2750"/>
      <c r="P132" s="2758"/>
      <c r="Q132" s="2735"/>
      <c r="R132" s="2721"/>
      <c r="S132" s="2721"/>
      <c r="T132" s="2721"/>
      <c r="U132" s="2721"/>
      <c r="V132" s="2721"/>
      <c r="W132" s="2721"/>
      <c r="X132" s="2721"/>
      <c r="Y132" s="2721"/>
      <c r="Z132" s="2721"/>
      <c r="AA132" s="2721"/>
      <c r="AB132" s="2721"/>
      <c r="AC132" s="2721"/>
    </row>
    <row r="135" spans="1:29">
      <c r="E135" s="354">
        <v>40</v>
      </c>
      <c r="F135" s="354">
        <v>20</v>
      </c>
    </row>
    <row r="136" spans="1:29">
      <c r="E136" s="354">
        <v>30</v>
      </c>
      <c r="F136" s="354">
        <f>E136/(50/20)</f>
        <v>12</v>
      </c>
    </row>
    <row r="137" spans="1:29">
      <c r="E137" s="354">
        <v>20</v>
      </c>
      <c r="F137" s="354">
        <f>E137/(50/20)</f>
        <v>8</v>
      </c>
    </row>
    <row r="138" spans="1:29">
      <c r="E138" s="354">
        <v>10</v>
      </c>
      <c r="F138" s="354">
        <f>E138/(50/20)</f>
        <v>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6"/>
      <c r="C1" s="1855" t="s">
        <v>1563</v>
      </c>
      <c r="D1" s="195"/>
      <c r="E1" s="195"/>
      <c r="F1" s="195"/>
      <c r="G1" s="1122">
        <f>MATCH(B1,'数据-取费表'!A6:A16,0)+5</f>
        <v>9</v>
      </c>
      <c r="H1" s="1057" t="str">
        <f>IF(ISERROR(FIND("住宅",B1)),"非住宅","住宅")</f>
        <v>非住宅</v>
      </c>
    </row>
    <row r="2" spans="1:8" s="197" customFormat="1" ht="18" customHeight="1">
      <c r="A2" s="198" t="s">
        <v>1462</v>
      </c>
      <c r="B2" s="3420">
        <f ca="1">ROUND(IF(D2="——",C52/10000,C52/10000-E2),4)</f>
        <v>260654.76180000001</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8223</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50714878</v>
      </c>
      <c r="D5" s="208" t="s">
        <v>1469</v>
      </c>
      <c r="E5" s="209" t="s">
        <v>1470</v>
      </c>
      <c r="F5" s="209" t="s">
        <v>1471</v>
      </c>
      <c r="G5" s="210"/>
    </row>
    <row r="6" spans="1:8" s="211" customFormat="1" ht="13.5" customHeight="1">
      <c r="A6" s="774" t="s">
        <v>1472</v>
      </c>
      <c r="B6" s="212" t="s">
        <v>1473</v>
      </c>
      <c r="C6" s="213"/>
      <c r="D6" s="214"/>
      <c r="E6" s="215"/>
      <c r="F6" s="215"/>
      <c r="G6" s="216"/>
    </row>
    <row r="7" spans="1:8" s="211" customFormat="1" ht="13.5" customHeight="1">
      <c r="A7" s="774" t="s">
        <v>1474</v>
      </c>
      <c r="B7" s="212" t="s">
        <v>1475</v>
      </c>
      <c r="C7" s="217">
        <f>ROUND(C6*F7,0)</f>
        <v>0</v>
      </c>
      <c r="D7" s="217"/>
      <c r="E7" s="215"/>
      <c r="F7" s="218">
        <f>IF(项目基本情况!B8="出让",0,'数据-取费表'!B48+'数据-取费表'!B49)</f>
        <v>3.0499999999999999E-2</v>
      </c>
      <c r="G7" s="216"/>
    </row>
    <row r="8" spans="1:8" s="220" customFormat="1">
      <c r="A8" s="774" t="s">
        <v>1476</v>
      </c>
      <c r="B8" s="212" t="s">
        <v>1477</v>
      </c>
      <c r="C8" s="217">
        <f ca="1">IF(G8="已包含在土地购买价格中",0,C9+C10)</f>
        <v>50714878</v>
      </c>
      <c r="D8" s="219"/>
      <c r="E8" s="217"/>
      <c r="F8" s="218"/>
      <c r="G8" s="1852"/>
    </row>
    <row r="9" spans="1:8" s="211" customFormat="1" ht="13.5" customHeight="1">
      <c r="A9" s="775" t="s">
        <v>355</v>
      </c>
      <c r="B9" s="221" t="s">
        <v>1478</v>
      </c>
      <c r="C9" s="222">
        <f ca="1">ROUND(D9*E9,0)</f>
        <v>0</v>
      </c>
      <c r="D9" s="841">
        <f ca="1">IF(B1="",'数据-汇总表'!E5,IF(INDIRECT("'数据-取费表'!c"&amp;$G$1)="住宅",INDIRECT("'数据-取费表'!k"&amp;$G$1),0))</f>
        <v>0</v>
      </c>
      <c r="E9" s="222">
        <f>'数据-取费表'!B27</f>
        <v>200</v>
      </c>
      <c r="F9" s="218"/>
      <c r="G9" s="223"/>
    </row>
    <row r="10" spans="1:8" s="211" customFormat="1" ht="13.5" customHeight="1">
      <c r="A10" s="775" t="s">
        <v>356</v>
      </c>
      <c r="B10" s="221" t="s">
        <v>1480</v>
      </c>
      <c r="C10" s="222">
        <f ca="1">ROUND(D10*E10,0)</f>
        <v>50714878</v>
      </c>
      <c r="D10" s="841">
        <f ca="1">IF(B1="",'数据-汇总表'!E6,IF(INDIRECT("'数据-取费表'!c"&amp;$G$1)="住宅",INDIRECT("'数据-取费表'!s"&amp;$G$1),INDIRECT("'数据-取费表'!k"&amp;$G$1)+INDIRECT("'数据-取费表'!s"&amp;$G$1)))</f>
        <v>316967.99</v>
      </c>
      <c r="E10" s="222">
        <f>'数据-取费表'!B28</f>
        <v>160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f ca="1">IF(G19="已包含在土地取得成本中","0",ROUND(D19*E19,0))</f>
        <v>63393598</v>
      </c>
      <c r="D19" s="845">
        <f ca="1">D9+D10</f>
        <v>316967.99</v>
      </c>
      <c r="E19" s="208">
        <f>'数据-取费表'!B31</f>
        <v>200</v>
      </c>
      <c r="F19" s="228"/>
      <c r="G19" s="1852"/>
    </row>
    <row r="20" spans="1:7" s="211" customFormat="1" ht="13.5" customHeight="1">
      <c r="A20" s="252" t="s">
        <v>1574</v>
      </c>
      <c r="B20" s="207" t="s">
        <v>1575</v>
      </c>
      <c r="C20" s="229">
        <f ca="1">ROUND((C5+C19)*F20,0)</f>
        <v>3423254</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3">
        <f ca="1">ROUND(SUM(C23:C25),0)</f>
        <v>10246232</v>
      </c>
      <c r="D22" s="232">
        <f ca="1">C26</f>
        <v>8.9999999999999998E-4</v>
      </c>
      <c r="E22" s="233" t="s">
        <v>1579</v>
      </c>
      <c r="F22" s="234">
        <f ca="1">'数据-取费表'!B40</f>
        <v>3.4500000000000003E-2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4487988</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5609985</v>
      </c>
      <c r="D24" s="235"/>
      <c r="E24" s="235"/>
      <c r="F24" s="236"/>
      <c r="G24" s="237" t="s">
        <v>1586</v>
      </c>
    </row>
    <row r="25" spans="1:7" s="211" customFormat="1" ht="24">
      <c r="A25" s="776" t="s">
        <v>1476</v>
      </c>
      <c r="B25" s="212" t="s">
        <v>1587</v>
      </c>
      <c r="C25" s="1124">
        <f ca="1">ROUND(IF('数据-取费表'!B22&lt;=1,C20*F22*'数据-取费表'!B22/2,C20*(POWER((1+F22),'数据-取费表'!B22/2)-1)),0)</f>
        <v>148259</v>
      </c>
      <c r="D25" s="235"/>
      <c r="E25" s="238"/>
      <c r="F25" s="236"/>
      <c r="G25" s="239" t="s">
        <v>1588</v>
      </c>
    </row>
    <row r="26" spans="1:7" s="211" customFormat="1">
      <c r="A26" s="776" t="s">
        <v>350</v>
      </c>
      <c r="B26" s="212" t="s">
        <v>1511</v>
      </c>
      <c r="C26" s="235">
        <f ca="1">ROUND(IF('数据-取费表'!B22&lt;=1,F21*F22*'数据-取费表'!B22/2,F21*(POWER((1+F22),'数据-取费表'!B22/2)-1)),4)</f>
        <v>8.9999999999999998E-4</v>
      </c>
      <c r="D26" s="235"/>
      <c r="E26" s="238"/>
      <c r="F26" s="236"/>
      <c r="G26" s="240"/>
    </row>
    <row r="27" spans="1:7" s="211" customFormat="1" ht="24.75">
      <c r="A27" s="252" t="s">
        <v>1512</v>
      </c>
      <c r="B27" s="241" t="s">
        <v>1513</v>
      </c>
      <c r="C27" s="242">
        <f ca="1">C28</f>
        <v>16454442</v>
      </c>
      <c r="D27" s="232">
        <f ca="1">C29</f>
        <v>2.8E-3</v>
      </c>
      <c r="E27" s="233" t="s">
        <v>1514</v>
      </c>
      <c r="F27" s="243">
        <f ca="1">IF(B1="",'数据-取费表'!Q16,INDIRECT("'数据-取费表'!q"&amp;$G$1))</f>
        <v>0.14000000000000001</v>
      </c>
      <c r="G27" s="244" t="s">
        <v>1515</v>
      </c>
    </row>
    <row r="28" spans="1:7" s="211" customFormat="1" ht="13.5" customHeight="1">
      <c r="A28" s="776" t="s">
        <v>346</v>
      </c>
      <c r="B28" s="245" t="s">
        <v>1516</v>
      </c>
      <c r="C28" s="246">
        <f ca="1">ROUND((C5+C19+C20)*F27,0)</f>
        <v>16454442</v>
      </c>
      <c r="D28" s="232"/>
      <c r="E28" s="233"/>
      <c r="F28" s="243"/>
      <c r="G28" s="244"/>
    </row>
    <row r="29" spans="1:7" s="211" customFormat="1" ht="13.5" customHeight="1">
      <c r="A29" s="776" t="s">
        <v>347</v>
      </c>
      <c r="B29" s="245" t="s">
        <v>1517</v>
      </c>
      <c r="C29" s="235">
        <f ca="1">ROUND(C21*F27,4)</f>
        <v>2.8E-3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156112571</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2135076162</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1936151929</v>
      </c>
      <c r="D34" s="214"/>
      <c r="E34" s="217"/>
      <c r="F34" s="254"/>
      <c r="G34" s="216"/>
    </row>
    <row r="35" spans="1:7" ht="13.5" customHeight="1">
      <c r="A35" s="776" t="s">
        <v>351</v>
      </c>
      <c r="B35" s="212" t="s">
        <v>1527</v>
      </c>
      <c r="C35" s="217">
        <f ca="1">ROUND(C34*F35,0)</f>
        <v>96807596</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6" t="s">
        <v>353</v>
      </c>
      <c r="B37" s="212" t="s">
        <v>1531</v>
      </c>
      <c r="C37" s="246">
        <f ca="1">ROUND(E37*D37,0)</f>
        <v>63393598</v>
      </c>
      <c r="D37" s="214">
        <f ca="1">D19</f>
        <v>316967.99</v>
      </c>
      <c r="E37" s="246">
        <f>'数据-取费表'!B35</f>
        <v>200</v>
      </c>
      <c r="F37" s="256"/>
      <c r="G37" s="258"/>
    </row>
    <row r="38" spans="1:7" ht="13.5" customHeight="1">
      <c r="A38" s="776" t="s">
        <v>354</v>
      </c>
      <c r="B38" s="212" t="s">
        <v>1533</v>
      </c>
      <c r="C38" s="217">
        <f ca="1">ROUND(C34*F38,0)</f>
        <v>38723039</v>
      </c>
      <c r="D38" s="217"/>
      <c r="E38" s="217"/>
      <c r="F38" s="256">
        <f>'数据-取费表'!B36</f>
        <v>0.02</v>
      </c>
      <c r="G38" s="216" t="s">
        <v>1528</v>
      </c>
    </row>
    <row r="39" spans="1:7" s="211" customFormat="1" ht="13.5" customHeight="1">
      <c r="A39" s="252" t="s">
        <v>1534</v>
      </c>
      <c r="B39" s="207" t="s">
        <v>1535</v>
      </c>
      <c r="C39" s="229">
        <f ca="1">ROUND(C33*F20,0)</f>
        <v>64052285</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95242926</v>
      </c>
      <c r="D41" s="232">
        <f ca="1">C44</f>
        <v>8.9999999999999998E-4</v>
      </c>
      <c r="E41" s="233" t="s">
        <v>1539</v>
      </c>
      <c r="F41" s="234">
        <f ca="1">F22</f>
        <v>3.4500000000000003E-2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92468860</v>
      </c>
      <c r="D42" s="235"/>
      <c r="E42" s="235"/>
      <c r="F42" s="236"/>
      <c r="G42" s="3796" t="s">
        <v>1591</v>
      </c>
    </row>
    <row r="43" spans="1:7" ht="13.5" customHeight="1">
      <c r="A43" s="776" t="s">
        <v>347</v>
      </c>
      <c r="B43" s="212" t="s">
        <v>1545</v>
      </c>
      <c r="C43" s="235">
        <f ca="1">ROUND(IF('数据-取费表'!B22&lt;=1,C39*F22*'数据-取费表'!B20/2,C39*(POWER((1+F22),'数据-取费表'!B20/2)-1)),0)</f>
        <v>2774066</v>
      </c>
      <c r="D43" s="235"/>
      <c r="E43" s="235"/>
      <c r="F43" s="236"/>
      <c r="G43" s="3797"/>
    </row>
    <row r="44" spans="1:7" ht="13.5" customHeight="1">
      <c r="A44" s="776" t="s">
        <v>348</v>
      </c>
      <c r="B44" s="212" t="s">
        <v>1546</v>
      </c>
      <c r="C44" s="235">
        <f ca="1">ROUND(IF('数据-取费表'!B22&lt;=1,C40*F22*'数据-取费表'!B20/2,C40*(POWER((1+F22),'数据-取费表'!B20/2)-1)),4)</f>
        <v>8.9999999999999998E-4</v>
      </c>
      <c r="D44" s="235"/>
      <c r="E44" s="235"/>
      <c r="F44" s="236"/>
      <c r="G44" s="3798"/>
    </row>
    <row r="45" spans="1:7" s="211" customFormat="1" ht="13.5" customHeight="1">
      <c r="A45" s="252" t="s">
        <v>1547</v>
      </c>
      <c r="B45" s="241" t="s">
        <v>1513</v>
      </c>
      <c r="C45" s="242">
        <f ca="1">C46</f>
        <v>307877983</v>
      </c>
      <c r="D45" s="232">
        <f ca="1">C47</f>
        <v>2.8E-3</v>
      </c>
      <c r="E45" s="233" t="s">
        <v>1539</v>
      </c>
      <c r="F45" s="243">
        <f ca="1">F27</f>
        <v>0.14000000000000001</v>
      </c>
      <c r="G45" s="244" t="s">
        <v>1548</v>
      </c>
    </row>
    <row r="46" spans="1:7" s="211" customFormat="1" ht="13.5" customHeight="1">
      <c r="A46" s="776" t="s">
        <v>346</v>
      </c>
      <c r="B46" s="245" t="s">
        <v>1549</v>
      </c>
      <c r="C46" s="246">
        <f ca="1">ROUND((C33+C39)*F27,0)</f>
        <v>307877983</v>
      </c>
      <c r="D46" s="260"/>
      <c r="E46" s="233"/>
      <c r="F46" s="243"/>
      <c r="G46" s="244"/>
    </row>
    <row r="47" spans="1:7" s="211" customFormat="1" ht="13.5" customHeight="1">
      <c r="A47" s="776" t="s">
        <v>347</v>
      </c>
      <c r="B47" s="245" t="s">
        <v>1550</v>
      </c>
      <c r="C47" s="235">
        <f ca="1">ROUND(C40*F27,4)</f>
        <v>2.8E-3</v>
      </c>
      <c r="D47" s="260"/>
      <c r="E47" s="233"/>
      <c r="F47" s="243"/>
      <c r="G47" s="244"/>
    </row>
    <row r="48" spans="1:7" s="211" customFormat="1" ht="13.5" customHeight="1">
      <c r="A48" s="252" t="s">
        <v>1512</v>
      </c>
      <c r="B48" s="207" t="s">
        <v>1551</v>
      </c>
      <c r="C48" s="259">
        <f>ROUND(F30/(1+'数据-取费表'!C42),4)</f>
        <v>5.2400000000000002E-2</v>
      </c>
      <c r="D48" s="233" t="s">
        <v>1539</v>
      </c>
      <c r="E48" s="229"/>
      <c r="F48" s="234">
        <f>F30</f>
        <v>5.5000000000000007E-2</v>
      </c>
      <c r="G48" s="231" t="s">
        <v>1552</v>
      </c>
    </row>
    <row r="49" spans="1:7" ht="16.5" customHeight="1">
      <c r="A49" s="252" t="s">
        <v>1518</v>
      </c>
      <c r="B49" s="207" t="s">
        <v>1592</v>
      </c>
      <c r="C49" s="229">
        <f ca="1">ROUND((C33+C39+C41+C45)/(1-C40-D41-D45-C48),0)</f>
        <v>2816592008</v>
      </c>
      <c r="D49" s="229"/>
      <c r="E49" s="229"/>
      <c r="F49" s="261"/>
      <c r="G49" s="231" t="s">
        <v>1554</v>
      </c>
    </row>
    <row r="50" spans="1:7" s="255" customFormat="1">
      <c r="A50" s="252" t="s">
        <v>1555</v>
      </c>
      <c r="B50" s="207" t="s">
        <v>1556</v>
      </c>
      <c r="C50" s="229"/>
      <c r="D50" s="229"/>
      <c r="E50" s="229"/>
      <c r="F50" s="261">
        <f>IF('数据-取费表'!B24=0,'数据-取费表'!N16,1)</f>
        <v>0.87</v>
      </c>
      <c r="G50" s="244"/>
    </row>
    <row r="51" spans="1:7" ht="16.5" customHeight="1">
      <c r="A51" s="252" t="s">
        <v>1558</v>
      </c>
      <c r="B51" s="207" t="s">
        <v>1593</v>
      </c>
      <c r="C51" s="229">
        <f ca="1">ROUND(C49*F50,0)</f>
        <v>2450435047</v>
      </c>
      <c r="D51" s="229"/>
      <c r="E51" s="229"/>
      <c r="F51" s="261"/>
      <c r="G51" s="231" t="s">
        <v>1560</v>
      </c>
    </row>
    <row r="52" spans="1:7" s="205" customFormat="1" ht="16.5" thickBot="1">
      <c r="A52" s="262" t="s">
        <v>1561</v>
      </c>
      <c r="B52" s="263"/>
      <c r="C52" s="264">
        <f ca="1">C31+C51</f>
        <v>2606547618</v>
      </c>
      <c r="D52" s="263"/>
      <c r="E52" s="263"/>
      <c r="F52" s="263"/>
      <c r="G52" s="265"/>
    </row>
    <row r="55" spans="1:7" ht="15">
      <c r="B55" s="267" t="s">
        <v>1562</v>
      </c>
      <c r="C55" s="268"/>
    </row>
    <row r="56" spans="1:7">
      <c r="B56" s="270" t="s">
        <v>802</v>
      </c>
      <c r="C56" s="272">
        <f ca="1">1-C57</f>
        <v>6.0000000000000053E-2</v>
      </c>
    </row>
    <row r="57" spans="1:7">
      <c r="B57" s="270" t="s">
        <v>803</v>
      </c>
      <c r="C57" s="271">
        <f ca="1">ROUND(C51/C52,3)</f>
        <v>0.94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802"/>
      <c r="F1" s="2802"/>
      <c r="G1" s="2667"/>
      <c r="H1" s="2802"/>
      <c r="I1" s="2802"/>
      <c r="J1" s="2802"/>
      <c r="K1" s="2803">
        <f>MATCH(C1,'数据-取费表'!A6:A16,0)+5</f>
        <v>9</v>
      </c>
    </row>
    <row r="2" spans="1:33" ht="18" customHeight="1">
      <c r="A2" s="198" t="s">
        <v>1462</v>
      </c>
      <c r="B2" s="201">
        <f ca="1">C32</f>
        <v>0</v>
      </c>
      <c r="C2" s="273" t="s">
        <v>1595</v>
      </c>
      <c r="D2" s="273"/>
      <c r="E2" s="2802"/>
      <c r="F2" s="2802"/>
      <c r="G2" s="2802"/>
      <c r="H2" s="2802"/>
      <c r="I2" s="2802"/>
      <c r="J2" s="2802"/>
      <c r="K2" s="2802"/>
    </row>
    <row r="3" spans="1:33" ht="18" customHeight="1" thickBot="1">
      <c r="A3" s="200" t="s">
        <v>1464</v>
      </c>
      <c r="B3" s="201">
        <f ca="1">ROUND(B2*10000/IF(C1="",'数据-汇总表'!E3,INDIRECT("'数据-取费表'!K"&amp;$K$1)),0)</f>
        <v>0</v>
      </c>
      <c r="C3" s="273" t="s">
        <v>1596</v>
      </c>
      <c r="D3" s="273"/>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8"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316967.99</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28"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8"/>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316967.99</v>
      </c>
      <c r="E17" s="21">
        <f>'数据-取费表'!B32</f>
        <v>0</v>
      </c>
      <c r="F17" s="802"/>
      <c r="G17" s="128"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200</v>
      </c>
      <c r="F19" s="800"/>
      <c r="G19" s="12"/>
      <c r="H19" s="1185"/>
      <c r="I19" s="805"/>
      <c r="J19" s="805"/>
      <c r="K19" s="806"/>
    </row>
    <row r="20" spans="1:33" s="799" customFormat="1" ht="13.5" customHeight="1">
      <c r="A20" s="796" t="s">
        <v>361</v>
      </c>
      <c r="B20" s="797" t="s">
        <v>1627</v>
      </c>
      <c r="C20" s="21">
        <f ca="1">ROUND(D20*E20/10000,0)</f>
        <v>5071</v>
      </c>
      <c r="D20" s="842">
        <f ca="1">IF(C1="",'数据-汇总表'!E6,IF(INDIRECT("'数据-取费表'!c"&amp;$K$1)="住宅",INDIRECT("'数据-取费表'!s"&amp;$K$1),INDIRECT("'数据-取费表'!k"&amp;$K$1)+INDIRECT("'数据-取费表'!s"&amp;$K$1)))</f>
        <v>316967.99</v>
      </c>
      <c r="E20" s="21">
        <f>'数据-取费表'!B28</f>
        <v>160</v>
      </c>
      <c r="F20" s="800"/>
      <c r="G20" s="12"/>
      <c r="H20" s="805"/>
      <c r="I20" s="805"/>
      <c r="J20" s="805"/>
      <c r="K20" s="806"/>
    </row>
    <row r="21" spans="1:33" s="799" customFormat="1" ht="13.5" customHeight="1">
      <c r="A21" s="786" t="s">
        <v>357</v>
      </c>
      <c r="B21" s="809" t="s">
        <v>1628</v>
      </c>
      <c r="C21" s="810">
        <f ca="1">C16+C17+C18</f>
        <v>0</v>
      </c>
      <c r="D21" s="811"/>
      <c r="E21" s="278"/>
      <c r="F21" s="278"/>
      <c r="G21" s="128"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0.02</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3.4500000000000003E-2</v>
      </c>
      <c r="G25" s="128"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0.14000000000000001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8" t="s">
        <v>1644</v>
      </c>
      <c r="H29" s="803"/>
      <c r="I29" s="803"/>
      <c r="J29" s="803"/>
      <c r="K29" s="804"/>
    </row>
    <row r="30" spans="1:33" s="288" customFormat="1" ht="13.5" customHeight="1">
      <c r="A30" s="796" t="s">
        <v>359</v>
      </c>
      <c r="B30" s="818" t="s">
        <v>1645</v>
      </c>
      <c r="C30" s="289">
        <f ca="1">ROUND((C21+C22+C23)*F28,0)</f>
        <v>0</v>
      </c>
      <c r="D30" s="281"/>
      <c r="E30" s="282"/>
      <c r="F30" s="287"/>
      <c r="G30" s="128"/>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5" activePane="bottomRight" state="frozen"/>
      <selection pane="topRight" activeCell="D1" sqref="D1"/>
      <selection pane="bottomLeft" activeCell="A2" sqref="A2"/>
      <selection pane="bottomRight" activeCell="M25" sqref="M25"/>
    </sheetView>
  </sheetViews>
  <sheetFormatPr defaultRowHeight="13.5"/>
  <cols>
    <col min="1" max="15" width="9" style="3521"/>
    <col min="16" max="16" width="13.5" style="3521" customWidth="1"/>
    <col min="17" max="17" width="14.5" style="3521" customWidth="1"/>
    <col min="18" max="16384" width="9" style="3521"/>
  </cols>
  <sheetData>
    <row r="1" spans="1:23" ht="48">
      <c r="A1" s="3518" t="s">
        <v>3497</v>
      </c>
      <c r="B1" s="3518" t="s">
        <v>3498</v>
      </c>
      <c r="C1" s="3518" t="s">
        <v>3499</v>
      </c>
      <c r="D1" s="3518" t="s">
        <v>3500</v>
      </c>
      <c r="E1" s="3518" t="s">
        <v>3501</v>
      </c>
      <c r="F1" s="3518" t="s">
        <v>3502</v>
      </c>
      <c r="G1" s="3518" t="s">
        <v>3503</v>
      </c>
      <c r="H1" s="3518" t="s">
        <v>3504</v>
      </c>
      <c r="I1" s="3518" t="s">
        <v>3505</v>
      </c>
      <c r="J1" s="3519" t="s">
        <v>3506</v>
      </c>
      <c r="K1" s="3518" t="s">
        <v>3507</v>
      </c>
      <c r="L1" s="3518" t="s">
        <v>3508</v>
      </c>
      <c r="M1" s="3518" t="s">
        <v>3509</v>
      </c>
      <c r="N1" s="3518" t="s">
        <v>3510</v>
      </c>
      <c r="O1" s="3518" t="s">
        <v>3511</v>
      </c>
      <c r="P1" s="3520" t="s">
        <v>3512</v>
      </c>
      <c r="Q1" s="3518" t="s">
        <v>3513</v>
      </c>
      <c r="R1" s="3518" t="s">
        <v>3514</v>
      </c>
      <c r="S1" s="3518" t="s">
        <v>3515</v>
      </c>
      <c r="T1" s="3518" t="s">
        <v>3516</v>
      </c>
      <c r="U1" s="3518" t="s">
        <v>3517</v>
      </c>
      <c r="V1" s="3518" t="s">
        <v>3518</v>
      </c>
      <c r="W1" s="3518" t="s">
        <v>3519</v>
      </c>
    </row>
    <row r="2" spans="1:23" s="3529" customFormat="1" ht="60">
      <c r="A2" s="3522">
        <v>374</v>
      </c>
      <c r="B2" s="3522" t="s">
        <v>3520</v>
      </c>
      <c r="C2" s="3522" t="s">
        <v>3521</v>
      </c>
      <c r="D2" s="3522" t="s">
        <v>3522</v>
      </c>
      <c r="E2" s="3523" t="s">
        <v>3523</v>
      </c>
      <c r="F2" s="3523" t="s">
        <v>3524</v>
      </c>
      <c r="G2" s="3522" t="s">
        <v>3525</v>
      </c>
      <c r="H2" s="3523"/>
      <c r="I2" s="3523">
        <v>8593.369999999999</v>
      </c>
      <c r="J2" s="3524">
        <v>6760.7019999999993</v>
      </c>
      <c r="K2" s="3524">
        <v>1832.6679999999997</v>
      </c>
      <c r="L2" s="3523">
        <v>17186.740000000002</v>
      </c>
      <c r="M2" s="3522">
        <v>20000</v>
      </c>
      <c r="N2" s="3525">
        <v>25421.5316693444</v>
      </c>
      <c r="O2" s="3523" t="s">
        <v>3526</v>
      </c>
      <c r="P2" s="3526">
        <v>44562</v>
      </c>
      <c r="Q2" s="3527" t="s">
        <v>3527</v>
      </c>
      <c r="R2" s="3523" t="s">
        <v>3528</v>
      </c>
      <c r="S2" s="3523"/>
      <c r="T2" s="3525">
        <v>0</v>
      </c>
      <c r="U2" s="3523"/>
      <c r="V2" s="3528" t="e">
        <v>#DIV/0!</v>
      </c>
      <c r="W2" s="3523"/>
    </row>
    <row r="3" spans="1:23" ht="36">
      <c r="A3" s="3518">
        <v>377</v>
      </c>
      <c r="B3" s="3518" t="s">
        <v>3529</v>
      </c>
      <c r="C3" s="3518" t="s">
        <v>3530</v>
      </c>
      <c r="D3" s="3518" t="s">
        <v>3531</v>
      </c>
      <c r="E3" s="3530" t="s">
        <v>3532</v>
      </c>
      <c r="F3" s="3518" t="s">
        <v>3533</v>
      </c>
      <c r="G3" s="3518" t="s">
        <v>3534</v>
      </c>
      <c r="H3" s="3530"/>
      <c r="I3" s="3531">
        <v>24629.24</v>
      </c>
      <c r="J3" s="3531">
        <v>21550.585000000003</v>
      </c>
      <c r="K3" s="3531">
        <v>3078.6549999999988</v>
      </c>
      <c r="L3" s="3530">
        <v>64775</v>
      </c>
      <c r="M3" s="3518">
        <v>26300</v>
      </c>
      <c r="N3" s="3530">
        <v>30057</v>
      </c>
      <c r="O3" s="3518" t="s">
        <v>3526</v>
      </c>
      <c r="P3" s="3532">
        <v>44573</v>
      </c>
      <c r="Q3" s="3533" t="s">
        <v>3535</v>
      </c>
      <c r="R3" s="3534" t="s">
        <v>3536</v>
      </c>
      <c r="S3" s="3530"/>
      <c r="T3" s="3530"/>
      <c r="U3" s="3530"/>
      <c r="V3" s="3530"/>
      <c r="W3" s="3530"/>
    </row>
    <row r="4" spans="1:23" ht="132" hidden="1">
      <c r="A4" s="3518">
        <v>378</v>
      </c>
      <c r="B4" s="3518" t="s">
        <v>3537</v>
      </c>
      <c r="C4" s="3518" t="s">
        <v>3538</v>
      </c>
      <c r="D4" s="3530" t="s">
        <v>3539</v>
      </c>
      <c r="E4" s="3518" t="s">
        <v>3540</v>
      </c>
      <c r="F4" s="3530" t="s">
        <v>3541</v>
      </c>
      <c r="G4" s="3518" t="s">
        <v>3542</v>
      </c>
      <c r="H4" s="3530"/>
      <c r="I4" s="3530">
        <v>6383.22</v>
      </c>
      <c r="J4" s="3531">
        <v>6383.22</v>
      </c>
      <c r="K4" s="3530"/>
      <c r="L4" s="3530">
        <v>28086.17</v>
      </c>
      <c r="M4" s="3518">
        <v>44000</v>
      </c>
      <c r="N4" s="3535">
        <v>44000.003133214894</v>
      </c>
      <c r="O4" s="3530" t="s">
        <v>3526</v>
      </c>
      <c r="P4" s="3532" t="s">
        <v>3543</v>
      </c>
      <c r="Q4" s="3536" t="s">
        <v>3544</v>
      </c>
      <c r="R4" s="3530" t="s">
        <v>3545</v>
      </c>
      <c r="S4" s="3530"/>
      <c r="T4" s="3535">
        <v>0</v>
      </c>
      <c r="U4" s="3530"/>
      <c r="V4" s="3537" t="e">
        <v>#DIV/0!</v>
      </c>
      <c r="W4" s="3530"/>
    </row>
    <row r="5" spans="1:23" ht="60">
      <c r="A5" s="3518">
        <v>382</v>
      </c>
      <c r="B5" s="3518" t="s">
        <v>3546</v>
      </c>
      <c r="C5" s="3518" t="s">
        <v>3521</v>
      </c>
      <c r="D5" s="3518" t="s">
        <v>3522</v>
      </c>
      <c r="E5" s="3530" t="s">
        <v>3523</v>
      </c>
      <c r="F5" s="3530" t="s">
        <v>3524</v>
      </c>
      <c r="G5" s="3518" t="s">
        <v>3525</v>
      </c>
      <c r="H5" s="3530"/>
      <c r="I5" s="3530">
        <v>2279.88</v>
      </c>
      <c r="J5" s="3531">
        <v>1709.91</v>
      </c>
      <c r="K5" s="3531">
        <v>569.97</v>
      </c>
      <c r="L5" s="3530">
        <v>4559.76</v>
      </c>
      <c r="M5" s="3518">
        <v>20000</v>
      </c>
      <c r="N5" s="3535">
        <v>26666.666666666664</v>
      </c>
      <c r="O5" s="3530" t="s">
        <v>3526</v>
      </c>
      <c r="P5" s="3532">
        <v>44580</v>
      </c>
      <c r="Q5" s="3538" t="s">
        <v>3547</v>
      </c>
      <c r="R5" s="3530" t="s">
        <v>3528</v>
      </c>
      <c r="S5" s="3530"/>
      <c r="T5" s="3535">
        <v>0</v>
      </c>
      <c r="U5" s="3530"/>
      <c r="V5" s="3537" t="e">
        <v>#DIV/0!</v>
      </c>
      <c r="W5" s="3530"/>
    </row>
    <row r="6" spans="1:23" ht="84" hidden="1">
      <c r="A6" s="3518">
        <v>390</v>
      </c>
      <c r="B6" s="3518" t="s">
        <v>3548</v>
      </c>
      <c r="C6" s="3518" t="s">
        <v>3549</v>
      </c>
      <c r="D6" s="3530" t="s">
        <v>3550</v>
      </c>
      <c r="E6" s="3530" t="s">
        <v>3551</v>
      </c>
      <c r="F6" s="3530" t="s">
        <v>3552</v>
      </c>
      <c r="G6" s="3518" t="s">
        <v>3553</v>
      </c>
      <c r="H6" s="3530"/>
      <c r="I6" s="3530">
        <v>1693.08</v>
      </c>
      <c r="J6" s="3531">
        <v>1495.49</v>
      </c>
      <c r="K6" s="3531">
        <v>197.58999999999992</v>
      </c>
      <c r="L6" s="3530">
        <v>1727.712</v>
      </c>
      <c r="M6" s="3518">
        <v>10205</v>
      </c>
      <c r="N6" s="3535">
        <v>11552.815465165262</v>
      </c>
      <c r="O6" s="3518" t="s">
        <v>3554</v>
      </c>
      <c r="P6" s="3532">
        <v>44631</v>
      </c>
      <c r="Q6" s="3518" t="s">
        <v>3555</v>
      </c>
      <c r="R6" s="3530" t="s">
        <v>3556</v>
      </c>
      <c r="S6" s="3530">
        <v>2879.52</v>
      </c>
      <c r="T6" s="3535">
        <v>19254.692441942105</v>
      </c>
      <c r="U6" s="3530"/>
      <c r="V6" s="3537">
        <v>0.6</v>
      </c>
      <c r="W6" s="3530" t="s">
        <v>3557</v>
      </c>
    </row>
    <row r="7" spans="1:23" ht="132" hidden="1">
      <c r="A7" s="3518">
        <v>401</v>
      </c>
      <c r="B7" s="3518" t="s">
        <v>3558</v>
      </c>
      <c r="C7" s="3518" t="s">
        <v>3558</v>
      </c>
      <c r="D7" s="3530" t="s">
        <v>3559</v>
      </c>
      <c r="E7" s="3530" t="s">
        <v>3559</v>
      </c>
      <c r="F7" s="3530" t="s">
        <v>3526</v>
      </c>
      <c r="G7" s="3518" t="s">
        <v>3560</v>
      </c>
      <c r="H7" s="3530">
        <v>6089.36</v>
      </c>
      <c r="I7" s="3530">
        <v>5474.29</v>
      </c>
      <c r="J7" s="3531">
        <v>5474.29</v>
      </c>
      <c r="K7" s="3530"/>
      <c r="L7" s="3530">
        <v>2801.8130000000001</v>
      </c>
      <c r="M7" s="3518">
        <v>5118</v>
      </c>
      <c r="N7" s="3535">
        <v>5118.1303876849779</v>
      </c>
      <c r="O7" s="3530" t="s">
        <v>3561</v>
      </c>
      <c r="P7" s="3532">
        <v>44656</v>
      </c>
      <c r="Q7" s="3518" t="s">
        <v>3562</v>
      </c>
      <c r="R7" s="3530" t="s">
        <v>3556</v>
      </c>
      <c r="S7" s="3530">
        <v>2072.59</v>
      </c>
      <c r="T7" s="3535">
        <v>3786.043486917938</v>
      </c>
      <c r="U7" s="3530"/>
      <c r="V7" s="3537">
        <v>1.3518414158130647</v>
      </c>
      <c r="W7" s="3530" t="s">
        <v>3557</v>
      </c>
    </row>
    <row r="8" spans="1:23" ht="60" hidden="1">
      <c r="A8" s="3518">
        <v>443</v>
      </c>
      <c r="B8" s="3518" t="s">
        <v>3563</v>
      </c>
      <c r="C8" s="3518" t="s">
        <v>3564</v>
      </c>
      <c r="D8" s="3518" t="s">
        <v>3565</v>
      </c>
      <c r="E8" s="3518" t="s">
        <v>3565</v>
      </c>
      <c r="F8" s="3518" t="s">
        <v>3566</v>
      </c>
      <c r="G8" s="3518" t="s">
        <v>3542</v>
      </c>
      <c r="H8" s="3518"/>
      <c r="I8" s="3518">
        <v>3972.93</v>
      </c>
      <c r="J8" s="3519">
        <v>2983.89</v>
      </c>
      <c r="K8" s="3519">
        <v>989.04</v>
      </c>
      <c r="L8" s="3518">
        <v>15693</v>
      </c>
      <c r="M8" s="3518">
        <v>39500</v>
      </c>
      <c r="N8" s="3539">
        <v>52592.421302393857</v>
      </c>
      <c r="O8" s="3518" t="s">
        <v>3526</v>
      </c>
      <c r="P8" s="3520">
        <v>44659</v>
      </c>
      <c r="Q8" s="3518" t="s">
        <v>3567</v>
      </c>
      <c r="R8" s="3518" t="s">
        <v>3536</v>
      </c>
      <c r="S8" s="3518"/>
      <c r="T8" s="3518"/>
      <c r="U8" s="3518"/>
      <c r="V8" s="3518"/>
      <c r="W8" s="3518"/>
    </row>
    <row r="9" spans="1:23" ht="72" hidden="1">
      <c r="A9" s="3518">
        <v>449</v>
      </c>
      <c r="B9" s="3518" t="s">
        <v>3568</v>
      </c>
      <c r="C9" s="3518" t="s">
        <v>3569</v>
      </c>
      <c r="D9" s="3518" t="s">
        <v>3570</v>
      </c>
      <c r="E9" s="3530" t="s">
        <v>3571</v>
      </c>
      <c r="F9" s="3518" t="s">
        <v>3572</v>
      </c>
      <c r="G9" s="3518" t="s">
        <v>3542</v>
      </c>
      <c r="H9" s="3530"/>
      <c r="I9" s="3530">
        <v>3644.4</v>
      </c>
      <c r="J9" s="3531"/>
      <c r="K9" s="3530"/>
      <c r="L9" s="3530">
        <v>4178.9776000000002</v>
      </c>
      <c r="M9" s="3518">
        <v>11467</v>
      </c>
      <c r="N9" s="3535" t="e">
        <v>#DIV/0!</v>
      </c>
      <c r="O9" s="3518" t="s">
        <v>3573</v>
      </c>
      <c r="P9" s="3532">
        <v>44744</v>
      </c>
      <c r="Q9" s="3518" t="s">
        <v>3574</v>
      </c>
      <c r="R9" s="3530" t="s">
        <v>3575</v>
      </c>
      <c r="S9" s="3530">
        <v>7462.46</v>
      </c>
      <c r="T9" s="3535">
        <v>20476.511908681812</v>
      </c>
      <c r="U9" s="3530"/>
      <c r="V9" s="3537">
        <v>0.56000000000000005</v>
      </c>
      <c r="W9" s="3518" t="s">
        <v>3557</v>
      </c>
    </row>
    <row r="10" spans="1:23" ht="36" hidden="1">
      <c r="A10" s="3518">
        <v>450</v>
      </c>
      <c r="B10" s="3518" t="s">
        <v>3576</v>
      </c>
      <c r="C10" s="3518" t="s">
        <v>3577</v>
      </c>
      <c r="D10" s="3530" t="s">
        <v>3550</v>
      </c>
      <c r="E10" s="3530" t="s">
        <v>3551</v>
      </c>
      <c r="F10" s="3530" t="s">
        <v>3578</v>
      </c>
      <c r="G10" s="3518" t="s">
        <v>3579</v>
      </c>
      <c r="H10" s="3530"/>
      <c r="I10" s="3530">
        <v>5738.59</v>
      </c>
      <c r="J10" s="3531">
        <v>4782.1583333333338</v>
      </c>
      <c r="K10" s="3531">
        <v>956.43166666666639</v>
      </c>
      <c r="L10" s="3530">
        <v>9259.2099999999991</v>
      </c>
      <c r="M10" s="3518">
        <v>16135</v>
      </c>
      <c r="N10" s="3535">
        <v>19361.989617658692</v>
      </c>
      <c r="O10" s="3530" t="s">
        <v>3526</v>
      </c>
      <c r="P10" s="3532">
        <v>44739</v>
      </c>
      <c r="Q10" s="3530" t="s">
        <v>3580</v>
      </c>
      <c r="R10" s="3530" t="s">
        <v>3581</v>
      </c>
      <c r="S10" s="3530"/>
      <c r="T10" s="3535">
        <v>0</v>
      </c>
      <c r="U10" s="3530"/>
      <c r="V10" s="3537" t="e">
        <v>#DIV/0!</v>
      </c>
      <c r="W10" s="3530"/>
    </row>
    <row r="11" spans="1:23" ht="60">
      <c r="A11" s="3518">
        <v>451</v>
      </c>
      <c r="B11" s="3518" t="s">
        <v>3582</v>
      </c>
      <c r="C11" s="3518" t="s">
        <v>3583</v>
      </c>
      <c r="D11" s="3530" t="s">
        <v>3522</v>
      </c>
      <c r="E11" s="3530" t="s">
        <v>3571</v>
      </c>
      <c r="F11" s="3530" t="s">
        <v>3584</v>
      </c>
      <c r="G11" s="3518" t="s">
        <v>3585</v>
      </c>
      <c r="H11" s="3530"/>
      <c r="I11" s="3530">
        <v>2488.9499999999998</v>
      </c>
      <c r="J11" s="3531">
        <v>1989.8799999999999</v>
      </c>
      <c r="K11" s="3530">
        <v>499.07</v>
      </c>
      <c r="L11" s="3530">
        <v>5033.47</v>
      </c>
      <c r="M11" s="3518">
        <v>20223</v>
      </c>
      <c r="N11" s="3535">
        <v>25295.344442880982</v>
      </c>
      <c r="O11" s="3530" t="s">
        <v>3526</v>
      </c>
      <c r="P11" s="3532">
        <v>44740</v>
      </c>
      <c r="Q11" s="3530" t="s">
        <v>3586</v>
      </c>
      <c r="R11" s="3530" t="s">
        <v>3536</v>
      </c>
      <c r="S11" s="3530"/>
      <c r="T11" s="3535">
        <v>0</v>
      </c>
      <c r="U11" s="3530"/>
      <c r="V11" s="3537" t="e">
        <v>#DIV/0!</v>
      </c>
      <c r="W11" s="3530"/>
    </row>
    <row r="12" spans="1:23" ht="48">
      <c r="A12" s="3518">
        <v>456</v>
      </c>
      <c r="B12" s="3518" t="s">
        <v>3587</v>
      </c>
      <c r="C12" s="3518" t="s">
        <v>3588</v>
      </c>
      <c r="D12" s="3530" t="s">
        <v>3589</v>
      </c>
      <c r="E12" s="3530" t="s">
        <v>3590</v>
      </c>
      <c r="F12" s="3530" t="s">
        <v>3561</v>
      </c>
      <c r="G12" s="3518" t="s">
        <v>3591</v>
      </c>
      <c r="H12" s="3530">
        <v>179.4</v>
      </c>
      <c r="I12" s="3530">
        <v>1228.5899999999999</v>
      </c>
      <c r="J12" s="3531">
        <v>1228.5899999999999</v>
      </c>
      <c r="K12" s="3530"/>
      <c r="L12" s="3530">
        <v>2440</v>
      </c>
      <c r="M12" s="3518">
        <v>19860</v>
      </c>
      <c r="N12" s="3535">
        <v>19860.164904484005</v>
      </c>
      <c r="O12" s="3530" t="s">
        <v>3526</v>
      </c>
      <c r="P12" s="3532">
        <v>44571</v>
      </c>
      <c r="Q12" s="3518" t="s">
        <v>3592</v>
      </c>
      <c r="R12" s="3530" t="s">
        <v>3575</v>
      </c>
      <c r="S12" s="3530">
        <v>4431.55</v>
      </c>
      <c r="T12" s="3535">
        <v>36070.210566584465</v>
      </c>
      <c r="U12" s="3530"/>
      <c r="V12" s="3537">
        <v>0.55059742076700025</v>
      </c>
      <c r="W12" s="3530" t="s">
        <v>3557</v>
      </c>
    </row>
    <row r="13" spans="1:23" ht="108" hidden="1">
      <c r="A13" s="3518">
        <v>463</v>
      </c>
      <c r="B13" s="3518" t="s">
        <v>3593</v>
      </c>
      <c r="C13" s="3518" t="s">
        <v>3594</v>
      </c>
      <c r="D13" s="3530" t="s">
        <v>3595</v>
      </c>
      <c r="E13" s="3530" t="s">
        <v>3596</v>
      </c>
      <c r="F13" s="3530" t="s">
        <v>3597</v>
      </c>
      <c r="G13" s="3518" t="s">
        <v>3598</v>
      </c>
      <c r="H13" s="3530"/>
      <c r="I13" s="3530">
        <v>61606.26</v>
      </c>
      <c r="J13" s="3531">
        <v>42096.020000000004</v>
      </c>
      <c r="K13" s="3530">
        <v>19510.239999999998</v>
      </c>
      <c r="L13" s="3530">
        <v>175005.77</v>
      </c>
      <c r="M13" s="3518">
        <v>28407</v>
      </c>
      <c r="N13" s="3535">
        <v>41572.99668709773</v>
      </c>
      <c r="O13" s="3530" t="s">
        <v>3599</v>
      </c>
      <c r="P13" s="3532">
        <v>44771</v>
      </c>
      <c r="Q13" s="3518" t="s">
        <v>3600</v>
      </c>
      <c r="R13" s="3530" t="s">
        <v>3545</v>
      </c>
      <c r="S13" s="3530"/>
      <c r="T13" s="3535">
        <v>0</v>
      </c>
      <c r="U13" s="3530"/>
      <c r="V13" s="3537" t="e">
        <v>#DIV/0!</v>
      </c>
      <c r="W13" s="3530"/>
    </row>
    <row r="14" spans="1:23" s="3529" customFormat="1" ht="75" customHeight="1">
      <c r="A14" s="3522">
        <v>467</v>
      </c>
      <c r="B14" s="3522" t="s">
        <v>3755</v>
      </c>
      <c r="C14" s="3522" t="s">
        <v>3601</v>
      </c>
      <c r="D14" s="3523" t="s">
        <v>3595</v>
      </c>
      <c r="E14" s="3523" t="s">
        <v>3602</v>
      </c>
      <c r="F14" s="3522" t="s">
        <v>3603</v>
      </c>
      <c r="G14" s="3522" t="s">
        <v>3604</v>
      </c>
      <c r="H14" s="3523">
        <v>19305.400000000001</v>
      </c>
      <c r="I14" s="3523">
        <v>14584.58</v>
      </c>
      <c r="J14" s="3524">
        <v>10919.396666666667</v>
      </c>
      <c r="K14" s="3540">
        <v>3665.1833333333329</v>
      </c>
      <c r="L14" s="3523">
        <v>29363.146400000001</v>
      </c>
      <c r="M14" s="3522">
        <v>20133</v>
      </c>
      <c r="N14" s="3525">
        <v>26890.813930806311</v>
      </c>
      <c r="O14" s="3522" t="s">
        <v>3605</v>
      </c>
      <c r="P14" s="3541">
        <v>44779</v>
      </c>
      <c r="Q14" s="3522" t="s">
        <v>3606</v>
      </c>
      <c r="R14" s="3523">
        <v>2004</v>
      </c>
      <c r="S14" s="3523">
        <v>52434.19</v>
      </c>
      <c r="T14" s="3525">
        <v>48019.310590725552</v>
      </c>
      <c r="U14" s="3523"/>
      <c r="V14" s="3528">
        <v>0.56000000000000005</v>
      </c>
      <c r="W14" s="3523" t="s">
        <v>3557</v>
      </c>
    </row>
    <row r="15" spans="1:23" ht="60">
      <c r="A15" s="3518">
        <v>473</v>
      </c>
      <c r="B15" s="3518" t="s">
        <v>3607</v>
      </c>
      <c r="C15" s="3518" t="s">
        <v>3521</v>
      </c>
      <c r="D15" s="3518" t="s">
        <v>3522</v>
      </c>
      <c r="E15" s="3530" t="s">
        <v>3523</v>
      </c>
      <c r="F15" s="3530" t="s">
        <v>3524</v>
      </c>
      <c r="G15" s="3518" t="s">
        <v>3525</v>
      </c>
      <c r="H15" s="3530"/>
      <c r="I15" s="3530">
        <v>3382.65</v>
      </c>
      <c r="J15" s="3531">
        <v>2706.12</v>
      </c>
      <c r="K15" s="3531">
        <v>676.5300000000002</v>
      </c>
      <c r="L15" s="3530">
        <v>5151.78</v>
      </c>
      <c r="M15" s="3518">
        <v>15230</v>
      </c>
      <c r="N15" s="3535">
        <v>19037.514966076891</v>
      </c>
      <c r="O15" s="3530" t="s">
        <v>3526</v>
      </c>
      <c r="P15" s="3542">
        <v>44781</v>
      </c>
      <c r="Q15" s="3538" t="s">
        <v>3608</v>
      </c>
      <c r="R15" s="3530" t="s">
        <v>3528</v>
      </c>
      <c r="S15" s="3530"/>
      <c r="T15" s="3535">
        <v>0</v>
      </c>
      <c r="U15" s="3530"/>
      <c r="V15" s="3537" t="e">
        <v>#DIV/0!</v>
      </c>
      <c r="W15" s="3530"/>
    </row>
    <row r="16" spans="1:23" s="3529" customFormat="1" ht="36">
      <c r="A16" s="3522">
        <v>479</v>
      </c>
      <c r="B16" s="3522" t="s">
        <v>3609</v>
      </c>
      <c r="C16" s="3522" t="s">
        <v>3610</v>
      </c>
      <c r="D16" s="3522" t="s">
        <v>3531</v>
      </c>
      <c r="E16" s="3523" t="s">
        <v>3532</v>
      </c>
      <c r="F16" s="3522" t="s">
        <v>3533</v>
      </c>
      <c r="G16" s="3522" t="s">
        <v>3534</v>
      </c>
      <c r="H16" s="3523"/>
      <c r="I16" s="3524">
        <v>28179.63</v>
      </c>
      <c r="J16" s="3524">
        <v>22543.704000000002</v>
      </c>
      <c r="K16" s="3524">
        <v>5635.9259999999995</v>
      </c>
      <c r="L16" s="3523">
        <v>59177.22</v>
      </c>
      <c r="M16" s="3522">
        <v>21000</v>
      </c>
      <c r="N16" s="3525">
        <v>26249.998669251512</v>
      </c>
      <c r="O16" s="3522" t="s">
        <v>3611</v>
      </c>
      <c r="P16" s="3541">
        <v>44795</v>
      </c>
      <c r="Q16" s="3543" t="s">
        <v>3612</v>
      </c>
      <c r="R16" s="3544" t="s">
        <v>3575</v>
      </c>
      <c r="S16" s="3523"/>
      <c r="T16" s="3523"/>
      <c r="U16" s="3545"/>
      <c r="V16" s="3523"/>
      <c r="W16" s="3523" t="s">
        <v>3613</v>
      </c>
    </row>
    <row r="17" spans="1:23" ht="156" hidden="1">
      <c r="A17" s="3518">
        <v>504</v>
      </c>
      <c r="B17" s="3518" t="s">
        <v>3614</v>
      </c>
      <c r="C17" s="3518" t="s">
        <v>3615</v>
      </c>
      <c r="D17" s="3530" t="s">
        <v>3539</v>
      </c>
      <c r="E17" s="3530" t="s">
        <v>3616</v>
      </c>
      <c r="F17" s="3530" t="s">
        <v>3541</v>
      </c>
      <c r="G17" s="3518" t="s">
        <v>3542</v>
      </c>
      <c r="H17" s="3530">
        <v>23400</v>
      </c>
      <c r="I17" s="3530">
        <v>135500</v>
      </c>
      <c r="J17" s="3531">
        <v>93500</v>
      </c>
      <c r="K17" s="3531">
        <v>42000</v>
      </c>
      <c r="L17" s="3530">
        <v>452000</v>
      </c>
      <c r="M17" s="3518">
        <v>33358</v>
      </c>
      <c r="N17" s="3535">
        <v>48342.245989304807</v>
      </c>
      <c r="O17" s="3530" t="s">
        <v>3617</v>
      </c>
      <c r="P17" s="3532">
        <v>44891</v>
      </c>
      <c r="Q17" s="3518" t="s">
        <v>3618</v>
      </c>
      <c r="R17" s="3530" t="s">
        <v>3619</v>
      </c>
      <c r="S17" s="3530"/>
      <c r="T17" s="3535">
        <v>0</v>
      </c>
      <c r="U17" s="3530"/>
      <c r="V17" s="3537" t="e">
        <v>#DIV/0!</v>
      </c>
      <c r="W17" s="3530" t="s">
        <v>3620</v>
      </c>
    </row>
    <row r="18" spans="1:23" ht="48">
      <c r="A18" s="3518">
        <v>505</v>
      </c>
      <c r="B18" s="3518" t="s">
        <v>3621</v>
      </c>
      <c r="C18" s="3518" t="s">
        <v>3622</v>
      </c>
      <c r="D18" s="3530" t="s">
        <v>3589</v>
      </c>
      <c r="E18" s="3530" t="s">
        <v>3590</v>
      </c>
      <c r="F18" s="3530" t="s">
        <v>3552</v>
      </c>
      <c r="G18" s="3518" t="s">
        <v>3591</v>
      </c>
      <c r="H18" s="3530"/>
      <c r="I18" s="3530">
        <v>1187.81</v>
      </c>
      <c r="J18" s="3531">
        <v>1187.71</v>
      </c>
      <c r="K18" s="3530"/>
      <c r="L18" s="3530">
        <v>2154</v>
      </c>
      <c r="M18" s="3518">
        <v>18134</v>
      </c>
      <c r="N18" s="3535">
        <v>18135.740205942529</v>
      </c>
      <c r="O18" s="3518" t="s">
        <v>3623</v>
      </c>
      <c r="P18" s="3532">
        <v>44919</v>
      </c>
      <c r="Q18" s="3518" t="s">
        <v>3592</v>
      </c>
      <c r="R18" s="3530" t="s">
        <v>3624</v>
      </c>
      <c r="S18" s="3530">
        <v>3361.92</v>
      </c>
      <c r="T18" s="3535">
        <v>28305.899588283333</v>
      </c>
      <c r="U18" s="3530"/>
      <c r="V18" s="3537">
        <v>0.64070531125071384</v>
      </c>
      <c r="W18" s="3530" t="s">
        <v>3557</v>
      </c>
    </row>
    <row r="19" spans="1:23" ht="72.75" hidden="1">
      <c r="A19" s="3518">
        <v>507</v>
      </c>
      <c r="B19" s="3518" t="s">
        <v>3625</v>
      </c>
      <c r="C19" s="3518" t="s">
        <v>3626</v>
      </c>
      <c r="D19" s="3530" t="s">
        <v>3539</v>
      </c>
      <c r="E19" s="3530" t="s">
        <v>3627</v>
      </c>
      <c r="F19" s="3530" t="s">
        <v>3628</v>
      </c>
      <c r="G19" s="3518" t="s">
        <v>3542</v>
      </c>
      <c r="H19" s="3530"/>
      <c r="I19" s="3530">
        <v>8671.6</v>
      </c>
      <c r="J19" s="3531">
        <v>8671.6</v>
      </c>
      <c r="K19" s="3530"/>
      <c r="L19" s="3530">
        <v>29483.439999999999</v>
      </c>
      <c r="M19" s="3518">
        <v>34000</v>
      </c>
      <c r="N19" s="3535">
        <v>34000</v>
      </c>
      <c r="O19" s="3530" t="s">
        <v>3526</v>
      </c>
      <c r="P19" s="3532">
        <v>44917</v>
      </c>
      <c r="Q19" s="3530" t="s">
        <v>3629</v>
      </c>
      <c r="R19" s="3530" t="s">
        <v>3630</v>
      </c>
      <c r="S19" s="3530"/>
      <c r="T19" s="3535">
        <v>0</v>
      </c>
      <c r="U19" s="3530"/>
      <c r="V19" s="3537" t="e">
        <v>#DIV/0!</v>
      </c>
      <c r="W19" s="3530" t="s">
        <v>3631</v>
      </c>
    </row>
    <row r="20" spans="1:23" ht="48">
      <c r="A20" s="3518">
        <v>508</v>
      </c>
      <c r="B20" s="3530" t="s">
        <v>3632</v>
      </c>
      <c r="C20" s="3518" t="s">
        <v>3633</v>
      </c>
      <c r="D20" s="3530" t="s">
        <v>3595</v>
      </c>
      <c r="E20" s="3530" t="s">
        <v>3634</v>
      </c>
      <c r="F20" s="3530" t="s">
        <v>3526</v>
      </c>
      <c r="G20" s="3518" t="s">
        <v>3635</v>
      </c>
      <c r="H20" s="3530"/>
      <c r="I20" s="3530">
        <v>470.01</v>
      </c>
      <c r="J20" s="3531">
        <v>352.50749999999999</v>
      </c>
      <c r="K20" s="3531">
        <v>117.5025</v>
      </c>
      <c r="L20" s="3530">
        <v>1921</v>
      </c>
      <c r="M20" s="3518">
        <v>40871</v>
      </c>
      <c r="N20" s="3535">
        <v>54495.294426359724</v>
      </c>
      <c r="O20" s="3530" t="s">
        <v>3561</v>
      </c>
      <c r="P20" s="3532">
        <v>44930</v>
      </c>
      <c r="Q20" s="3530" t="s">
        <v>3636</v>
      </c>
      <c r="R20" s="3530" t="s">
        <v>3575</v>
      </c>
      <c r="S20" s="3530">
        <v>1500</v>
      </c>
      <c r="T20" s="3535">
        <v>42552.28612157188</v>
      </c>
      <c r="U20" s="3530"/>
      <c r="V20" s="3537">
        <v>1.2806666666666666</v>
      </c>
      <c r="W20" s="3530" t="s">
        <v>3557</v>
      </c>
    </row>
    <row r="21" spans="1:23" ht="48">
      <c r="A21" s="3518">
        <v>511</v>
      </c>
      <c r="B21" s="3518" t="s">
        <v>3637</v>
      </c>
      <c r="C21" s="3530" t="s">
        <v>3638</v>
      </c>
      <c r="D21" s="3530" t="s">
        <v>3565</v>
      </c>
      <c r="E21" s="3518" t="s">
        <v>3639</v>
      </c>
      <c r="F21" s="3530" t="s">
        <v>3640</v>
      </c>
      <c r="G21" s="3518" t="s">
        <v>3641</v>
      </c>
      <c r="H21" s="3530"/>
      <c r="I21" s="3530">
        <v>36279.259999999995</v>
      </c>
      <c r="J21" s="3531">
        <v>36279.259999999995</v>
      </c>
      <c r="K21" s="3530"/>
      <c r="L21" s="3530">
        <v>58046.82</v>
      </c>
      <c r="M21" s="3518">
        <v>16000</v>
      </c>
      <c r="N21" s="3535">
        <v>16000.001102558323</v>
      </c>
      <c r="O21" s="3530" t="s">
        <v>3642</v>
      </c>
      <c r="P21" s="3542">
        <v>44866</v>
      </c>
      <c r="Q21" s="3530" t="s">
        <v>3643</v>
      </c>
      <c r="R21" s="3530" t="s">
        <v>3545</v>
      </c>
      <c r="S21" s="3530"/>
      <c r="T21" s="3535">
        <v>0</v>
      </c>
      <c r="U21" s="3530"/>
      <c r="V21" s="3537" t="e">
        <v>#DIV/0!</v>
      </c>
      <c r="W21" s="3530" t="s">
        <v>3644</v>
      </c>
    </row>
    <row r="22" spans="1:23" ht="84" hidden="1">
      <c r="A22" s="3518">
        <v>524</v>
      </c>
      <c r="B22" s="3546" t="s">
        <v>3645</v>
      </c>
      <c r="C22" s="3546" t="s">
        <v>3646</v>
      </c>
      <c r="D22" s="3546" t="s">
        <v>3595</v>
      </c>
      <c r="E22" s="3546" t="s">
        <v>3596</v>
      </c>
      <c r="F22" s="3546" t="s">
        <v>3647</v>
      </c>
      <c r="G22" s="3546" t="s">
        <v>3648</v>
      </c>
      <c r="H22" s="3546"/>
      <c r="I22" s="3546">
        <v>4831.22</v>
      </c>
      <c r="J22" s="3546">
        <v>4177.5700000000006</v>
      </c>
      <c r="K22" s="3546">
        <v>653.65</v>
      </c>
      <c r="L22" s="3546">
        <v>17086.28</v>
      </c>
      <c r="M22" s="3546">
        <v>35366</v>
      </c>
      <c r="N22" s="3546">
        <v>40900</v>
      </c>
      <c r="O22" s="3546" t="s">
        <v>3526</v>
      </c>
      <c r="P22" s="3547">
        <v>44994</v>
      </c>
      <c r="Q22" s="3546" t="s">
        <v>3649</v>
      </c>
      <c r="R22" s="3546" t="s">
        <v>3650</v>
      </c>
      <c r="S22" s="3546"/>
      <c r="T22" s="3535"/>
      <c r="U22" s="3546"/>
      <c r="V22" s="3537"/>
      <c r="W22" s="3530" t="s">
        <v>3613</v>
      </c>
    </row>
    <row r="23" spans="1:23" ht="96" hidden="1">
      <c r="A23" s="3518">
        <v>526</v>
      </c>
      <c r="B23" s="3518" t="s">
        <v>3651</v>
      </c>
      <c r="C23" s="3518" t="s">
        <v>3652</v>
      </c>
      <c r="D23" s="3530" t="s">
        <v>3539</v>
      </c>
      <c r="E23" s="3530" t="s">
        <v>3627</v>
      </c>
      <c r="F23" s="3530" t="s">
        <v>3628</v>
      </c>
      <c r="G23" s="3518" t="s">
        <v>3542</v>
      </c>
      <c r="H23" s="3530"/>
      <c r="I23" s="3530">
        <v>35216.400000000001</v>
      </c>
      <c r="J23" s="3531">
        <v>35216.400000000001</v>
      </c>
      <c r="K23" s="3530"/>
      <c r="L23" s="3530">
        <v>119735.76</v>
      </c>
      <c r="M23" s="3518">
        <v>34000</v>
      </c>
      <c r="N23" s="3535">
        <v>34000</v>
      </c>
      <c r="O23" s="3530" t="s">
        <v>3526</v>
      </c>
      <c r="P23" s="3547">
        <v>44986</v>
      </c>
      <c r="Q23" s="3530" t="s">
        <v>3653</v>
      </c>
      <c r="R23" s="3530" t="s">
        <v>3630</v>
      </c>
      <c r="S23" s="3530"/>
      <c r="T23" s="3535">
        <v>0</v>
      </c>
      <c r="U23" s="3530"/>
      <c r="V23" s="3537" t="e">
        <v>#DIV/0!</v>
      </c>
      <c r="W23" s="3530" t="s">
        <v>3631</v>
      </c>
    </row>
    <row r="24" spans="1:23" ht="48">
      <c r="A24" s="3518">
        <v>543</v>
      </c>
      <c r="B24" s="3518" t="s">
        <v>3654</v>
      </c>
      <c r="C24" s="3530" t="s">
        <v>3655</v>
      </c>
      <c r="D24" s="3530" t="s">
        <v>3531</v>
      </c>
      <c r="E24" s="3530" t="s">
        <v>3656</v>
      </c>
      <c r="F24" s="3530" t="s">
        <v>3533</v>
      </c>
      <c r="G24" s="3518" t="s">
        <v>3657</v>
      </c>
      <c r="H24" s="3530"/>
      <c r="I24" s="3530">
        <v>16577.27</v>
      </c>
      <c r="J24" s="3531">
        <v>16577.27</v>
      </c>
      <c r="K24" s="3530"/>
      <c r="L24" s="3530">
        <v>22911.439999999999</v>
      </c>
      <c r="M24" s="3518">
        <v>13821</v>
      </c>
      <c r="N24" s="3535">
        <v>13820.997064052162</v>
      </c>
      <c r="O24" s="3530" t="s">
        <v>3658</v>
      </c>
      <c r="P24" s="3547">
        <v>45078</v>
      </c>
      <c r="Q24" s="3530" t="s">
        <v>3653</v>
      </c>
      <c r="R24" s="3530" t="s">
        <v>3659</v>
      </c>
      <c r="S24" s="3530"/>
      <c r="T24" s="3535">
        <v>0</v>
      </c>
      <c r="U24" s="3530"/>
      <c r="V24" s="3537" t="e">
        <v>#DIV/0!</v>
      </c>
      <c r="W24" s="3530" t="s">
        <v>3613</v>
      </c>
    </row>
    <row r="25" spans="1:23" ht="132">
      <c r="A25" s="3518">
        <v>553</v>
      </c>
      <c r="B25" s="3530" t="s">
        <v>3660</v>
      </c>
      <c r="C25" s="3518" t="s">
        <v>3661</v>
      </c>
      <c r="D25" s="3530" t="s">
        <v>3589</v>
      </c>
      <c r="E25" s="3518" t="s">
        <v>3590</v>
      </c>
      <c r="F25" s="3518" t="s">
        <v>3662</v>
      </c>
      <c r="G25" s="3518" t="s">
        <v>3663</v>
      </c>
      <c r="H25" s="3530"/>
      <c r="I25" s="3530">
        <v>2230.1799999999998</v>
      </c>
      <c r="J25" s="3531">
        <v>2230.1799999999998</v>
      </c>
      <c r="K25" s="3530"/>
      <c r="L25" s="3530">
        <v>4231.7056000000002</v>
      </c>
      <c r="M25" s="3518">
        <v>18975</v>
      </c>
      <c r="N25" s="3535">
        <v>18974.726703674147</v>
      </c>
      <c r="O25" s="3518" t="s">
        <v>3664</v>
      </c>
      <c r="P25" s="3532">
        <v>45115</v>
      </c>
      <c r="Q25" s="3518" t="s">
        <v>3665</v>
      </c>
      <c r="R25" s="3530" t="s">
        <v>3666</v>
      </c>
      <c r="S25" s="3530">
        <v>6612.04</v>
      </c>
      <c r="T25" s="3535">
        <v>29648.010474490849</v>
      </c>
      <c r="U25" s="3530"/>
      <c r="V25" s="3537">
        <v>0.64</v>
      </c>
      <c r="W25" s="3530" t="s">
        <v>3557</v>
      </c>
    </row>
    <row r="26" spans="1:23" ht="60">
      <c r="A26" s="3518">
        <v>555</v>
      </c>
      <c r="B26" s="3530" t="s">
        <v>3667</v>
      </c>
      <c r="C26" s="3518" t="s">
        <v>3668</v>
      </c>
      <c r="D26" s="3530" t="s">
        <v>3589</v>
      </c>
      <c r="E26" s="3518" t="s">
        <v>3590</v>
      </c>
      <c r="F26" s="3518" t="s">
        <v>3669</v>
      </c>
      <c r="G26" s="3518" t="s">
        <v>3663</v>
      </c>
      <c r="H26" s="3530"/>
      <c r="I26" s="3530">
        <v>1187.81</v>
      </c>
      <c r="J26" s="3531">
        <v>1187.81</v>
      </c>
      <c r="K26" s="3530"/>
      <c r="L26" s="3530">
        <v>2550</v>
      </c>
      <c r="M26" s="3518">
        <v>21468</v>
      </c>
      <c r="N26" s="3535">
        <v>21468.079911770405</v>
      </c>
      <c r="O26" s="3518" t="s">
        <v>3670</v>
      </c>
      <c r="P26" s="3532">
        <v>45126</v>
      </c>
      <c r="Q26" s="3518" t="s">
        <v>3671</v>
      </c>
      <c r="R26" s="3530" t="s">
        <v>3672</v>
      </c>
      <c r="S26" s="3530">
        <v>3590.04</v>
      </c>
      <c r="T26" s="3535">
        <v>30224.025728020475</v>
      </c>
      <c r="U26" s="3530"/>
      <c r="V26" s="3537">
        <v>0.71029849249590538</v>
      </c>
      <c r="W26" s="3530" t="s">
        <v>3557</v>
      </c>
    </row>
    <row r="27" spans="1:23" ht="72">
      <c r="A27" s="3518">
        <v>559</v>
      </c>
      <c r="B27" s="3518" t="s">
        <v>3673</v>
      </c>
      <c r="C27" s="3518" t="s">
        <v>3674</v>
      </c>
      <c r="D27" s="3518" t="s">
        <v>3570</v>
      </c>
      <c r="E27" s="3530" t="s">
        <v>3571</v>
      </c>
      <c r="F27" s="3518" t="s">
        <v>3675</v>
      </c>
      <c r="G27" s="3518" t="s">
        <v>3534</v>
      </c>
      <c r="H27" s="3530"/>
      <c r="I27" s="3530">
        <v>2079.25</v>
      </c>
      <c r="J27" s="3531"/>
      <c r="K27" s="3530"/>
      <c r="L27" s="3530">
        <v>3229.33</v>
      </c>
      <c r="M27" s="3518">
        <v>15531</v>
      </c>
      <c r="N27" s="3535" t="e">
        <v>#DIV/0!</v>
      </c>
      <c r="O27" s="3518" t="s">
        <v>3676</v>
      </c>
      <c r="P27" s="3532">
        <v>45146</v>
      </c>
      <c r="Q27" s="3518" t="s">
        <v>3677</v>
      </c>
      <c r="R27" s="3530" t="s">
        <v>3575</v>
      </c>
      <c r="S27" s="3530">
        <v>3799.21</v>
      </c>
      <c r="T27" s="3535">
        <v>18272.021161476496</v>
      </c>
      <c r="U27" s="3530"/>
      <c r="V27" s="3537">
        <v>0.85000039481892287</v>
      </c>
      <c r="W27" s="3518" t="s">
        <v>3557</v>
      </c>
    </row>
    <row r="28" spans="1:23" ht="96" hidden="1">
      <c r="A28" s="3518">
        <v>564</v>
      </c>
      <c r="B28" s="3518" t="s">
        <v>3678</v>
      </c>
      <c r="C28" s="3518" t="s">
        <v>3679</v>
      </c>
      <c r="D28" s="3530" t="s">
        <v>3539</v>
      </c>
      <c r="E28" s="3530" t="s">
        <v>3627</v>
      </c>
      <c r="F28" s="3530" t="s">
        <v>3628</v>
      </c>
      <c r="G28" s="3518" t="s">
        <v>3542</v>
      </c>
      <c r="H28" s="3530"/>
      <c r="I28" s="3530">
        <v>30899.29</v>
      </c>
      <c r="J28" s="3531">
        <v>30899.29</v>
      </c>
      <c r="K28" s="3530"/>
      <c r="L28" s="3530">
        <v>105057.59</v>
      </c>
      <c r="M28" s="3518">
        <v>34000</v>
      </c>
      <c r="N28" s="3535">
        <v>34000.001294528127</v>
      </c>
      <c r="O28" s="3530" t="s">
        <v>3526</v>
      </c>
      <c r="P28" s="3547">
        <v>45139</v>
      </c>
      <c r="Q28" s="3530" t="s">
        <v>3680</v>
      </c>
      <c r="R28" s="3530" t="s">
        <v>3630</v>
      </c>
      <c r="S28" s="3530"/>
      <c r="T28" s="3535">
        <v>0</v>
      </c>
      <c r="U28" s="3530"/>
      <c r="V28" s="3537" t="e">
        <v>#DIV/0!</v>
      </c>
      <c r="W28" s="3530" t="s">
        <v>3631</v>
      </c>
    </row>
    <row r="29" spans="1:23" ht="48">
      <c r="A29" s="3518">
        <v>565</v>
      </c>
      <c r="B29" s="3530" t="s">
        <v>3681</v>
      </c>
      <c r="C29" s="3530" t="s">
        <v>3682</v>
      </c>
      <c r="D29" s="3530" t="s">
        <v>3539</v>
      </c>
      <c r="E29" s="3518" t="s">
        <v>3540</v>
      </c>
      <c r="F29" s="3518" t="s">
        <v>3683</v>
      </c>
      <c r="G29" s="3518" t="s">
        <v>3684</v>
      </c>
      <c r="H29" s="3530"/>
      <c r="I29" s="3530">
        <v>20714.13</v>
      </c>
      <c r="J29" s="3531">
        <v>20714.13</v>
      </c>
      <c r="K29" s="3530"/>
      <c r="L29" s="3530">
        <v>93213.58</v>
      </c>
      <c r="M29" s="3518">
        <v>45000</v>
      </c>
      <c r="N29" s="3535">
        <v>44999.997586188751</v>
      </c>
      <c r="O29" s="3518" t="s">
        <v>3685</v>
      </c>
      <c r="P29" s="3547">
        <v>45139</v>
      </c>
      <c r="Q29" s="3518" t="s">
        <v>3686</v>
      </c>
      <c r="R29" s="3530" t="s">
        <v>3630</v>
      </c>
      <c r="S29" s="3530"/>
      <c r="T29" s="3535">
        <v>0</v>
      </c>
      <c r="U29" s="3530"/>
      <c r="V29" s="3537" t="e">
        <v>#DIV/0!</v>
      </c>
      <c r="W29" s="3530" t="s">
        <v>3687</v>
      </c>
    </row>
    <row r="30" spans="1:23" ht="156">
      <c r="A30" s="3518">
        <v>566</v>
      </c>
      <c r="B30" s="3518" t="s">
        <v>3688</v>
      </c>
      <c r="C30" s="3518" t="s">
        <v>3689</v>
      </c>
      <c r="D30" s="3530" t="s">
        <v>3595</v>
      </c>
      <c r="E30" s="3530" t="s">
        <v>3690</v>
      </c>
      <c r="F30" s="3530" t="s">
        <v>3691</v>
      </c>
      <c r="G30" s="3518" t="s">
        <v>3692</v>
      </c>
      <c r="H30" s="3530"/>
      <c r="I30" s="3530">
        <v>8905</v>
      </c>
      <c r="J30" s="3531">
        <v>8905</v>
      </c>
      <c r="K30" s="3530"/>
      <c r="L30" s="3530">
        <v>33839</v>
      </c>
      <c r="M30" s="3518">
        <v>38000</v>
      </c>
      <c r="N30" s="3535">
        <v>38000</v>
      </c>
      <c r="O30" s="3530" t="s">
        <v>3693</v>
      </c>
      <c r="P30" s="3542">
        <v>45041</v>
      </c>
      <c r="Q30" s="3518" t="s">
        <v>3694</v>
      </c>
      <c r="R30" s="3530" t="s">
        <v>3695</v>
      </c>
      <c r="S30" s="3530"/>
      <c r="T30" s="3535">
        <v>0</v>
      </c>
      <c r="U30" s="3530"/>
      <c r="V30" s="3537" t="e">
        <v>#DIV/0!</v>
      </c>
      <c r="W30" s="3530" t="s">
        <v>3620</v>
      </c>
    </row>
    <row r="31" spans="1:23" ht="36">
      <c r="A31" s="3518">
        <v>568</v>
      </c>
      <c r="B31" s="3518" t="s">
        <v>3696</v>
      </c>
      <c r="C31" s="3518" t="s">
        <v>3697</v>
      </c>
      <c r="D31" s="3518" t="s">
        <v>3531</v>
      </c>
      <c r="E31" s="3530" t="s">
        <v>3532</v>
      </c>
      <c r="F31" s="3518" t="s">
        <v>3533</v>
      </c>
      <c r="G31" s="3518" t="s">
        <v>3534</v>
      </c>
      <c r="H31" s="3530"/>
      <c r="I31" s="3531">
        <v>35283.660000000003</v>
      </c>
      <c r="J31" s="3531">
        <v>29000</v>
      </c>
      <c r="K31" s="3531">
        <v>6283.6600000000035</v>
      </c>
      <c r="L31" s="3530">
        <v>90000</v>
      </c>
      <c r="M31" s="3518">
        <v>25508</v>
      </c>
      <c r="N31" s="3530">
        <v>31034</v>
      </c>
      <c r="O31" s="3518" t="s">
        <v>3698</v>
      </c>
      <c r="P31" s="3542" t="s">
        <v>3699</v>
      </c>
      <c r="Q31" s="3533" t="s">
        <v>3700</v>
      </c>
      <c r="R31" s="3534" t="s">
        <v>3630</v>
      </c>
      <c r="S31" s="3530"/>
      <c r="T31" s="3530"/>
      <c r="U31" s="3530"/>
      <c r="V31" s="3530"/>
      <c r="W31" s="3530" t="s">
        <v>3701</v>
      </c>
    </row>
    <row r="32" spans="1:23" ht="96" hidden="1">
      <c r="A32" s="3518">
        <v>571</v>
      </c>
      <c r="B32" s="3518" t="s">
        <v>3702</v>
      </c>
      <c r="C32" s="3518" t="s">
        <v>3703</v>
      </c>
      <c r="D32" s="3530" t="s">
        <v>3539</v>
      </c>
      <c r="E32" s="3530" t="s">
        <v>3627</v>
      </c>
      <c r="F32" s="3530" t="s">
        <v>3628</v>
      </c>
      <c r="G32" s="3518" t="s">
        <v>3542</v>
      </c>
      <c r="H32" s="3530"/>
      <c r="I32" s="3530">
        <v>4550.4799999999996</v>
      </c>
      <c r="J32" s="3531">
        <v>4550.4799999999996</v>
      </c>
      <c r="K32" s="3530"/>
      <c r="L32" s="3530">
        <v>15471.632</v>
      </c>
      <c r="M32" s="3518">
        <v>34000</v>
      </c>
      <c r="N32" s="3535">
        <v>34000</v>
      </c>
      <c r="O32" s="3530" t="s">
        <v>3526</v>
      </c>
      <c r="P32" s="3547">
        <v>45139</v>
      </c>
      <c r="Q32" s="3530" t="s">
        <v>3680</v>
      </c>
      <c r="R32" s="3530" t="s">
        <v>3630</v>
      </c>
      <c r="S32" s="3530"/>
      <c r="T32" s="3535">
        <v>0</v>
      </c>
      <c r="U32" s="3530"/>
      <c r="V32" s="3537" t="e">
        <v>#DIV/0!</v>
      </c>
      <c r="W32" s="3530" t="s">
        <v>3631</v>
      </c>
    </row>
    <row r="33" spans="1:23" ht="96" hidden="1">
      <c r="A33" s="3518">
        <v>578</v>
      </c>
      <c r="B33" s="3518" t="s">
        <v>3704</v>
      </c>
      <c r="C33" s="3518" t="s">
        <v>3705</v>
      </c>
      <c r="D33" s="3530" t="s">
        <v>3539</v>
      </c>
      <c r="E33" s="3530" t="s">
        <v>3627</v>
      </c>
      <c r="F33" s="3530" t="s">
        <v>3628</v>
      </c>
      <c r="G33" s="3518" t="s">
        <v>3542</v>
      </c>
      <c r="H33" s="3530"/>
      <c r="I33" s="3530">
        <v>20425.009999999998</v>
      </c>
      <c r="J33" s="3531">
        <v>20425.009999999998</v>
      </c>
      <c r="K33" s="3530"/>
      <c r="L33" s="3530">
        <v>69445.03</v>
      </c>
      <c r="M33" s="3518">
        <v>34000</v>
      </c>
      <c r="N33" s="3535">
        <v>33999.998041616629</v>
      </c>
      <c r="O33" s="3530" t="s">
        <v>3526</v>
      </c>
      <c r="P33" s="3547">
        <v>45184</v>
      </c>
      <c r="Q33" s="3530" t="s">
        <v>3706</v>
      </c>
      <c r="R33" s="3530" t="s">
        <v>3630</v>
      </c>
      <c r="S33" s="3530"/>
      <c r="T33" s="3535">
        <v>0</v>
      </c>
      <c r="U33" s="3530"/>
      <c r="V33" s="3537" t="e">
        <v>#DIV/0!</v>
      </c>
      <c r="W33" s="3530" t="s">
        <v>3631</v>
      </c>
    </row>
    <row r="34" spans="1:23" ht="72">
      <c r="A34" s="3518">
        <v>585</v>
      </c>
      <c r="B34" s="3518" t="s">
        <v>3707</v>
      </c>
      <c r="C34" s="3518" t="s">
        <v>3708</v>
      </c>
      <c r="D34" s="3530" t="s">
        <v>3522</v>
      </c>
      <c r="E34" s="3530" t="s">
        <v>3709</v>
      </c>
      <c r="F34" s="3530" t="s">
        <v>3552</v>
      </c>
      <c r="G34" s="3518" t="s">
        <v>3710</v>
      </c>
      <c r="H34" s="3530"/>
      <c r="I34" s="3530">
        <v>1500.64</v>
      </c>
      <c r="J34" s="3531">
        <v>1203.8800000000001</v>
      </c>
      <c r="K34" s="3530">
        <v>296.76</v>
      </c>
      <c r="L34" s="3530">
        <v>1623.6775</v>
      </c>
      <c r="M34" s="3518">
        <v>10820</v>
      </c>
      <c r="N34" s="3535">
        <v>13487.03774462571</v>
      </c>
      <c r="O34" s="3518" t="s">
        <v>3711</v>
      </c>
      <c r="P34" s="3532">
        <v>45216</v>
      </c>
      <c r="Q34" s="3518" t="s">
        <v>3712</v>
      </c>
      <c r="R34" s="3530" t="s">
        <v>3713</v>
      </c>
      <c r="S34" s="3530">
        <v>2319.5392000000002</v>
      </c>
      <c r="T34" s="3535">
        <v>19267.196066053093</v>
      </c>
      <c r="U34" s="3530"/>
      <c r="V34" s="3537">
        <v>0.70000002586720667</v>
      </c>
      <c r="W34" s="3530" t="s">
        <v>3557</v>
      </c>
    </row>
    <row r="35" spans="1:23" ht="72" hidden="1">
      <c r="A35" s="3518">
        <v>586</v>
      </c>
      <c r="B35" s="3530" t="s">
        <v>3714</v>
      </c>
      <c r="C35" s="3518" t="s">
        <v>3715</v>
      </c>
      <c r="D35" s="3530" t="s">
        <v>3565</v>
      </c>
      <c r="E35" s="3530" t="s">
        <v>3716</v>
      </c>
      <c r="F35" s="3530" t="s">
        <v>3717</v>
      </c>
      <c r="G35" s="3518" t="s">
        <v>3542</v>
      </c>
      <c r="H35" s="3530"/>
      <c r="I35" s="3530">
        <v>12280.94</v>
      </c>
      <c r="J35" s="3531">
        <v>12280.94</v>
      </c>
      <c r="K35" s="3530"/>
      <c r="L35" s="3535">
        <v>32716.42</v>
      </c>
      <c r="M35" s="3518">
        <v>26640</v>
      </c>
      <c r="N35" s="3535">
        <v>26639.99661263714</v>
      </c>
      <c r="O35" s="3530" t="s">
        <v>3526</v>
      </c>
      <c r="P35" s="3532">
        <v>45217</v>
      </c>
      <c r="Q35" s="3530" t="s">
        <v>3718</v>
      </c>
      <c r="R35" s="3530" t="s">
        <v>3719</v>
      </c>
      <c r="S35" s="3530">
        <v>42983.29</v>
      </c>
      <c r="T35" s="3535">
        <v>35000</v>
      </c>
      <c r="U35" s="3530" t="s">
        <v>3720</v>
      </c>
      <c r="V35" s="3537">
        <v>0.76114276036106121</v>
      </c>
      <c r="W35" s="3530" t="s">
        <v>3631</v>
      </c>
    </row>
    <row r="36" spans="1:23" ht="168">
      <c r="A36" s="3518">
        <v>589</v>
      </c>
      <c r="B36" s="3518" t="s">
        <v>3721</v>
      </c>
      <c r="C36" s="3518" t="s">
        <v>3722</v>
      </c>
      <c r="D36" s="3518" t="s">
        <v>3570</v>
      </c>
      <c r="E36" s="3530" t="s">
        <v>3571</v>
      </c>
      <c r="F36" s="3518" t="s">
        <v>3723</v>
      </c>
      <c r="G36" s="3518" t="s">
        <v>3724</v>
      </c>
      <c r="H36" s="3530"/>
      <c r="I36" s="3530">
        <v>11369.28</v>
      </c>
      <c r="J36" s="3531"/>
      <c r="K36" s="3530"/>
      <c r="L36" s="3548">
        <v>6336.32</v>
      </c>
      <c r="M36" s="3518">
        <v>5573</v>
      </c>
      <c r="N36" s="3535" t="e">
        <v>#DIV/0!</v>
      </c>
      <c r="O36" s="3518" t="s">
        <v>3725</v>
      </c>
      <c r="P36" s="3532">
        <v>45249</v>
      </c>
      <c r="Q36" s="3518" t="s">
        <v>3726</v>
      </c>
      <c r="R36" s="3530" t="s">
        <v>3727</v>
      </c>
      <c r="S36" s="3530">
        <v>11047</v>
      </c>
      <c r="T36" s="3535" t="e">
        <v>#DIV/0!</v>
      </c>
      <c r="U36" s="3530"/>
      <c r="V36" s="3537">
        <v>0.57357834706255084</v>
      </c>
      <c r="W36" s="3530" t="s">
        <v>3557</v>
      </c>
    </row>
    <row r="37" spans="1:23" ht="60">
      <c r="A37" s="3518">
        <v>590</v>
      </c>
      <c r="B37" s="3518" t="s">
        <v>3728</v>
      </c>
      <c r="C37" s="3518" t="s">
        <v>3729</v>
      </c>
      <c r="D37" s="3530" t="s">
        <v>3730</v>
      </c>
      <c r="E37" s="3530" t="s">
        <v>3731</v>
      </c>
      <c r="F37" s="3518" t="s">
        <v>3732</v>
      </c>
      <c r="G37" s="3518" t="s">
        <v>3525</v>
      </c>
      <c r="H37" s="3530"/>
      <c r="I37" s="3530">
        <v>2772.84</v>
      </c>
      <c r="J37" s="3531">
        <v>2772.84</v>
      </c>
      <c r="K37" s="3530"/>
      <c r="L37" s="3530">
        <v>1537.2144000000001</v>
      </c>
      <c r="M37" s="3518">
        <v>5544</v>
      </c>
      <c r="N37" s="3535">
        <v>5543.8265460682915</v>
      </c>
      <c r="O37" s="3518" t="s">
        <v>3733</v>
      </c>
      <c r="P37" s="3532">
        <v>45150</v>
      </c>
      <c r="Q37" s="3530" t="s">
        <v>3734</v>
      </c>
      <c r="R37" s="3530"/>
      <c r="S37" s="3530">
        <v>2347.21</v>
      </c>
      <c r="T37" s="3535">
        <v>8465.0033900261096</v>
      </c>
      <c r="U37" s="3530"/>
      <c r="V37" s="3537">
        <v>0.65491132024829479</v>
      </c>
      <c r="W37" s="3530" t="s">
        <v>3557</v>
      </c>
    </row>
    <row r="38" spans="1:23" ht="72">
      <c r="A38" s="3518">
        <v>591</v>
      </c>
      <c r="B38" s="3518" t="s">
        <v>3735</v>
      </c>
      <c r="C38" s="3530" t="s">
        <v>3638</v>
      </c>
      <c r="D38" s="3530" t="s">
        <v>3565</v>
      </c>
      <c r="E38" s="3518" t="s">
        <v>3639</v>
      </c>
      <c r="F38" s="3530" t="s">
        <v>3640</v>
      </c>
      <c r="G38" s="3518" t="s">
        <v>3641</v>
      </c>
      <c r="H38" s="3530"/>
      <c r="I38" s="3530">
        <v>57617.54</v>
      </c>
      <c r="J38" s="3531">
        <v>51245.68</v>
      </c>
      <c r="K38" s="3531">
        <v>6371.8600000000006</v>
      </c>
      <c r="L38" s="3530">
        <v>81377.37</v>
      </c>
      <c r="M38" s="3518">
        <v>14124</v>
      </c>
      <c r="N38" s="3535">
        <v>15879.849774654176</v>
      </c>
      <c r="O38" s="3530" t="s">
        <v>3526</v>
      </c>
      <c r="P38" s="3542">
        <v>45231</v>
      </c>
      <c r="Q38" s="3530" t="s">
        <v>3736</v>
      </c>
      <c r="R38" s="3530" t="s">
        <v>3545</v>
      </c>
      <c r="S38" s="3530"/>
      <c r="T38" s="3535">
        <v>0</v>
      </c>
      <c r="U38" s="3530"/>
      <c r="V38" s="3537" t="e">
        <v>#DIV/0!</v>
      </c>
      <c r="W38" s="3530" t="s">
        <v>3631</v>
      </c>
    </row>
    <row r="39" spans="1:23" ht="120" hidden="1">
      <c r="A39" s="3518">
        <v>596</v>
      </c>
      <c r="B39" s="3518" t="s">
        <v>3737</v>
      </c>
      <c r="C39" s="3518" t="s">
        <v>3738</v>
      </c>
      <c r="D39" s="3530" t="s">
        <v>3595</v>
      </c>
      <c r="E39" s="3530" t="s">
        <v>3739</v>
      </c>
      <c r="F39" s="3530" t="s">
        <v>3740</v>
      </c>
      <c r="G39" s="3518" t="s">
        <v>3542</v>
      </c>
      <c r="H39" s="3530"/>
      <c r="I39" s="3530">
        <v>19158.28</v>
      </c>
      <c r="J39" s="3531">
        <v>19158.28</v>
      </c>
      <c r="K39" s="3530"/>
      <c r="L39" s="3530">
        <v>167194.31</v>
      </c>
      <c r="M39" s="3518">
        <v>87270</v>
      </c>
      <c r="N39" s="3535">
        <v>87270.000229665719</v>
      </c>
      <c r="O39" s="3530" t="s">
        <v>3526</v>
      </c>
      <c r="P39" s="3542">
        <v>45280</v>
      </c>
      <c r="Q39" s="3518" t="s">
        <v>3741</v>
      </c>
      <c r="R39" s="3530" t="s">
        <v>3742</v>
      </c>
      <c r="S39" s="3530">
        <v>186026.87964172001</v>
      </c>
      <c r="T39" s="3535">
        <v>97099.99000000002</v>
      </c>
      <c r="U39" s="3530"/>
      <c r="V39" s="3537">
        <v>0.89876425558504902</v>
      </c>
      <c r="W39" s="3530" t="s">
        <v>3631</v>
      </c>
    </row>
    <row r="40" spans="1:23" ht="120" hidden="1">
      <c r="A40" s="3518">
        <v>600</v>
      </c>
      <c r="B40" s="3518" t="s">
        <v>3743</v>
      </c>
      <c r="C40" s="3518" t="s">
        <v>3738</v>
      </c>
      <c r="D40" s="3530" t="s">
        <v>3595</v>
      </c>
      <c r="E40" s="3530" t="s">
        <v>3739</v>
      </c>
      <c r="F40" s="3530" t="s">
        <v>3740</v>
      </c>
      <c r="G40" s="3518" t="s">
        <v>3542</v>
      </c>
      <c r="H40" s="3530"/>
      <c r="I40" s="3530">
        <v>9290.6</v>
      </c>
      <c r="J40" s="3531">
        <v>9290.6</v>
      </c>
      <c r="K40" s="3530"/>
      <c r="L40" s="3530">
        <v>81079.070000000007</v>
      </c>
      <c r="M40" s="3518">
        <v>87270</v>
      </c>
      <c r="N40" s="3535">
        <v>87270.004090155649</v>
      </c>
      <c r="O40" s="3530" t="s">
        <v>3526</v>
      </c>
      <c r="P40" s="3542">
        <v>45300</v>
      </c>
      <c r="Q40" s="3518" t="s">
        <v>3744</v>
      </c>
      <c r="R40" s="3530" t="s">
        <v>3742</v>
      </c>
      <c r="S40" s="3530">
        <v>90211.716709400003</v>
      </c>
      <c r="T40" s="3535">
        <v>97099.99</v>
      </c>
      <c r="U40" s="3530"/>
      <c r="V40" s="3537">
        <v>0.89876429534293101</v>
      </c>
      <c r="W40" s="3530" t="s">
        <v>3631</v>
      </c>
    </row>
    <row r="41" spans="1:23" ht="48">
      <c r="A41" s="3518">
        <v>613</v>
      </c>
      <c r="B41" s="3518" t="s">
        <v>3745</v>
      </c>
      <c r="C41" s="3518" t="s">
        <v>3746</v>
      </c>
      <c r="D41" s="3518" t="s">
        <v>3570</v>
      </c>
      <c r="E41" s="3530" t="s">
        <v>3571</v>
      </c>
      <c r="F41" s="3530" t="s">
        <v>3747</v>
      </c>
      <c r="G41" s="3518" t="s">
        <v>3692</v>
      </c>
      <c r="H41" s="3530"/>
      <c r="I41" s="3530">
        <v>5791.2</v>
      </c>
      <c r="J41" s="3531"/>
      <c r="K41" s="3530"/>
      <c r="L41" s="3530">
        <v>9265.92</v>
      </c>
      <c r="M41" s="3518">
        <v>16000</v>
      </c>
      <c r="N41" s="3535" t="e">
        <v>#DIV/0!</v>
      </c>
      <c r="O41" s="3530" t="s">
        <v>3526</v>
      </c>
      <c r="P41" s="3542">
        <v>45292</v>
      </c>
      <c r="Q41" s="3530" t="s">
        <v>3748</v>
      </c>
      <c r="R41" s="3530" t="s">
        <v>3749</v>
      </c>
      <c r="S41" s="3530">
        <v>12740.640000000001</v>
      </c>
      <c r="T41" s="3535" t="e">
        <v>#DIV/0!</v>
      </c>
      <c r="U41" s="3530"/>
      <c r="V41" s="3537">
        <v>0.72727272727272718</v>
      </c>
      <c r="W41" s="3530" t="s">
        <v>3613</v>
      </c>
    </row>
  </sheetData>
  <autoFilter ref="A1:W41">
    <filterColumn colId="3">
      <filters>
        <filter val="北京经济技术开发区"/>
        <filter val="朝阳区"/>
        <filter val="大兴区"/>
        <filter val="丰台区"/>
        <filter val="海淀区"/>
        <filter val="石景山区"/>
        <filter val="通州区"/>
        <filter val="延庆区"/>
      </filters>
    </filterColumn>
    <filterColumn colId="4">
      <filters>
        <filter val="京西商务园"/>
        <filter val="酒仙桥"/>
        <filter val="上地"/>
        <filter val="生物医药基地"/>
        <filter val="顺义"/>
        <filter val="台湖"/>
        <filter val="通州"/>
        <filter val="望京"/>
        <filter val="西三旗"/>
        <filter val="西山"/>
        <filter val="延庆"/>
        <filter val="亦庄"/>
        <filter val="总部基地"/>
      </filters>
    </filterColumn>
    <filterColumn colId="6">
      <filters>
        <filter val="办公（工业）"/>
        <filter val="厂房（办公）"/>
        <filter val="工业（办公）"/>
        <filter val="工业（厂房、办公）"/>
        <filter val="工业（实际办公）"/>
        <filter val="工业（研发办公）"/>
        <filter val="工业立项办公"/>
        <filter val="科研办公"/>
        <filter val="科研办公楼"/>
        <filter val="科研办公用房"/>
        <filter val="商业、办公、地下仓储"/>
        <filter val="商业\办公"/>
        <filter val="研发（工业、科研办公）"/>
        <filter val="研发办公"/>
        <filter val="研发办公/工业"/>
      </filters>
    </filterColumn>
  </autoFilter>
  <phoneticPr fontId="135" type="noConversion"/>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13" sqref="K13"/>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520013</v>
      </c>
      <c r="C2" s="1868" t="s">
        <v>1651</v>
      </c>
      <c r="D2" s="1869" t="s">
        <v>1652</v>
      </c>
      <c r="E2" s="2603">
        <f>SUM(E6:E13)</f>
        <v>316967.99</v>
      </c>
      <c r="F2" s="2703"/>
      <c r="G2" s="1485"/>
      <c r="H2" s="1485"/>
      <c r="I2" s="1485"/>
      <c r="J2" s="1485"/>
      <c r="K2" s="1485"/>
      <c r="L2" s="1485"/>
      <c r="M2" s="1485"/>
      <c r="N2" s="1485"/>
      <c r="O2" s="1485"/>
      <c r="P2" s="1485"/>
      <c r="Q2" s="1485"/>
      <c r="R2" s="1485"/>
      <c r="S2" s="1485"/>
    </row>
    <row r="3" spans="1:22" ht="15.75">
      <c r="A3" s="1866" t="s">
        <v>686</v>
      </c>
      <c r="B3" s="2597">
        <f ca="1">ROUND(B2*10000/E2,0)</f>
        <v>16406</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99" t="s">
        <v>1654</v>
      </c>
      <c r="C5" s="3800"/>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143919</v>
      </c>
      <c r="C6" s="1868" t="s">
        <v>1651</v>
      </c>
      <c r="D6" s="2705"/>
      <c r="E6" s="2602">
        <f>IF(OR(A6=0,F6="否"),0,'数据-取费表'!K6+'数据-取费表'!S6)</f>
        <v>66214</v>
      </c>
      <c r="F6" s="1872" t="s">
        <v>1657</v>
      </c>
      <c r="G6" s="1485"/>
      <c r="H6" s="1485"/>
      <c r="I6" s="1485"/>
      <c r="J6" s="1485"/>
      <c r="K6" s="1485"/>
      <c r="L6" s="1485"/>
      <c r="M6" s="1485"/>
      <c r="N6" s="1485"/>
      <c r="O6" s="1485"/>
      <c r="P6" s="1485"/>
      <c r="Q6" s="1485"/>
      <c r="R6" s="1485"/>
      <c r="S6" s="1485"/>
    </row>
    <row r="7" spans="1:22">
      <c r="A7" s="2600" t="str">
        <f>'数据-取费表'!AN7</f>
        <v>收益法办</v>
      </c>
      <c r="B7" s="2598">
        <f ca="1">IF(F7="是",'数据-取费表'!AO7,0)</f>
        <v>368903</v>
      </c>
      <c r="C7" s="1868" t="s">
        <v>1651</v>
      </c>
      <c r="D7" s="2705"/>
      <c r="E7" s="2602">
        <f>IF(OR(A7=0,F7="否"),0,'数据-取费表'!K7+'数据-取费表'!S7)</f>
        <v>180877.11999999997</v>
      </c>
      <c r="F7" s="1872" t="s">
        <v>1657</v>
      </c>
      <c r="G7" s="1485"/>
      <c r="H7" s="1485"/>
      <c r="I7" s="1485"/>
      <c r="J7" s="1485"/>
      <c r="K7" s="1485"/>
      <c r="L7" s="1485"/>
      <c r="M7" s="1485"/>
      <c r="N7" s="1485"/>
      <c r="O7" s="1485"/>
      <c r="P7" s="1485"/>
      <c r="Q7" s="1485"/>
      <c r="R7" s="1485"/>
      <c r="S7" s="1485"/>
    </row>
    <row r="8" spans="1:22">
      <c r="A8" s="2600" t="str">
        <f>'数据-取费表'!AN8</f>
        <v>收益法车</v>
      </c>
      <c r="B8" s="2598">
        <f ca="1">IF(F8="是",'数据-取费表'!AO8,0)</f>
        <v>7191</v>
      </c>
      <c r="C8" s="1868" t="s">
        <v>1651</v>
      </c>
      <c r="D8" s="2705"/>
      <c r="E8" s="2602">
        <f>IF(OR(A8=0,F8="否"),0,'数据-取费表'!K8+'数据-取费表'!S8)</f>
        <v>69876.87</v>
      </c>
      <c r="F8" s="1872" t="s">
        <v>1657</v>
      </c>
      <c r="G8" s="1485"/>
      <c r="H8" s="1485"/>
      <c r="I8" s="1485"/>
      <c r="J8" s="1485"/>
      <c r="K8" s="1485"/>
      <c r="L8" s="1485"/>
      <c r="M8" s="1485"/>
      <c r="N8" s="1485"/>
      <c r="O8" s="1485"/>
      <c r="P8" s="1485"/>
      <c r="Q8" s="1485"/>
      <c r="R8" s="1485"/>
      <c r="S8" s="1485"/>
    </row>
    <row r="9" spans="1:22">
      <c r="A9" s="2600">
        <f>'数据-取费表'!AN9</f>
        <v>0</v>
      </c>
      <c r="B9" s="2598">
        <f>IF(F9="是",'数据-取费表'!AO9,0)</f>
        <v>0</v>
      </c>
      <c r="C9" s="1868" t="s">
        <v>1651</v>
      </c>
      <c r="D9" s="2705"/>
      <c r="E9" s="2602">
        <f>IF(OR(A9=0,F9="否"),0,'数据-取费表'!K9+'数据-取费表'!S9)</f>
        <v>0</v>
      </c>
      <c r="F9" s="1872" t="s">
        <v>3485</v>
      </c>
      <c r="G9" s="1485"/>
      <c r="H9" s="1485"/>
      <c r="I9" s="1485"/>
      <c r="J9" s="1485"/>
      <c r="K9" s="1485"/>
      <c r="L9" s="1485"/>
      <c r="M9" s="1485"/>
      <c r="N9" s="1485"/>
      <c r="O9" s="1485"/>
      <c r="P9" s="1485"/>
      <c r="Q9" s="1485"/>
      <c r="R9" s="1485"/>
      <c r="S9" s="1485"/>
    </row>
    <row r="10" spans="1:22">
      <c r="A10" s="2600">
        <f>'数据-取费表'!AN10</f>
        <v>0</v>
      </c>
      <c r="B10" s="2598">
        <f>IF(F10="是",'数据-取费表'!AO10,0)</f>
        <v>0</v>
      </c>
      <c r="C10" s="1868" t="s">
        <v>1651</v>
      </c>
      <c r="D10" s="2705"/>
      <c r="E10" s="2602">
        <f>IF(OR(A10=0,F10="否"),0,'数据-取费表'!K10+'数据-取费表'!S10)</f>
        <v>0</v>
      </c>
      <c r="F10" s="1872" t="s">
        <v>3485</v>
      </c>
      <c r="G10" s="1485"/>
      <c r="H10" s="1485"/>
      <c r="I10" s="1485"/>
      <c r="J10" s="1485"/>
      <c r="K10" s="1485"/>
      <c r="L10" s="1485"/>
      <c r="M10" s="1485"/>
      <c r="N10" s="1485"/>
      <c r="O10" s="1485"/>
      <c r="P10" s="1485"/>
      <c r="Q10" s="1485"/>
      <c r="R10" s="1485"/>
      <c r="S10" s="1485"/>
    </row>
    <row r="11" spans="1:22">
      <c r="A11" s="2600">
        <f>'数据-取费表'!AN11</f>
        <v>0</v>
      </c>
      <c r="B11" s="2598">
        <f>IF(F11="是",'数据-取费表'!AO11,0)</f>
        <v>0</v>
      </c>
      <c r="C11" s="1868" t="s">
        <v>1651</v>
      </c>
      <c r="D11" s="2705"/>
      <c r="E11" s="2602">
        <f>IF(OR(A11=0,F11="否"),0,'数据-取费表'!K11+'数据-取费表'!S11)</f>
        <v>0</v>
      </c>
      <c r="F11" s="1872" t="s">
        <v>3485</v>
      </c>
      <c r="G11" s="1485"/>
      <c r="H11" s="1485"/>
      <c r="I11" s="1485"/>
      <c r="J11" s="1485"/>
      <c r="K11" s="1485"/>
      <c r="L11" s="1485"/>
      <c r="M11" s="1485"/>
      <c r="N11" s="1485"/>
      <c r="O11" s="1485"/>
      <c r="P11" s="1485"/>
      <c r="Q11" s="1485"/>
      <c r="R11" s="1485"/>
      <c r="S11" s="1485"/>
    </row>
    <row r="12" spans="1:22">
      <c r="A12" s="2600">
        <f>'数据-取费表'!AN12</f>
        <v>0</v>
      </c>
      <c r="B12" s="2598">
        <f>IF(F12="是",'数据-取费表'!AO12,0)</f>
        <v>0</v>
      </c>
      <c r="C12" s="1868" t="s">
        <v>1651</v>
      </c>
      <c r="D12" s="2705"/>
      <c r="E12" s="2602">
        <f>IF(OR(A12=0,F12="否"),0,'数据-取费表'!K12+'数据-取费表'!S12)</f>
        <v>0</v>
      </c>
      <c r="F12" s="1872" t="s">
        <v>3485</v>
      </c>
      <c r="G12" s="1485"/>
      <c r="H12" s="1485"/>
      <c r="I12" s="1485"/>
      <c r="J12" s="1485"/>
      <c r="K12" s="1485"/>
      <c r="L12" s="1485"/>
      <c r="M12" s="1485"/>
      <c r="N12" s="1485"/>
      <c r="O12" s="1485"/>
      <c r="P12" s="1485"/>
      <c r="Q12" s="1485"/>
      <c r="R12" s="1485"/>
      <c r="S12" s="1485"/>
    </row>
    <row r="13" spans="1:22" ht="15" thickBot="1">
      <c r="A13" s="2601">
        <f>'数据-取费表'!AN13</f>
        <v>0</v>
      </c>
      <c r="B13" s="2598">
        <f>IF(F13="是",'数据-取费表'!AO13,0)</f>
        <v>0</v>
      </c>
      <c r="C13" s="1873" t="s">
        <v>1651</v>
      </c>
      <c r="D13" s="2706"/>
      <c r="E13" s="2602">
        <f>IF(OR(A13=0,F13="否"),0,'数据-取费表'!K13+'数据-取费表'!S13)</f>
        <v>0</v>
      </c>
      <c r="F13" s="1872" t="s">
        <v>3485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G6" sqref="G6"/>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673</v>
      </c>
      <c r="D1" s="1358" t="s">
        <v>43</v>
      </c>
      <c r="E1" s="1359" t="s">
        <v>678</v>
      </c>
      <c r="F1" s="1058">
        <f ca="1">J53</f>
        <v>33.729999999999997</v>
      </c>
      <c r="G1" s="1374">
        <f>MATCH(C1,'数据-取费表'!A6:A16,0)+5</f>
        <v>6</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143919</v>
      </c>
      <c r="C2" s="1383" t="s">
        <v>805</v>
      </c>
      <c r="D2" s="1383"/>
      <c r="E2" s="1384"/>
      <c r="F2" s="1385"/>
      <c r="G2" s="2702"/>
      <c r="H2" s="2691"/>
      <c r="I2" s="2691"/>
      <c r="J2" s="2691"/>
      <c r="K2" s="2692"/>
      <c r="L2" s="2691"/>
      <c r="M2" s="2691"/>
    </row>
    <row r="3" spans="1:37" ht="18" customHeight="1" thickBot="1">
      <c r="A3" s="1386" t="s">
        <v>806</v>
      </c>
      <c r="B3" s="1387">
        <f ca="1">IF(ISERROR(B2*10000/F43),0,ROUND(B2*10000/F43,0))</f>
        <v>21735</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8712</v>
      </c>
      <c r="D5" s="1360" t="s">
        <v>693</v>
      </c>
      <c r="E5" s="1067"/>
      <c r="F5" s="1068"/>
      <c r="G5" s="1380"/>
      <c r="H5" s="296">
        <v>1</v>
      </c>
      <c r="I5" s="297" t="s">
        <v>692</v>
      </c>
      <c r="J5" s="1066">
        <f ca="1">J6+J10+J12</f>
        <v>0</v>
      </c>
      <c r="K5" s="1360" t="s">
        <v>693</v>
      </c>
      <c r="L5" s="1067"/>
      <c r="M5" s="1068"/>
    </row>
    <row r="6" spans="1:37" ht="18" customHeight="1">
      <c r="A6" s="1065" t="s">
        <v>398</v>
      </c>
      <c r="B6" s="3803" t="s">
        <v>694</v>
      </c>
      <c r="C6" s="1070">
        <f ca="1">ROUND(F6*F8*F7*(1-F9)/10000,0)</f>
        <v>8701</v>
      </c>
      <c r="D6" s="152" t="s">
        <v>2109</v>
      </c>
      <c r="E6" s="299" t="s">
        <v>696</v>
      </c>
      <c r="F6" s="300">
        <f ca="1">INDIRECT("'数据-取费表'!u"&amp;$G$1)</f>
        <v>4</v>
      </c>
      <c r="G6" s="1380"/>
      <c r="H6" s="1065" t="s">
        <v>398</v>
      </c>
      <c r="I6" s="3803" t="s">
        <v>694</v>
      </c>
      <c r="J6" s="298">
        <f ca="1">ROUND(M6*M8*M7*(1-M9)/10000,0)</f>
        <v>0</v>
      </c>
      <c r="K6" s="152" t="s">
        <v>2108</v>
      </c>
      <c r="L6" s="299" t="s">
        <v>696</v>
      </c>
      <c r="M6" s="300">
        <f ca="1">INDIRECT("'数据-取费表'!z"&amp;$G$1)</f>
        <v>0</v>
      </c>
    </row>
    <row r="7" spans="1:37" ht="18" customHeight="1">
      <c r="A7" s="1069"/>
      <c r="B7" s="3804"/>
      <c r="C7" s="1071"/>
      <c r="D7" s="304"/>
      <c r="E7" s="1072" t="s">
        <v>697</v>
      </c>
      <c r="F7" s="300">
        <f ca="1">IF(INDIRECT("'数据-取费表'!ah"&amp;$G$1)="",INDIRECT("'数据-取费表'!k"&amp;$G$1),INDIRECT("'数据-取费表'!ah"&amp;$G$1))</f>
        <v>66214</v>
      </c>
      <c r="G7" s="1380"/>
      <c r="H7" s="301"/>
      <c r="I7" s="3804"/>
      <c r="J7" s="303"/>
      <c r="K7" s="304"/>
      <c r="L7" s="299" t="s">
        <v>697</v>
      </c>
      <c r="M7" s="300">
        <f ca="1">F7</f>
        <v>66214</v>
      </c>
    </row>
    <row r="8" spans="1:37" ht="18" customHeight="1">
      <c r="A8" s="301"/>
      <c r="B8" s="3804"/>
      <c r="C8" s="303"/>
      <c r="D8" s="304"/>
      <c r="E8" s="299" t="s">
        <v>698</v>
      </c>
      <c r="F8" s="300">
        <f ca="1">INDIRECT("'数据-取费表'!ai"&amp;$G$1)</f>
        <v>365</v>
      </c>
      <c r="G8" s="1380"/>
      <c r="H8" s="301"/>
      <c r="I8" s="3804"/>
      <c r="J8" s="303"/>
      <c r="K8" s="304"/>
      <c r="L8" s="299" t="s">
        <v>698</v>
      </c>
      <c r="M8" s="300">
        <f ca="1">INDIRECT("'数据-取费表'!ai"&amp;$G$1)</f>
        <v>365</v>
      </c>
    </row>
    <row r="9" spans="1:37" ht="18" customHeight="1">
      <c r="A9" s="301"/>
      <c r="B9" s="3805"/>
      <c r="C9" s="303"/>
      <c r="D9" s="304"/>
      <c r="E9" s="299" t="s">
        <v>699</v>
      </c>
      <c r="F9" s="309">
        <f ca="1">INDIRECT("'数据-取费表'!w"&amp;$G$1)</f>
        <v>0.1</v>
      </c>
      <c r="G9" s="1380"/>
      <c r="H9" s="301"/>
      <c r="I9" s="3805"/>
      <c r="J9" s="303"/>
      <c r="K9" s="304"/>
      <c r="L9" s="310" t="s">
        <v>699</v>
      </c>
      <c r="M9" s="311">
        <f ca="1">INDIRECT("'数据-取费表'!ab"&amp;$G$1)</f>
        <v>0</v>
      </c>
    </row>
    <row r="10" spans="1:37" ht="18" customHeight="1">
      <c r="A10" s="1065" t="s">
        <v>402</v>
      </c>
      <c r="B10" s="1361" t="s">
        <v>700</v>
      </c>
      <c r="C10" s="313">
        <f ca="1">ROUND(IF(F10="押一",C6/12*F11,IF(F10="押二",C6/12*2*F11,IF(F10="押三",C6/12*3*F11,C11*F11))),0)</f>
        <v>11</v>
      </c>
      <c r="D10" s="1362" t="s">
        <v>2117</v>
      </c>
      <c r="E10" s="310" t="s">
        <v>701</v>
      </c>
      <c r="F10" s="1112" t="s">
        <v>3482</v>
      </c>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57205</v>
      </c>
      <c r="D13" s="1077" t="s">
        <v>705</v>
      </c>
      <c r="E13" s="1077"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43039</v>
      </c>
      <c r="D14" s="1341" t="s">
        <v>708</v>
      </c>
      <c r="E14" s="1338"/>
      <c r="F14" s="316"/>
      <c r="G14" s="1380"/>
      <c r="H14" s="978" t="s">
        <v>398</v>
      </c>
      <c r="I14" s="299" t="s">
        <v>709</v>
      </c>
      <c r="J14" s="21">
        <f ca="1">C29</f>
        <v>65753</v>
      </c>
      <c r="K14" s="12"/>
      <c r="L14" s="803"/>
      <c r="M14" s="804"/>
    </row>
    <row r="15" spans="1:37" s="1393" customFormat="1" ht="18" customHeight="1" thickBot="1">
      <c r="A15" s="978" t="s">
        <v>399</v>
      </c>
      <c r="B15" s="299" t="s">
        <v>710</v>
      </c>
      <c r="C15" s="21">
        <f ca="1">ROUND(C14*F15,0)</f>
        <v>2152</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331</v>
      </c>
      <c r="K16" s="1083" t="s">
        <v>715</v>
      </c>
      <c r="L16" s="1084"/>
      <c r="M16" s="1068"/>
    </row>
    <row r="17" spans="1:37" s="1393" customFormat="1" ht="18" customHeight="1">
      <c r="A17" s="978" t="s">
        <v>681</v>
      </c>
      <c r="B17" s="299" t="s">
        <v>716</v>
      </c>
      <c r="C17" s="21">
        <f ca="1">ROUND(F17*(F43+INDIRECT("'数据-取费表'!S"&amp;$G$1))/10000,0)</f>
        <v>1324</v>
      </c>
      <c r="D17" s="299" t="s">
        <v>717</v>
      </c>
      <c r="E17" s="299" t="s">
        <v>718</v>
      </c>
      <c r="F17" s="23">
        <f>'数据-取费表'!B35</f>
        <v>200</v>
      </c>
      <c r="G17" s="1392"/>
      <c r="H17" s="978" t="s">
        <v>398</v>
      </c>
      <c r="I17" s="299" t="s">
        <v>719</v>
      </c>
      <c r="J17" s="2312">
        <f ca="1">ROUND(IF(AND(项目基本情况!B11="自然人",项目基本情况!B10="北京市"),J6*M17/(1+'数据-取费表'!C42),J18+J19+J20),2)</f>
        <v>2.04</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861</v>
      </c>
      <c r="D18" s="299" t="s">
        <v>711</v>
      </c>
      <c r="E18" s="299" t="s">
        <v>712</v>
      </c>
      <c r="F18" s="319">
        <f>'数据-取费表'!B36</f>
        <v>0.02</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47376</v>
      </c>
      <c r="D19" s="128" t="s">
        <v>726</v>
      </c>
      <c r="E19" s="1356"/>
      <c r="F19" s="23"/>
      <c r="G19" s="1380"/>
      <c r="H19" s="978" t="s">
        <v>399</v>
      </c>
      <c r="I19" s="299" t="s">
        <v>727</v>
      </c>
      <c r="J19" s="21">
        <f ca="1">IF(K19="按租金收入计税",ROUND(J6*M19/(1+'数据-取费表'!C42),2),ROUND(C29*M19*0.7,2))</f>
        <v>0</v>
      </c>
      <c r="K19" s="1366" t="s">
        <v>3339</v>
      </c>
      <c r="L19" s="299" t="s">
        <v>712</v>
      </c>
      <c r="M19" s="319">
        <f>IF(K19="按租金收入计税",'数据-取费表'!B51,'数据-取费表'!B50)</f>
        <v>0.12</v>
      </c>
    </row>
    <row r="20" spans="1:37" s="1393" customFormat="1" ht="18" customHeight="1">
      <c r="A20" s="978" t="s">
        <v>402</v>
      </c>
      <c r="B20" s="299" t="s">
        <v>728</v>
      </c>
      <c r="C20" s="21">
        <f ca="1">ROUND(C19*F20,0)</f>
        <v>1421</v>
      </c>
      <c r="D20" s="320" t="s">
        <v>729</v>
      </c>
      <c r="E20" s="299" t="s">
        <v>712</v>
      </c>
      <c r="F20" s="319">
        <f>'数据-取费表'!B37</f>
        <v>0.03</v>
      </c>
      <c r="G20" s="1392"/>
      <c r="H20" s="978" t="s">
        <v>680</v>
      </c>
      <c r="I20" s="152" t="s">
        <v>730</v>
      </c>
      <c r="J20" s="22">
        <f ca="1">ROUND(M20*M21/10000,2)</f>
        <v>2.04</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13580.99</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复利计息。建造成本、管理费用、销售费用产生的利息。</v>
      </c>
      <c r="E22" s="1356"/>
      <c r="F22" s="23"/>
      <c r="G22" s="1380"/>
      <c r="H22" s="978" t="s">
        <v>402</v>
      </c>
      <c r="I22" s="299" t="s">
        <v>738</v>
      </c>
      <c r="J22" s="21">
        <f ca="1">ROUND(J14*M22,2)</f>
        <v>328.77</v>
      </c>
      <c r="K22" s="1340" t="s">
        <v>739</v>
      </c>
      <c r="L22" s="299" t="s">
        <v>712</v>
      </c>
      <c r="M22" s="325">
        <f ca="1">INDIRECT("'数据-取费表'!Ak"&amp;$G$1)</f>
        <v>5.0000000000000001E-3</v>
      </c>
    </row>
    <row r="23" spans="1:37" s="1393" customFormat="1" ht="18" customHeight="1">
      <c r="A23" s="978" t="s">
        <v>397</v>
      </c>
      <c r="B23" s="299" t="s">
        <v>740</v>
      </c>
      <c r="C23" s="21">
        <f ca="1">IF('数据-取费表'!B22&lt;=1,ROUND(C19*F24*F23/2,0)+ROUND(C20*F24*F23/2,0),ROUND(C19*(POWER((1+F24),F23/2)-1),0)+ROUND(C20*(POWER((1+F24),F23/2)-1),0))</f>
        <v>2114</v>
      </c>
      <c r="D23" s="326" t="str">
        <f>IF(F23&lt;=1,"(建造成本+管理费用)×利率×(建设周期÷2)","(建造成本+管理费用)×((1+利率)^(建设周期÷2)-1)")</f>
        <v>(建造成本+管理费用)×((1+利率)^(建设周期÷2)-1)</v>
      </c>
      <c r="E23" s="299" t="s">
        <v>741</v>
      </c>
      <c r="F23" s="322">
        <f>'数据-取费表'!B20</f>
        <v>2.5</v>
      </c>
      <c r="G23" s="1392"/>
      <c r="H23" s="978" t="s">
        <v>437</v>
      </c>
      <c r="I23" s="299" t="s">
        <v>742</v>
      </c>
      <c r="J23" s="21">
        <f ca="1">ROUND(J13*M23,2)</f>
        <v>0</v>
      </c>
      <c r="K23" s="1340" t="s">
        <v>743</v>
      </c>
      <c r="L23" s="299" t="s">
        <v>744</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8.9999999999999998E-4</v>
      </c>
      <c r="D24" s="326" t="str">
        <f>IF(F23&lt;=1,"销售费用×利率×(建设周期÷2)","销售费用×((1+利率)^(建设周期÷2)-1)")</f>
        <v>销售费用×((1+利率)^(建设周期÷2)-1)</v>
      </c>
      <c r="E24" s="299" t="s">
        <v>747</v>
      </c>
      <c r="F24" s="328">
        <f ca="1">'数据-取费表'!B40</f>
        <v>3.4500000000000003E-2</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1356"/>
      <c r="F25" s="23"/>
      <c r="G25" s="1380"/>
      <c r="H25" s="1075" t="s">
        <v>394</v>
      </c>
      <c r="I25" s="1090" t="s">
        <v>752</v>
      </c>
      <c r="J25" s="307">
        <f ca="1">J5-J16</f>
        <v>-331</v>
      </c>
      <c r="K25" s="1091" t="s">
        <v>753</v>
      </c>
      <c r="L25" s="1092"/>
      <c r="M25" s="1093"/>
    </row>
    <row r="26" spans="1:37">
      <c r="A26" s="978" t="s">
        <v>397</v>
      </c>
      <c r="B26" s="299" t="s">
        <v>754</v>
      </c>
      <c r="C26" s="21">
        <f ca="1">ROUND((C19+C20)*F26,0)</f>
        <v>9759</v>
      </c>
      <c r="D26" s="320" t="s">
        <v>755</v>
      </c>
      <c r="E26" s="310" t="s">
        <v>756</v>
      </c>
      <c r="F26" s="309">
        <f ca="1">INDIRECT("'数据-取费表'!q"&amp;$G$1)</f>
        <v>0.2</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1">
        <f ca="1">ROUND(F21*F26,4)</f>
        <v>4.0000000000000001E-3</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65753</v>
      </c>
      <c r="D29" s="1088"/>
      <c r="E29" s="1086"/>
      <c r="F29" s="1089"/>
      <c r="G29" s="1392"/>
      <c r="H29" s="331" t="s">
        <v>396</v>
      </c>
      <c r="I29" s="332" t="s">
        <v>768</v>
      </c>
      <c r="J29" s="333">
        <f ca="1">ROUND(J26/(1+F40)^F41,0)</f>
        <v>0</v>
      </c>
      <c r="K29" s="334" t="s">
        <v>769</v>
      </c>
      <c r="L29" s="335"/>
      <c r="M29" s="336">
        <f ca="1">INDIRECT("'数据-取费表'!k"&amp;$G$1)</f>
        <v>66214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1882</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1452.21</v>
      </c>
      <c r="D31" s="1341" t="s">
        <v>720</v>
      </c>
      <c r="E31" s="1340" t="s">
        <v>770</v>
      </c>
      <c r="F31" s="2311">
        <f ca="1">IF(项目基本情况!B11="企业","——",IF(M47="住宅",IF(F6*F7*F8/12/(1+'数据-取费表'!F30)&gt;100000,4%,2.5%),IF(F6*F7*F8/12/(1+'数据-取费表'!F30)&gt;100000,12%,7%)))</f>
        <v>0.12</v>
      </c>
      <c r="G31" s="1380"/>
      <c r="H31" s="2804" t="s">
        <v>2310</v>
      </c>
      <c r="I31" s="1394"/>
      <c r="J31" s="1395"/>
      <c r="K31" s="2471"/>
      <c r="L31" s="2694"/>
      <c r="M31" s="2695"/>
    </row>
    <row r="32" spans="1:37" ht="18" customHeight="1">
      <c r="A32" s="978" t="s">
        <v>397</v>
      </c>
      <c r="B32" s="299" t="s">
        <v>723</v>
      </c>
      <c r="C32" s="21">
        <f ca="1">IF(项目基本情况!B11="自然人","——",ROUND(C6*F32/(1+'数据-取费表'!C42),2))</f>
        <v>455.77</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994.4</v>
      </c>
      <c r="D33" s="1366" t="s">
        <v>3339</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2.04</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13580.99</v>
      </c>
      <c r="G35" s="1380"/>
      <c r="H35" s="2693"/>
      <c r="I35" s="1394"/>
      <c r="J35" s="1395"/>
      <c r="K35" s="2697"/>
      <c r="L35" s="2696"/>
      <c r="M35" s="2696"/>
    </row>
    <row r="36" spans="1:18" ht="18" customHeight="1">
      <c r="A36" s="1098" t="s">
        <v>402</v>
      </c>
      <c r="B36" s="299" t="s">
        <v>738</v>
      </c>
      <c r="C36" s="21">
        <f ca="1">ROUND(C29*F36,2)</f>
        <v>328.77</v>
      </c>
      <c r="D36" s="1340" t="s">
        <v>771</v>
      </c>
      <c r="E36" s="299" t="s">
        <v>712</v>
      </c>
      <c r="F36" s="325">
        <f ca="1">INDIRECT("'数据-取费表'!Ak"&amp;$G$1)</f>
        <v>5.0000000000000001E-3</v>
      </c>
      <c r="G36" s="1380"/>
      <c r="H36" s="2696"/>
      <c r="I36" s="1394"/>
      <c r="J36" s="1395"/>
      <c r="K36" s="2540"/>
      <c r="L36" s="2696"/>
      <c r="M36" s="2696"/>
    </row>
    <row r="37" spans="1:18" ht="18" customHeight="1">
      <c r="A37" s="978" t="s">
        <v>437</v>
      </c>
      <c r="B37" s="299" t="s">
        <v>742</v>
      </c>
      <c r="C37" s="21">
        <f ca="1">ROUND(C13*F37,2)</f>
        <v>57.21</v>
      </c>
      <c r="D37" s="1340" t="s">
        <v>743</v>
      </c>
      <c r="E37" s="299" t="s">
        <v>744</v>
      </c>
      <c r="F37" s="327">
        <f ca="1">INDIRECT("'数据-取费表'!Al"&amp;$G$1)</f>
        <v>1E-3</v>
      </c>
      <c r="G37" s="1380"/>
      <c r="H37" s="2696"/>
      <c r="I37" s="1394"/>
      <c r="J37" s="1395"/>
      <c r="K37" s="2540"/>
      <c r="L37" s="2696"/>
      <c r="M37" s="2696"/>
    </row>
    <row r="38" spans="1:18" ht="18" customHeight="1" thickBot="1">
      <c r="A38" s="1085" t="s">
        <v>684</v>
      </c>
      <c r="B38" s="1086" t="s">
        <v>728</v>
      </c>
      <c r="C38" s="1087">
        <f ca="1">ROUND(C5*F38,2)</f>
        <v>43.56</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772</v>
      </c>
      <c r="C39" s="307">
        <f ca="1">C5-C30</f>
        <v>6830</v>
      </c>
      <c r="D39" s="1091" t="s">
        <v>773</v>
      </c>
      <c r="E39" s="1092"/>
      <c r="F39" s="1093"/>
      <c r="G39" s="1380"/>
      <c r="H39" s="2696"/>
      <c r="I39" s="1394"/>
      <c r="J39" s="1395"/>
      <c r="K39" s="2700"/>
      <c r="L39" s="2696"/>
      <c r="M39" s="2696"/>
    </row>
    <row r="40" spans="1:18" ht="18" customHeight="1">
      <c r="A40" s="296" t="s">
        <v>395</v>
      </c>
      <c r="B40" s="297" t="s">
        <v>774</v>
      </c>
      <c r="C40" s="298">
        <f ca="1">ROUND(C39*(1-((1+F42)/(1+F40))^F41)/(F40-F42),0)</f>
        <v>141625</v>
      </c>
      <c r="D40" s="321" t="s">
        <v>758</v>
      </c>
      <c r="E40" s="299" t="s">
        <v>759</v>
      </c>
      <c r="F40" s="309">
        <f ca="1">INDIRECT("'数据-取费表'!I"&amp;$G$1)</f>
        <v>5.5E-2</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33.729999999999997</v>
      </c>
      <c r="G41" s="1380"/>
      <c r="H41" s="1187"/>
      <c r="I41" s="1394"/>
      <c r="J41" s="1395"/>
      <c r="K41" s="2540"/>
      <c r="L41" s="1187"/>
      <c r="M41" s="1187"/>
    </row>
    <row r="42" spans="1:18" ht="18" customHeight="1">
      <c r="A42" s="305"/>
      <c r="B42" s="306"/>
      <c r="C42" s="307"/>
      <c r="D42" s="324"/>
      <c r="E42" s="299" t="s">
        <v>766</v>
      </c>
      <c r="F42" s="309">
        <f ca="1">INDIRECT("'数据-取费表'!v"&amp;$G$1)</f>
        <v>2.5000000000000001E-2</v>
      </c>
      <c r="G42" s="1380"/>
      <c r="H42" s="1187"/>
      <c r="I42" s="1394"/>
      <c r="J42" s="1395"/>
      <c r="K42" s="2540"/>
      <c r="L42" s="1187"/>
      <c r="M42" s="1187"/>
    </row>
    <row r="43" spans="1:18" ht="18" customHeight="1" thickBot="1">
      <c r="A43" s="331" t="s">
        <v>396</v>
      </c>
      <c r="B43" s="332" t="s">
        <v>776</v>
      </c>
      <c r="C43" s="333">
        <f ca="1">ROUND(C40*10000/F43,0)</f>
        <v>21389</v>
      </c>
      <c r="D43" s="334" t="s">
        <v>777</v>
      </c>
      <c r="E43" s="335" t="s">
        <v>778</v>
      </c>
      <c r="F43" s="336">
        <f ca="1">INDIRECT("'数据-取费表'!k"&amp;$G$1)</f>
        <v>66214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f ca="1">C68-C40</f>
        <v>-147520</v>
      </c>
      <c r="D46" s="1402" t="str">
        <f>C2</f>
        <v>万元</v>
      </c>
      <c r="E46" s="1396"/>
      <c r="F46" s="1396"/>
      <c r="I46" s="1403" t="s">
        <v>810</v>
      </c>
      <c r="J46" s="1404"/>
      <c r="K46" s="1405"/>
      <c r="L46" s="1406">
        <f ca="1">IF(M47="住宅",0,IF(L48&gt;J51,L60,J60))</f>
        <v>2294</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3483</v>
      </c>
      <c r="K47" s="1412" t="s">
        <v>816</v>
      </c>
      <c r="L47" s="1413">
        <f ca="1">INDIRECT("'数据-取费表'!d"&amp;$G$1)</f>
        <v>50</v>
      </c>
      <c r="M47" s="1376" t="str">
        <f>IF(ISNUMBER(FIND("住宅",C1)),"住宅","非住宅")</f>
        <v>非住宅</v>
      </c>
      <c r="O47" s="1414" t="s">
        <v>403</v>
      </c>
      <c r="P47" s="1415" t="s">
        <v>817</v>
      </c>
      <c r="Q47" s="1416">
        <f ca="1">C40+J29</f>
        <v>141625</v>
      </c>
      <c r="R47" s="1416" t="s">
        <v>818</v>
      </c>
    </row>
    <row r="48" spans="1:18" s="1380" customFormat="1" ht="28.5" thickBot="1">
      <c r="A48" s="1106" t="s">
        <v>438</v>
      </c>
      <c r="B48" s="297" t="s">
        <v>692</v>
      </c>
      <c r="C48" s="1355">
        <f ca="1">C49+C53+C55</f>
        <v>0</v>
      </c>
      <c r="D48" s="1108"/>
      <c r="E48" s="1109"/>
      <c r="F48" s="958"/>
      <c r="G48" s="718"/>
      <c r="H48" s="719"/>
      <c r="I48" s="1417" t="s">
        <v>819</v>
      </c>
      <c r="J48" s="1418" t="s">
        <v>3484</v>
      </c>
      <c r="K48" s="1419" t="s">
        <v>820</v>
      </c>
      <c r="L48" s="1420">
        <f ca="1">INDIRECT("'数据-取费表'!f"&amp;$G$1)</f>
        <v>33.729999999999997</v>
      </c>
      <c r="O48" s="1414" t="s">
        <v>404</v>
      </c>
      <c r="P48" s="1415" t="s">
        <v>821</v>
      </c>
      <c r="Q48" s="1416">
        <f ca="1">J60</f>
        <v>2294</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v>2016</v>
      </c>
      <c r="K49" s="1419" t="s">
        <v>824</v>
      </c>
      <c r="L49" s="1423"/>
      <c r="O49" s="1424" t="s">
        <v>405</v>
      </c>
      <c r="P49" s="1415" t="s">
        <v>825</v>
      </c>
      <c r="Q49" s="1416">
        <f ca="1">C29</f>
        <v>65753</v>
      </c>
      <c r="R49" s="1416" t="s">
        <v>818</v>
      </c>
    </row>
    <row r="50" spans="1:18" s="1380" customFormat="1" ht="13.5" thickBot="1">
      <c r="A50" s="972"/>
      <c r="B50" s="975"/>
      <c r="C50" s="1114"/>
      <c r="D50" s="949"/>
      <c r="E50" s="1052" t="s">
        <v>697</v>
      </c>
      <c r="F50" s="1053">
        <f ca="1">F7</f>
        <v>66214</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365</v>
      </c>
      <c r="I51" s="1428" t="s">
        <v>829</v>
      </c>
      <c r="J51" s="1429">
        <f>IF(J49="",J50,J49+J50-YEAR('数据-取费表'!B2))</f>
        <v>52</v>
      </c>
      <c r="K51" s="1430" t="s">
        <v>830</v>
      </c>
      <c r="L51" s="1431">
        <f ca="1">ROUND(-PV(INDIRECT("'数据-取费表'!h"&amp;$G$1),J51,(C39-C13*C76),0),0)</f>
        <v>56426</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33.729999999999997</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4">
        <f ca="1">IF(M47="住宅",IF(D1="——",MAX(J51,L48),MAX(J51,L48-'数据-取费表'!B24)),IF(D1="——",MIN(J51,L48),MIN(J51,L48-'数据-取费表'!B24)))</f>
        <v>33.729999999999997</v>
      </c>
      <c r="K53" s="3801" t="s">
        <v>837</v>
      </c>
      <c r="L53" s="3802"/>
      <c r="O53" s="1414" t="s">
        <v>409</v>
      </c>
      <c r="P53" s="1415" t="s">
        <v>838</v>
      </c>
      <c r="Q53" s="1416">
        <f ca="1">Q47+Q48</f>
        <v>143919</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0.30499999999999999</v>
      </c>
      <c r="K55" s="1441" t="s">
        <v>841</v>
      </c>
      <c r="L55" s="1442"/>
      <c r="O55" s="1407" t="s">
        <v>811</v>
      </c>
      <c r="P55" s="1408" t="s">
        <v>812</v>
      </c>
      <c r="Q55" s="1409" t="s">
        <v>813</v>
      </c>
      <c r="R55" s="1409" t="s">
        <v>814</v>
      </c>
    </row>
    <row r="56" spans="1:18" s="1380" customFormat="1" ht="25.5" thickTop="1" thickBot="1">
      <c r="A56" s="953">
        <v>2</v>
      </c>
      <c r="B56" s="954" t="s">
        <v>704</v>
      </c>
      <c r="C56" s="229">
        <f ca="1">C13</f>
        <v>57205</v>
      </c>
      <c r="D56" s="1443"/>
      <c r="E56" s="1444"/>
      <c r="F56" s="1436"/>
      <c r="I56" s="1445" t="s">
        <v>842</v>
      </c>
      <c r="J56" s="1446" t="s">
        <v>3485</v>
      </c>
      <c r="K56" s="1417" t="s">
        <v>843</v>
      </c>
      <c r="L56" s="1420" t="str">
        <f ca="1">IF(L48&lt;J51,"——",L48-J53)</f>
        <v>——</v>
      </c>
      <c r="O56" s="1414" t="s">
        <v>403</v>
      </c>
      <c r="P56" s="1415" t="s">
        <v>817</v>
      </c>
      <c r="Q56" s="1416">
        <f ca="1">C40+J29</f>
        <v>141625</v>
      </c>
      <c r="R56" s="1416" t="s">
        <v>818</v>
      </c>
    </row>
    <row r="57" spans="1:18" s="1380" customFormat="1" ht="24.75" thickBot="1">
      <c r="A57" s="1447"/>
      <c r="B57" s="946" t="s">
        <v>767</v>
      </c>
      <c r="C57" s="235">
        <f ca="1">C29</f>
        <v>65753</v>
      </c>
      <c r="D57" s="1448"/>
      <c r="E57" s="1449"/>
      <c r="F57" s="1450"/>
      <c r="I57" s="1451" t="s">
        <v>844</v>
      </c>
      <c r="J57" s="1452">
        <f ca="1">IF(OR(M47="住宅",J51&lt;L48,J56="是"),"——",J51-L48)</f>
        <v>18.270000000000003</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388</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26301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f ca="1">IF(OR(M47="住宅",J51&lt;L48,J56="是"),"0",ROUND(J59/(1+J52)^J53,0))</f>
        <v>2294</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3339</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2.04</v>
      </c>
      <c r="D62" s="961" t="s">
        <v>786</v>
      </c>
      <c r="E62" s="946" t="s">
        <v>787</v>
      </c>
      <c r="F62" s="322">
        <f t="shared" si="0"/>
        <v>1.5</v>
      </c>
      <c r="I62" s="1458" t="s">
        <v>858</v>
      </c>
      <c r="J62" s="1459" t="s">
        <v>859</v>
      </c>
      <c r="K62" s="1459" t="s">
        <v>860</v>
      </c>
      <c r="L62" s="1459" t="s">
        <v>861</v>
      </c>
      <c r="M62" s="1460" t="s">
        <v>862</v>
      </c>
      <c r="O62" s="1414" t="s">
        <v>409</v>
      </c>
      <c r="P62" s="1415" t="s">
        <v>863</v>
      </c>
      <c r="Q62" s="1416">
        <f ca="1">Q56+Q57</f>
        <v>141625</v>
      </c>
      <c r="R62" s="1416" t="s">
        <v>410</v>
      </c>
    </row>
    <row r="63" spans="1:18" s="1380" customFormat="1" ht="13.5" thickBot="1">
      <c r="A63" s="323"/>
      <c r="B63" s="952"/>
      <c r="C63" s="26"/>
      <c r="D63" s="962"/>
      <c r="E63" s="946" t="s">
        <v>788</v>
      </c>
      <c r="F63" s="300">
        <f t="shared" ca="1" si="0"/>
        <v>13580.99</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328.77</v>
      </c>
      <c r="D64" s="960" t="s">
        <v>791</v>
      </c>
      <c r="E64" s="946" t="s">
        <v>783</v>
      </c>
      <c r="F64" s="325">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57.21</v>
      </c>
      <c r="D65" s="960" t="s">
        <v>743</v>
      </c>
      <c r="E65" s="946" t="s">
        <v>744</v>
      </c>
      <c r="F65" s="327">
        <f t="shared" ca="1" si="0"/>
        <v>1E-3</v>
      </c>
      <c r="I65" s="1458" t="s">
        <v>867</v>
      </c>
      <c r="J65" s="1459">
        <v>40</v>
      </c>
      <c r="K65" s="1459">
        <v>30</v>
      </c>
      <c r="L65" s="1459">
        <v>50</v>
      </c>
      <c r="M65" s="1461">
        <v>0.02</v>
      </c>
      <c r="O65" s="1414" t="s">
        <v>403</v>
      </c>
      <c r="P65" s="1415" t="s">
        <v>868</v>
      </c>
      <c r="Q65" s="1416">
        <f ca="1">C40+J29</f>
        <v>141625</v>
      </c>
      <c r="R65" s="1416" t="s">
        <v>818</v>
      </c>
    </row>
    <row r="66" spans="1:18" s="1380" customFormat="1" ht="16.5" thickBot="1">
      <c r="A66" s="978" t="s">
        <v>793</v>
      </c>
      <c r="B66" s="946" t="s">
        <v>728</v>
      </c>
      <c r="C66" s="21">
        <f ca="1">ROUND(C48*F66,2)</f>
        <v>0</v>
      </c>
      <c r="D66" s="960" t="s">
        <v>794</v>
      </c>
      <c r="E66" s="946" t="s">
        <v>712</v>
      </c>
      <c r="F66" s="309">
        <f t="shared" ca="1" si="0"/>
        <v>5.0000000000000001E-3</v>
      </c>
      <c r="O66" s="1414" t="s">
        <v>404</v>
      </c>
      <c r="P66" s="1415" t="s">
        <v>846</v>
      </c>
      <c r="Q66" s="1416">
        <f ca="1">L60</f>
        <v>0</v>
      </c>
      <c r="R66" s="1416" t="s">
        <v>869</v>
      </c>
    </row>
    <row r="67" spans="1:18" s="1380" customFormat="1" ht="16.5" thickBot="1">
      <c r="A67" s="953" t="s">
        <v>394</v>
      </c>
      <c r="B67" s="963" t="s">
        <v>752</v>
      </c>
      <c r="C67" s="313">
        <f ca="1">C48-C58</f>
        <v>-388</v>
      </c>
      <c r="D67" s="959" t="s">
        <v>753</v>
      </c>
      <c r="E67" s="964"/>
      <c r="F67" s="965"/>
      <c r="O67" s="1424" t="s">
        <v>405</v>
      </c>
      <c r="P67" s="1415" t="s">
        <v>850</v>
      </c>
      <c r="Q67" s="1462">
        <f ca="1">L51</f>
        <v>56426</v>
      </c>
      <c r="R67" s="1416" t="s">
        <v>870</v>
      </c>
    </row>
    <row r="68" spans="1:18" s="1380" customFormat="1" ht="16.5" thickBot="1">
      <c r="A68" s="943" t="s">
        <v>395</v>
      </c>
      <c r="B68" s="944" t="s">
        <v>774</v>
      </c>
      <c r="C68" s="298">
        <f ca="1">ROUND(C67*(1-((1+F70)/(1+F68))^F69)/(F68-F70),0)</f>
        <v>-5895</v>
      </c>
      <c r="D68" s="961" t="s">
        <v>758</v>
      </c>
      <c r="E68" s="946" t="s">
        <v>759</v>
      </c>
      <c r="F68" s="309">
        <f ca="1">F40</f>
        <v>5.5E-2</v>
      </c>
      <c r="O68" s="1424" t="s">
        <v>406</v>
      </c>
      <c r="P68" s="1463" t="s">
        <v>871</v>
      </c>
      <c r="Q68" s="1416">
        <f ca="1">ROUND(Q69-Q70*Q71,0)</f>
        <v>2826</v>
      </c>
      <c r="R68" s="1416" t="s">
        <v>414</v>
      </c>
    </row>
    <row r="69" spans="1:18" s="1380" customFormat="1" ht="13.5" thickBot="1">
      <c r="A69" s="947"/>
      <c r="B69" s="948"/>
      <c r="C69" s="303"/>
      <c r="D69" s="966" t="s">
        <v>762</v>
      </c>
      <c r="E69" s="946" t="s">
        <v>763</v>
      </c>
      <c r="F69" s="330">
        <f ca="1">F41</f>
        <v>33.729999999999997</v>
      </c>
      <c r="O69" s="1424" t="s">
        <v>411</v>
      </c>
      <c r="P69" s="1463" t="s">
        <v>872</v>
      </c>
      <c r="Q69" s="1416">
        <f ca="1">C39</f>
        <v>6830</v>
      </c>
      <c r="R69" s="1416" t="s">
        <v>818</v>
      </c>
    </row>
    <row r="70" spans="1:18" s="1380" customFormat="1" ht="13.5" thickBot="1">
      <c r="A70" s="950"/>
      <c r="B70" s="951"/>
      <c r="C70" s="307"/>
      <c r="D70" s="962"/>
      <c r="E70" s="946" t="s">
        <v>766</v>
      </c>
      <c r="F70" s="1050"/>
      <c r="O70" s="1424" t="s">
        <v>412</v>
      </c>
      <c r="P70" s="1463" t="s">
        <v>873</v>
      </c>
      <c r="Q70" s="1416">
        <f ca="1">C13</f>
        <v>57205</v>
      </c>
      <c r="R70" s="1416" t="s">
        <v>818</v>
      </c>
    </row>
    <row r="71" spans="1:18" s="1380" customFormat="1" ht="13.5" thickBot="1">
      <c r="A71" s="967" t="s">
        <v>396</v>
      </c>
      <c r="B71" s="968" t="s">
        <v>776</v>
      </c>
      <c r="C71" s="333">
        <f ca="1">ROUND(C68*10000/F71,0)</f>
        <v>-890</v>
      </c>
      <c r="D71" s="969" t="s">
        <v>777</v>
      </c>
      <c r="E71" s="970" t="s">
        <v>778</v>
      </c>
      <c r="F71" s="336">
        <f ca="1">F43</f>
        <v>66214</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4004</v>
      </c>
      <c r="D75" s="1380"/>
      <c r="E75" s="1380"/>
      <c r="F75" s="1380"/>
      <c r="K75" s="1398"/>
      <c r="L75" s="1380"/>
      <c r="O75" s="1414" t="s">
        <v>409</v>
      </c>
      <c r="P75" s="1415" t="s">
        <v>838</v>
      </c>
      <c r="Q75" s="1416">
        <f ca="1">Q65+Q66</f>
        <v>141625</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0.41400000000000003</v>
      </c>
    </row>
    <row r="80" spans="1:18">
      <c r="B80" s="337" t="s">
        <v>800</v>
      </c>
      <c r="C80" s="271">
        <f ca="1">ROUND(C75/C39,3)</f>
        <v>0.58599999999999997</v>
      </c>
    </row>
    <row r="81" spans="2:3">
      <c r="B81" s="267" t="s">
        <v>801</v>
      </c>
      <c r="C81" s="235"/>
    </row>
    <row r="82" spans="2:3">
      <c r="B82" s="270" t="s">
        <v>802</v>
      </c>
      <c r="C82" s="272">
        <f ca="1">1-C83</f>
        <v>0.59599999999999997</v>
      </c>
    </row>
    <row r="83" spans="2:3">
      <c r="B83" s="270" t="s">
        <v>803</v>
      </c>
      <c r="C83" s="271">
        <f ca="1">ROUND(C13/C40,3)</f>
        <v>0.40400000000000003</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9</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803" t="s">
        <v>694</v>
      </c>
      <c r="C6" s="1070">
        <f ca="1">ROUND(F6*F8*F7*(1-F9),0)</f>
        <v>0</v>
      </c>
      <c r="D6" s="152" t="s">
        <v>2106</v>
      </c>
      <c r="E6" s="299" t="s">
        <v>696</v>
      </c>
      <c r="F6" s="300">
        <f ca="1">INDIRECT("'数据-取费表'!u"&amp;$G$1)</f>
        <v>0</v>
      </c>
      <c r="G6" s="1380"/>
      <c r="H6" s="1065" t="s">
        <v>398</v>
      </c>
      <c r="I6" s="3803" t="s">
        <v>694</v>
      </c>
      <c r="J6" s="298">
        <f ca="1">ROUND(M6*M8*M7*(1-M9),0)</f>
        <v>0</v>
      </c>
      <c r="K6" s="1372" t="s">
        <v>2107</v>
      </c>
      <c r="L6" s="299" t="s">
        <v>696</v>
      </c>
      <c r="M6" s="300">
        <f ca="1">INDIRECT("'数据-取费表'!z"&amp;$G$1)</f>
        <v>0</v>
      </c>
    </row>
    <row r="7" spans="1:37" ht="18" customHeight="1">
      <c r="A7" s="1069"/>
      <c r="B7" s="3804"/>
      <c r="C7" s="1071"/>
      <c r="D7" s="304"/>
      <c r="E7" s="1072" t="s">
        <v>697</v>
      </c>
      <c r="F7" s="300">
        <f ca="1">IF(INDIRECT("'数据-取费表'!ah"&amp;$G$1)="",INDIRECT("'数据-取费表'!k"&amp;$G$1),INDIRECT("'数据-取费表'!ah"&amp;$G$1))</f>
        <v>0</v>
      </c>
      <c r="G7" s="1380"/>
      <c r="H7" s="301"/>
      <c r="I7" s="3804"/>
      <c r="J7" s="303"/>
      <c r="K7" s="304"/>
      <c r="L7" s="299" t="s">
        <v>697</v>
      </c>
      <c r="M7" s="300">
        <f ca="1">F7</f>
        <v>0</v>
      </c>
    </row>
    <row r="8" spans="1:37" ht="18" customHeight="1">
      <c r="A8" s="301"/>
      <c r="B8" s="3804"/>
      <c r="C8" s="303"/>
      <c r="D8" s="304"/>
      <c r="E8" s="299" t="s">
        <v>698</v>
      </c>
      <c r="F8" s="300">
        <f ca="1">INDIRECT("'数据-取费表'!ai"&amp;$G$1)</f>
        <v>0</v>
      </c>
      <c r="G8" s="1380"/>
      <c r="H8" s="301"/>
      <c r="I8" s="3804"/>
      <c r="J8" s="303"/>
      <c r="K8" s="304"/>
      <c r="L8" s="299" t="s">
        <v>698</v>
      </c>
      <c r="M8" s="300">
        <f ca="1">INDIRECT("'数据-取费表'!ai"&amp;$G$1)</f>
        <v>0</v>
      </c>
    </row>
    <row r="9" spans="1:37" ht="18" customHeight="1">
      <c r="A9" s="301"/>
      <c r="B9" s="3805"/>
      <c r="C9" s="303"/>
      <c r="D9" s="304"/>
      <c r="E9" s="299" t="s">
        <v>699</v>
      </c>
      <c r="F9" s="309">
        <f ca="1">INDIRECT("'数据-取费表'!w"&amp;$G$1)</f>
        <v>0</v>
      </c>
      <c r="G9" s="1380"/>
      <c r="H9" s="301"/>
      <c r="I9" s="3805"/>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0.02</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8" t="s">
        <v>726</v>
      </c>
      <c r="E19" s="1356"/>
      <c r="F19" s="23"/>
      <c r="G19" s="1380"/>
      <c r="H19" s="978" t="s">
        <v>399</v>
      </c>
      <c r="I19" s="299" t="s">
        <v>727</v>
      </c>
      <c r="J19" s="21">
        <f ca="1">IF(K19="按租金收入计税",ROUND(J6*M19/(1+'数据-取费表'!C42),0),ROUND(C29*M19*0.7,0))</f>
        <v>0</v>
      </c>
      <c r="K19" s="1366" t="s">
        <v>3339</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2.5</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8.9999999999999998E-4</v>
      </c>
      <c r="D24" s="326" t="str">
        <f>IF(F23&lt;=1,"销售费用×利率×(建设周期÷2)","销售费用×((1+利率)^(建设周期÷2)-1)")</f>
        <v>销售费用×((1+利率)^(建设周期÷2)-1)</v>
      </c>
      <c r="E24" s="299" t="s">
        <v>747</v>
      </c>
      <c r="F24" s="328">
        <f ca="1">'数据-取费表'!B40</f>
        <v>3.4500000000000003E-2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8"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ROUND(IF(AND(项目基本情况!B11="自然人",项目基本情况!B10="北京市"),C6*F31/(1+'数据-取费表'!C42),C32+C33+C34),0)</f>
        <v>0</v>
      </c>
      <c r="D31" s="1341" t="s">
        <v>720</v>
      </c>
      <c r="E31" s="1340" t="s">
        <v>770</v>
      </c>
      <c r="F31" s="2311">
        <f ca="1">IF(项目基本情况!B11="企业","——",IF(M47="住宅",IF(F6*F7*F8/12/(1+'数据-取费表'!F30)&gt;100000,4%,2.5%),IF(F6*F7*F8/12/(1+'数据-取费表'!F30)&gt;100000,12%,7%)))</f>
        <v>7.0000000000000007E-2</v>
      </c>
      <c r="G31" s="1380"/>
      <c r="H31" s="2804" t="s">
        <v>2310</v>
      </c>
      <c r="I31" s="1394"/>
      <c r="J31" s="1395"/>
      <c r="K31" s="2471"/>
      <c r="L31" s="2694"/>
      <c r="M31" s="2695"/>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3339</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IF(项目基本情况!B11="自然人","——",ROUND(F34*F35,0))</f>
        <v>0</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0</v>
      </c>
      <c r="G35" s="1380"/>
      <c r="H35" s="2693"/>
      <c r="I35" s="1394"/>
      <c r="J35" s="1395"/>
      <c r="K35" s="2697"/>
      <c r="L35" s="2696"/>
      <c r="M35" s="2696"/>
    </row>
    <row r="36" spans="1:18" ht="18" customHeight="1">
      <c r="A36" s="1098" t="s">
        <v>402</v>
      </c>
      <c r="B36" s="299" t="s">
        <v>738</v>
      </c>
      <c r="C36" s="21">
        <f ca="1">ROUND(C29*F36,0)</f>
        <v>0</v>
      </c>
      <c r="D36" s="1340" t="s">
        <v>771</v>
      </c>
      <c r="E36" s="299" t="s">
        <v>712</v>
      </c>
      <c r="F36" s="325">
        <f ca="1">INDIRECT("'数据-取费表'!Ak"&amp;$G$1)</f>
        <v>0</v>
      </c>
      <c r="G36" s="1380"/>
      <c r="H36" s="2696"/>
      <c r="I36" s="1394"/>
      <c r="J36" s="1395"/>
      <c r="K36" s="2540"/>
      <c r="L36" s="2696"/>
      <c r="M36" s="2696"/>
    </row>
    <row r="37" spans="1:18" ht="18" customHeight="1">
      <c r="A37" s="978" t="s">
        <v>437</v>
      </c>
      <c r="B37" s="299" t="s">
        <v>742</v>
      </c>
      <c r="C37" s="21">
        <f ca="1">ROUND(C13*F37,0)</f>
        <v>0</v>
      </c>
      <c r="D37" s="1340" t="s">
        <v>743</v>
      </c>
      <c r="E37" s="299" t="s">
        <v>744</v>
      </c>
      <c r="F37" s="327">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7">
        <f ca="1">C5-C30</f>
        <v>0</v>
      </c>
      <c r="D39" s="1091" t="s">
        <v>773</v>
      </c>
      <c r="E39" s="1092"/>
      <c r="F39" s="1093"/>
      <c r="G39" s="1380"/>
      <c r="H39" s="2696"/>
      <c r="I39" s="1394"/>
      <c r="J39" s="1395"/>
      <c r="K39" s="2700"/>
      <c r="L39" s="2696"/>
      <c r="M39" s="2696"/>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40"/>
      <c r="L41" s="1187"/>
      <c r="M41" s="1187"/>
    </row>
    <row r="42" spans="1:18" ht="18" customHeight="1">
      <c r="A42" s="305"/>
      <c r="B42" s="306"/>
      <c r="C42" s="307"/>
      <c r="D42" s="324"/>
      <c r="E42" s="299" t="s">
        <v>766</v>
      </c>
      <c r="F42" s="309">
        <f ca="1">INDIRECT("'数据-取费表'!v"&amp;$G$1)</f>
        <v>0</v>
      </c>
      <c r="G42" s="1380"/>
      <c r="H42" s="1187"/>
      <c r="I42" s="1394"/>
      <c r="J42" s="1395"/>
      <c r="K42" s="2540"/>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3355</v>
      </c>
      <c r="B45" s="1396"/>
      <c r="C45" s="1468" t="e">
        <f ca="1">ROUND((C68-C40)/10000,4)</f>
        <v>#DIV/0!</v>
      </c>
      <c r="D45" s="3428" t="s">
        <v>3356</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4">
        <f ca="1">IF(M47="住宅",IF(D1="——",MAX(J51,L48),MAX(J51,L48-'数据-取费表'!B24)),IF(D1="——",MIN(J51,L48),MIN(J51,L48-'数据-取费表'!B24)))</f>
        <v>0</v>
      </c>
      <c r="K53" s="3801" t="s">
        <v>837</v>
      </c>
      <c r="L53" s="3802"/>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3339</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1" t="s">
        <v>2319</v>
      </c>
      <c r="B2" s="2839" t="e">
        <f>IF(D2="——",C40,C40+E2)</f>
        <v>#DIV/0!</v>
      </c>
      <c r="C2" s="2840" t="s">
        <v>2320</v>
      </c>
      <c r="D2" s="3439" t="s">
        <v>3362</v>
      </c>
      <c r="E2" s="3440"/>
      <c r="F2" s="2842"/>
      <c r="G2" s="2843"/>
      <c r="H2" s="2844"/>
      <c r="I2" s="2845"/>
      <c r="J2" s="3812" t="s">
        <v>2321</v>
      </c>
      <c r="K2" s="3813"/>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814" t="s">
        <v>2331</v>
      </c>
      <c r="K3" s="3815"/>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814" t="s">
        <v>2333</v>
      </c>
      <c r="K4" s="3815"/>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820" t="s">
        <v>2337</v>
      </c>
      <c r="B6" s="3821"/>
      <c r="C6" s="3822"/>
      <c r="D6" s="2866"/>
      <c r="E6" s="2867"/>
      <c r="F6" s="2868"/>
      <c r="G6" s="2869"/>
      <c r="H6" s="2844"/>
      <c r="I6" s="2845"/>
      <c r="J6" s="3806">
        <v>1</v>
      </c>
      <c r="K6" s="3807"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806"/>
      <c r="K7" s="3808"/>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823" t="s">
        <v>2351</v>
      </c>
      <c r="C8" s="3824"/>
      <c r="D8" s="2885" t="s">
        <v>2352</v>
      </c>
      <c r="E8" s="2886" t="s">
        <v>2353</v>
      </c>
      <c r="F8" s="2887" t="s">
        <v>2354</v>
      </c>
      <c r="G8" s="2888"/>
      <c r="H8" s="2844"/>
      <c r="I8" s="2845"/>
      <c r="J8" s="3806"/>
      <c r="K8" s="3808"/>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823" t="s">
        <v>2357</v>
      </c>
      <c r="C9" s="3824"/>
      <c r="D9" s="2885">
        <f>ROUND(D6*E9,0)</f>
        <v>0</v>
      </c>
      <c r="E9" s="2889"/>
      <c r="F9" s="2890" t="s">
        <v>2358</v>
      </c>
      <c r="G9" s="2869"/>
      <c r="H9" s="2844"/>
      <c r="I9" s="2845"/>
      <c r="J9" s="3806"/>
      <c r="K9" s="3808"/>
      <c r="L9" s="2879" t="s">
        <v>2359</v>
      </c>
      <c r="M9" s="2880"/>
      <c r="N9" s="2856"/>
      <c r="O9" s="2881"/>
      <c r="P9" s="2881"/>
      <c r="Q9" s="2882">
        <v>365</v>
      </c>
      <c r="R9" s="2883">
        <f t="shared" si="0"/>
        <v>0</v>
      </c>
      <c r="S9" s="2837"/>
      <c r="T9" s="2837"/>
      <c r="U9" s="2837"/>
      <c r="V9" s="2845"/>
    </row>
    <row r="10" spans="1:22" s="2849" customFormat="1" ht="13.15" customHeight="1">
      <c r="A10" s="2884">
        <v>2</v>
      </c>
      <c r="B10" s="3823" t="s">
        <v>2360</v>
      </c>
      <c r="C10" s="3824"/>
      <c r="D10" s="2885">
        <f>ROUND(D6*E10,0)</f>
        <v>0</v>
      </c>
      <c r="E10" s="2889"/>
      <c r="F10" s="2890" t="s">
        <v>2361</v>
      </c>
      <c r="G10" s="2869"/>
      <c r="H10" s="2844"/>
      <c r="I10" s="2845"/>
      <c r="J10" s="3806"/>
      <c r="K10" s="3808"/>
      <c r="L10" s="2879" t="s">
        <v>2362</v>
      </c>
      <c r="M10" s="2880"/>
      <c r="N10" s="2856"/>
      <c r="O10" s="2881"/>
      <c r="P10" s="2881"/>
      <c r="Q10" s="2882">
        <v>365</v>
      </c>
      <c r="R10" s="2883">
        <f t="shared" si="0"/>
        <v>0</v>
      </c>
      <c r="S10" s="2837"/>
      <c r="T10" s="2837"/>
      <c r="U10" s="2837"/>
      <c r="V10" s="2845"/>
    </row>
    <row r="11" spans="1:22" s="2849" customFormat="1" ht="13.15" customHeight="1">
      <c r="A11" s="2884">
        <v>3</v>
      </c>
      <c r="B11" s="3823" t="s">
        <v>2363</v>
      </c>
      <c r="C11" s="3824"/>
      <c r="D11" s="2885">
        <f>D12+D14+D15+D16</f>
        <v>0</v>
      </c>
      <c r="E11" s="2891" t="e">
        <f>D11/D6</f>
        <v>#DIV/0!</v>
      </c>
      <c r="F11" s="2887"/>
      <c r="G11" s="2888"/>
      <c r="H11" s="2844"/>
      <c r="I11" s="2845"/>
      <c r="J11" s="3806"/>
      <c r="K11" s="3808"/>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816" t="s">
        <v>2366</v>
      </c>
      <c r="C12" s="3817"/>
      <c r="D12" s="2893">
        <f>ROUND(D13*1.2%*(1-30%),0)</f>
        <v>0</v>
      </c>
      <c r="E12" s="2894">
        <v>1.2E-2</v>
      </c>
      <c r="F12" s="2887" t="s">
        <v>2367</v>
      </c>
      <c r="G12" s="2888"/>
      <c r="H12" s="2844"/>
      <c r="I12" s="2845"/>
      <c r="J12" s="3806"/>
      <c r="K12" s="3808"/>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806"/>
      <c r="K13" s="3808"/>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816" t="s">
        <v>2372</v>
      </c>
      <c r="C14" s="3817"/>
      <c r="D14" s="2893">
        <f>ROUND(E14*B5/10000,0)</f>
        <v>0</v>
      </c>
      <c r="E14" s="2882"/>
      <c r="F14" s="2887" t="s">
        <v>2373</v>
      </c>
      <c r="G14" s="2888"/>
      <c r="H14" s="2844"/>
      <c r="I14" s="2845"/>
      <c r="J14" s="3806"/>
      <c r="K14" s="3809"/>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816" t="s">
        <v>2376</v>
      </c>
      <c r="C15" s="3817"/>
      <c r="D15" s="2893">
        <f>ROUND(D6*E15,0)</f>
        <v>0</v>
      </c>
      <c r="E15" s="2894">
        <v>5.5E-2</v>
      </c>
      <c r="F15" s="2887" t="s">
        <v>2377</v>
      </c>
      <c r="G15" s="2869"/>
      <c r="H15" s="2844"/>
      <c r="I15" s="2845"/>
      <c r="J15" s="3806">
        <v>2</v>
      </c>
      <c r="K15" s="3807"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816" t="s">
        <v>2385</v>
      </c>
      <c r="C16" s="3817"/>
      <c r="D16" s="2904">
        <f>D6*E16</f>
        <v>0</v>
      </c>
      <c r="E16" s="2905"/>
      <c r="F16" s="2890" t="s">
        <v>2386</v>
      </c>
      <c r="G16" s="2869"/>
      <c r="H16" s="2844"/>
      <c r="I16" s="2845"/>
      <c r="J16" s="3806"/>
      <c r="K16" s="3808"/>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818" t="s">
        <v>2388</v>
      </c>
      <c r="C17" s="3819"/>
      <c r="D17" s="2907">
        <f>ROUND(D6*E17,0)</f>
        <v>0</v>
      </c>
      <c r="E17" s="2908"/>
      <c r="F17" s="2909" t="s">
        <v>2389</v>
      </c>
      <c r="G17" s="2869"/>
      <c r="H17" s="2844"/>
      <c r="I17" s="2845"/>
      <c r="J17" s="3806"/>
      <c r="K17" s="3808"/>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806"/>
      <c r="K18" s="3808"/>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806"/>
      <c r="K19" s="3809"/>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06">
        <v>3</v>
      </c>
      <c r="K20" s="3807"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806"/>
      <c r="K21" s="3808"/>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806"/>
      <c r="K22" s="3808"/>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806"/>
      <c r="K23" s="3808"/>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806"/>
      <c r="K24" s="3809"/>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810">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811"/>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812" t="s">
        <v>2321</v>
      </c>
      <c r="K32" s="3813"/>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814" t="s">
        <v>2331</v>
      </c>
      <c r="K33" s="3815"/>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814" t="s">
        <v>2333</v>
      </c>
      <c r="K34" s="381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806">
        <v>1</v>
      </c>
      <c r="K36" s="3807"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806"/>
      <c r="K37" s="3808"/>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06"/>
      <c r="K38" s="3808"/>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806"/>
      <c r="K39" s="3808"/>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806"/>
      <c r="K40" s="3809"/>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810">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811"/>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 sqref="D3"/>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21</v>
      </c>
      <c r="D1" s="1358" t="s">
        <v>43</v>
      </c>
      <c r="E1" s="1359" t="s">
        <v>678</v>
      </c>
      <c r="F1" s="1058">
        <f ca="1">J53</f>
        <v>33.729999999999997</v>
      </c>
      <c r="G1" s="1374">
        <f>MATCH(C1,'数据-取费表'!A6:A16,0)+5</f>
        <v>7</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368903</v>
      </c>
      <c r="C2" s="1383" t="s">
        <v>805</v>
      </c>
      <c r="D2" s="1383"/>
      <c r="E2" s="1384"/>
      <c r="F2" s="1385"/>
      <c r="G2" s="2702"/>
      <c r="H2" s="2691"/>
      <c r="I2" s="2691"/>
      <c r="J2" s="2691"/>
      <c r="K2" s="2692"/>
      <c r="L2" s="2691"/>
      <c r="M2" s="2691"/>
    </row>
    <row r="3" spans="1:37" ht="18" customHeight="1" thickBot="1">
      <c r="A3" s="1386" t="s">
        <v>806</v>
      </c>
      <c r="B3" s="1387">
        <f ca="1">IF(ISERROR(B2*10000/F43),0,ROUND(B2*10000/F43,0))</f>
        <v>20395</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22310</v>
      </c>
      <c r="D5" s="1360" t="s">
        <v>693</v>
      </c>
      <c r="E5" s="1067"/>
      <c r="F5" s="1068"/>
      <c r="G5" s="1380"/>
      <c r="H5" s="296">
        <v>1</v>
      </c>
      <c r="I5" s="297" t="s">
        <v>692</v>
      </c>
      <c r="J5" s="1066">
        <f ca="1">J6+J10+J12</f>
        <v>0</v>
      </c>
      <c r="K5" s="1360" t="s">
        <v>693</v>
      </c>
      <c r="L5" s="1067"/>
      <c r="M5" s="1068"/>
    </row>
    <row r="6" spans="1:37" ht="18" customHeight="1">
      <c r="A6" s="1065" t="s">
        <v>398</v>
      </c>
      <c r="B6" s="3803" t="s">
        <v>694</v>
      </c>
      <c r="C6" s="1070">
        <f ca="1">ROUND(F6*F8*F7*(1-F9)/10000,0)</f>
        <v>22282</v>
      </c>
      <c r="D6" s="152" t="s">
        <v>2109</v>
      </c>
      <c r="E6" s="299" t="s">
        <v>696</v>
      </c>
      <c r="F6" s="300">
        <f ca="1">INDIRECT("'数据-取费表'!u"&amp;$G$1)</f>
        <v>3.75</v>
      </c>
      <c r="G6" s="1380"/>
      <c r="H6" s="1065" t="s">
        <v>398</v>
      </c>
      <c r="I6" s="3803" t="s">
        <v>694</v>
      </c>
      <c r="J6" s="298">
        <f ca="1">ROUND(M6*M8*M7*(1-M9)/10000,0)</f>
        <v>0</v>
      </c>
      <c r="K6" s="152" t="s">
        <v>2108</v>
      </c>
      <c r="L6" s="299" t="s">
        <v>696</v>
      </c>
      <c r="M6" s="300">
        <f ca="1">INDIRECT("'数据-取费表'!z"&amp;$G$1)</f>
        <v>0</v>
      </c>
    </row>
    <row r="7" spans="1:37" ht="18" customHeight="1">
      <c r="A7" s="1069"/>
      <c r="B7" s="3804"/>
      <c r="C7" s="1071"/>
      <c r="D7" s="304"/>
      <c r="E7" s="3448" t="s">
        <v>697</v>
      </c>
      <c r="F7" s="300">
        <f ca="1">IF(INDIRECT("'数据-取费表'!ah"&amp;$G$1)="",INDIRECT("'数据-取费表'!k"&amp;$G$1),INDIRECT("'数据-取费表'!ah"&amp;$G$1))</f>
        <v>180877.11999999997</v>
      </c>
      <c r="G7" s="1380"/>
      <c r="H7" s="301"/>
      <c r="I7" s="3804"/>
      <c r="J7" s="303"/>
      <c r="K7" s="304"/>
      <c r="L7" s="299" t="s">
        <v>697</v>
      </c>
      <c r="M7" s="300">
        <f ca="1">F7</f>
        <v>180877.11999999997</v>
      </c>
    </row>
    <row r="8" spans="1:37" ht="18" customHeight="1">
      <c r="A8" s="301"/>
      <c r="B8" s="3804"/>
      <c r="C8" s="303"/>
      <c r="D8" s="304"/>
      <c r="E8" s="299" t="s">
        <v>698</v>
      </c>
      <c r="F8" s="300">
        <f ca="1">INDIRECT("'数据-取费表'!ai"&amp;$G$1)</f>
        <v>365</v>
      </c>
      <c r="G8" s="1380"/>
      <c r="H8" s="301"/>
      <c r="I8" s="3804"/>
      <c r="J8" s="303"/>
      <c r="K8" s="304"/>
      <c r="L8" s="299" t="s">
        <v>698</v>
      </c>
      <c r="M8" s="300">
        <f ca="1">INDIRECT("'数据-取费表'!ai"&amp;$G$1)</f>
        <v>365</v>
      </c>
    </row>
    <row r="9" spans="1:37" ht="18" customHeight="1">
      <c r="A9" s="301"/>
      <c r="B9" s="3805"/>
      <c r="C9" s="303"/>
      <c r="D9" s="304"/>
      <c r="E9" s="299" t="s">
        <v>699</v>
      </c>
      <c r="F9" s="309">
        <f ca="1">INDIRECT("'数据-取费表'!w"&amp;$G$1)</f>
        <v>0.1</v>
      </c>
      <c r="G9" s="1380"/>
      <c r="H9" s="301"/>
      <c r="I9" s="3805"/>
      <c r="J9" s="303"/>
      <c r="K9" s="304"/>
      <c r="L9" s="310" t="s">
        <v>699</v>
      </c>
      <c r="M9" s="311">
        <f ca="1">INDIRECT("'数据-取费表'!ab"&amp;$G$1)</f>
        <v>0</v>
      </c>
    </row>
    <row r="10" spans="1:37" ht="18" customHeight="1">
      <c r="A10" s="1065" t="s">
        <v>402</v>
      </c>
      <c r="B10" s="1361" t="s">
        <v>700</v>
      </c>
      <c r="C10" s="313">
        <f ca="1">ROUND(IF(F10="押一",C6/12*F11,IF(F10="押二",C6/12*2*F11,IF(F10="押三",C6/12*3*F11,C11*F11))),0)</f>
        <v>28</v>
      </c>
      <c r="D10" s="1362" t="s">
        <v>2116</v>
      </c>
      <c r="E10" s="310" t="s">
        <v>701</v>
      </c>
      <c r="F10" s="1112" t="s">
        <v>3482</v>
      </c>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143100</v>
      </c>
      <c r="D13" s="3445" t="s">
        <v>705</v>
      </c>
      <c r="E13" s="3445"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112144</v>
      </c>
      <c r="D14" s="3451" t="s">
        <v>708</v>
      </c>
      <c r="E14" s="3450"/>
      <c r="F14" s="316"/>
      <c r="G14" s="1380"/>
      <c r="H14" s="978" t="s">
        <v>398</v>
      </c>
      <c r="I14" s="299" t="s">
        <v>709</v>
      </c>
      <c r="J14" s="21">
        <f ca="1">C29</f>
        <v>164483</v>
      </c>
      <c r="K14" s="3447"/>
      <c r="L14" s="803"/>
      <c r="M14" s="804"/>
    </row>
    <row r="15" spans="1:37" s="1393" customFormat="1" ht="18" customHeight="1" thickBot="1">
      <c r="A15" s="978" t="s">
        <v>399</v>
      </c>
      <c r="B15" s="299" t="s">
        <v>710</v>
      </c>
      <c r="C15" s="21">
        <f ca="1">ROUND(C14*F15,0)</f>
        <v>5607</v>
      </c>
      <c r="D15" s="3446" t="s">
        <v>711</v>
      </c>
      <c r="E15" s="3446"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828</v>
      </c>
      <c r="K16" s="1083" t="s">
        <v>715</v>
      </c>
      <c r="L16" s="3453"/>
      <c r="M16" s="1068"/>
    </row>
    <row r="17" spans="1:37" s="1393" customFormat="1" ht="18" customHeight="1">
      <c r="A17" s="978" t="s">
        <v>681</v>
      </c>
      <c r="B17" s="299" t="s">
        <v>716</v>
      </c>
      <c r="C17" s="21">
        <f ca="1">ROUND(F17*(F43+INDIRECT("'数据-取费表'!S"&amp;$G$1))/10000,0)</f>
        <v>3618</v>
      </c>
      <c r="D17" s="299" t="s">
        <v>717</v>
      </c>
      <c r="E17" s="299" t="s">
        <v>718</v>
      </c>
      <c r="F17" s="23">
        <f>'数据-取费表'!B35</f>
        <v>200</v>
      </c>
      <c r="G17" s="1392"/>
      <c r="H17" s="978" t="s">
        <v>398</v>
      </c>
      <c r="I17" s="299" t="s">
        <v>719</v>
      </c>
      <c r="J17" s="2312">
        <f ca="1">ROUND(IF(AND(项目基本情况!B11="自然人",项目基本情况!B10="北京市"),J6*M17/(1+'数据-取费表'!C42),J18+J19+J20),2)</f>
        <v>5.56</v>
      </c>
      <c r="K17" s="3451" t="s">
        <v>720</v>
      </c>
      <c r="L17" s="3452"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2243</v>
      </c>
      <c r="D18" s="299" t="s">
        <v>711</v>
      </c>
      <c r="E18" s="299" t="s">
        <v>712</v>
      </c>
      <c r="F18" s="319">
        <f>'数据-取费表'!B36</f>
        <v>0.02</v>
      </c>
      <c r="G18" s="1392"/>
      <c r="H18" s="978" t="s">
        <v>397</v>
      </c>
      <c r="I18" s="299" t="s">
        <v>723</v>
      </c>
      <c r="J18" s="21">
        <f ca="1">ROUND(J6*M18/(1+'数据-取费表'!C42),2)</f>
        <v>0</v>
      </c>
      <c r="K18" s="3452"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123612</v>
      </c>
      <c r="D19" s="128" t="s">
        <v>726</v>
      </c>
      <c r="E19" s="3455"/>
      <c r="F19" s="23"/>
      <c r="G19" s="1380"/>
      <c r="H19" s="978" t="s">
        <v>399</v>
      </c>
      <c r="I19" s="299" t="s">
        <v>727</v>
      </c>
      <c r="J19" s="21">
        <f ca="1">IF(K19="按租金收入计税",ROUND(J6*M19/(1+'数据-取费表'!C42),2),ROUND(C29*M19*0.7,2))</f>
        <v>0</v>
      </c>
      <c r="K19" s="1366" t="s">
        <v>3339</v>
      </c>
      <c r="L19" s="299" t="s">
        <v>712</v>
      </c>
      <c r="M19" s="319">
        <f>IF(K19="按租金收入计税",'数据-取费表'!B51,'数据-取费表'!B50)</f>
        <v>0.12</v>
      </c>
    </row>
    <row r="20" spans="1:37" s="1393" customFormat="1" ht="18" customHeight="1">
      <c r="A20" s="978" t="s">
        <v>402</v>
      </c>
      <c r="B20" s="299" t="s">
        <v>728</v>
      </c>
      <c r="C20" s="21">
        <f ca="1">ROUND(C19*F20,0)</f>
        <v>3708</v>
      </c>
      <c r="D20" s="2424" t="s">
        <v>729</v>
      </c>
      <c r="E20" s="299" t="s">
        <v>712</v>
      </c>
      <c r="F20" s="319">
        <f>'数据-取费表'!B37</f>
        <v>0.03</v>
      </c>
      <c r="G20" s="1392"/>
      <c r="H20" s="978" t="s">
        <v>680</v>
      </c>
      <c r="I20" s="152" t="s">
        <v>730</v>
      </c>
      <c r="J20" s="22">
        <f ca="1">ROUND(M20*M21/10000,2)</f>
        <v>5.56</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2424" t="s">
        <v>734</v>
      </c>
      <c r="E21" s="299" t="s">
        <v>735</v>
      </c>
      <c r="F21" s="319">
        <f>'数据-取费表'!B38</f>
        <v>0.02</v>
      </c>
      <c r="G21" s="1392"/>
      <c r="H21" s="323"/>
      <c r="I21" s="308"/>
      <c r="J21" s="26"/>
      <c r="K21" s="324"/>
      <c r="L21" s="299" t="s">
        <v>736</v>
      </c>
      <c r="M21" s="300">
        <f ca="1">INDIRECT("'数据-取费表'!r"&amp;$G$1)</f>
        <v>37099.25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复利计息。建造成本、管理费用、销售费用产生的利息。</v>
      </c>
      <c r="E22" s="3455"/>
      <c r="F22" s="23"/>
      <c r="G22" s="1380"/>
      <c r="H22" s="978" t="s">
        <v>402</v>
      </c>
      <c r="I22" s="299" t="s">
        <v>738</v>
      </c>
      <c r="J22" s="21">
        <f ca="1">ROUND(J14*M22,2)</f>
        <v>822.42</v>
      </c>
      <c r="K22" s="3452" t="s">
        <v>739</v>
      </c>
      <c r="L22" s="299" t="s">
        <v>712</v>
      </c>
      <c r="M22" s="325">
        <f ca="1">INDIRECT("'数据-取费表'!Ak"&amp;$G$1)</f>
        <v>5.0000000000000001E-3</v>
      </c>
    </row>
    <row r="23" spans="1:37" s="1393" customFormat="1" ht="18" customHeight="1">
      <c r="A23" s="978" t="s">
        <v>397</v>
      </c>
      <c r="B23" s="299" t="s">
        <v>740</v>
      </c>
      <c r="C23" s="21">
        <f ca="1">IF('数据-取费表'!B22&lt;=1,ROUND(C19*F24*F23/2,0)+ROUND(C20*F24*F23/2,0),ROUND(C19*(POWER((1+F24),F23/2)-1),0)+ROUND(C20*(POWER((1+F24),F23/2)-1),0))</f>
        <v>5515</v>
      </c>
      <c r="D23" s="326" t="str">
        <f>IF(F23&lt;=1,"(建造成本+管理费用)×利率×(建设周期÷2)","(建造成本+管理费用)×((1+利率)^(建设周期÷2)-1)")</f>
        <v>(建造成本+管理费用)×((1+利率)^(建设周期÷2)-1)</v>
      </c>
      <c r="E23" s="299" t="s">
        <v>741</v>
      </c>
      <c r="F23" s="322">
        <f>'数据-取费表'!B20</f>
        <v>2.5</v>
      </c>
      <c r="G23" s="1392"/>
      <c r="H23" s="978" t="s">
        <v>437</v>
      </c>
      <c r="I23" s="299" t="s">
        <v>742</v>
      </c>
      <c r="J23" s="21">
        <f ca="1">ROUND(J13*M23,2)</f>
        <v>0</v>
      </c>
      <c r="K23" s="3452" t="s">
        <v>743</v>
      </c>
      <c r="L23" s="299" t="s">
        <v>744</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399</v>
      </c>
      <c r="B24" s="299" t="s">
        <v>746</v>
      </c>
      <c r="C24" s="21">
        <f ca="1">ROUND(IF('数据-取费表'!B22&lt;=1,F21*F24*F23/2,F21*(POWER((1+F24),F23/2)-1)),4)</f>
        <v>8.9999999999999998E-4</v>
      </c>
      <c r="D24" s="326" t="str">
        <f>IF(F23&lt;=1,"销售费用×利率×(建设周期÷2)","销售费用×((1+利率)^(建设周期÷2)-1)")</f>
        <v>销售费用×((1+利率)^(建设周期÷2)-1)</v>
      </c>
      <c r="E24" s="299" t="s">
        <v>747</v>
      </c>
      <c r="F24" s="328">
        <f ca="1">'数据-取费表'!B40</f>
        <v>3.4500000000000003E-2</v>
      </c>
      <c r="G24" s="1392"/>
      <c r="H24" s="1085" t="s">
        <v>683</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3455"/>
      <c r="F25" s="23"/>
      <c r="G25" s="1380"/>
      <c r="H25" s="1075" t="s">
        <v>394</v>
      </c>
      <c r="I25" s="1090" t="s">
        <v>752</v>
      </c>
      <c r="J25" s="307">
        <f ca="1">J5-J16</f>
        <v>-828</v>
      </c>
      <c r="K25" s="1091" t="s">
        <v>753</v>
      </c>
      <c r="L25" s="1092"/>
      <c r="M25" s="1093"/>
    </row>
    <row r="26" spans="1:37">
      <c r="A26" s="978" t="s">
        <v>397</v>
      </c>
      <c r="B26" s="299" t="s">
        <v>754</v>
      </c>
      <c r="C26" s="21">
        <f ca="1">ROUND((C19+C20)*F26,0)</f>
        <v>19098</v>
      </c>
      <c r="D26" s="2424" t="s">
        <v>755</v>
      </c>
      <c r="E26" s="310" t="s">
        <v>756</v>
      </c>
      <c r="F26" s="309">
        <f ca="1">INDIRECT("'数据-取费表'!q"&amp;$G$1)</f>
        <v>0.15</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1">
        <f ca="1">ROUND(F21*F26,4)</f>
        <v>3.0000000000000001E-3</v>
      </c>
      <c r="D27" s="2424" t="s">
        <v>761</v>
      </c>
      <c r="E27" s="3446"/>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2424"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164483</v>
      </c>
      <c r="D29" s="1088"/>
      <c r="E29" s="1086"/>
      <c r="F29" s="1089"/>
      <c r="G29" s="1392"/>
      <c r="H29" s="331" t="s">
        <v>396</v>
      </c>
      <c r="I29" s="332" t="s">
        <v>768</v>
      </c>
      <c r="J29" s="333">
        <f ca="1">ROUND(J26/(1+F40)^F41,0)</f>
        <v>0</v>
      </c>
      <c r="K29" s="334" t="s">
        <v>769</v>
      </c>
      <c r="L29" s="335"/>
      <c r="M29" s="336">
        <f ca="1">INDIRECT("'数据-取费表'!k"&amp;$G$1)</f>
        <v>180877.11999999997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4796</v>
      </c>
      <c r="D30" s="1083" t="s">
        <v>715</v>
      </c>
      <c r="E30" s="3453"/>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3719.22</v>
      </c>
      <c r="D31" s="3451" t="s">
        <v>720</v>
      </c>
      <c r="E31" s="3452" t="s">
        <v>770</v>
      </c>
      <c r="F31" s="2311">
        <f ca="1">IF(项目基本情况!B11="企业","——",IF(M47="住宅",IF(F6*F7*F8/12/(1+'数据-取费表'!F30)&gt;100000,4%,2.5%),IF(F6*F7*F8/12/(1+'数据-取费表'!F30)&gt;100000,12%,7%)))</f>
        <v>0.12</v>
      </c>
      <c r="G31" s="1380"/>
      <c r="H31" s="2804" t="s">
        <v>2310</v>
      </c>
      <c r="I31" s="1394"/>
      <c r="J31" s="1395"/>
      <c r="K31" s="2471"/>
      <c r="L31" s="2694"/>
      <c r="M31" s="2695"/>
    </row>
    <row r="32" spans="1:37" ht="18" customHeight="1">
      <c r="A32" s="978" t="s">
        <v>397</v>
      </c>
      <c r="B32" s="299" t="s">
        <v>723</v>
      </c>
      <c r="C32" s="21">
        <f ca="1">IF(项目基本情况!B11="自然人","——",ROUND(C6*F32/(1+'数据-取费表'!C42),2))</f>
        <v>1167.1500000000001</v>
      </c>
      <c r="D32" s="3452"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2546.5100000000002</v>
      </c>
      <c r="D33" s="1366" t="s">
        <v>3339</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5.56</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37099.25</v>
      </c>
      <c r="G35" s="1380"/>
      <c r="H35" s="2693"/>
      <c r="I35" s="1394"/>
      <c r="J35" s="1395"/>
      <c r="K35" s="2697"/>
      <c r="L35" s="2696"/>
      <c r="M35" s="2696"/>
    </row>
    <row r="36" spans="1:18" ht="18" customHeight="1">
      <c r="A36" s="1098" t="s">
        <v>402</v>
      </c>
      <c r="B36" s="299" t="s">
        <v>738</v>
      </c>
      <c r="C36" s="21">
        <f ca="1">ROUND(C29*F36,2)</f>
        <v>822.42</v>
      </c>
      <c r="D36" s="3452" t="s">
        <v>771</v>
      </c>
      <c r="E36" s="299" t="s">
        <v>712</v>
      </c>
      <c r="F36" s="325">
        <f ca="1">INDIRECT("'数据-取费表'!Ak"&amp;$G$1)</f>
        <v>5.0000000000000001E-3</v>
      </c>
      <c r="G36" s="1380"/>
      <c r="H36" s="2696"/>
      <c r="I36" s="1394"/>
      <c r="J36" s="1395"/>
      <c r="K36" s="2540"/>
      <c r="L36" s="2696"/>
      <c r="M36" s="2696"/>
    </row>
    <row r="37" spans="1:18" ht="18" customHeight="1">
      <c r="A37" s="978" t="s">
        <v>437</v>
      </c>
      <c r="B37" s="299" t="s">
        <v>742</v>
      </c>
      <c r="C37" s="21">
        <f ca="1">ROUND(C13*F37,2)</f>
        <v>143.1</v>
      </c>
      <c r="D37" s="3452" t="s">
        <v>743</v>
      </c>
      <c r="E37" s="299" t="s">
        <v>744</v>
      </c>
      <c r="F37" s="327">
        <f ca="1">INDIRECT("'数据-取费表'!Al"&amp;$G$1)</f>
        <v>1E-3</v>
      </c>
      <c r="G37" s="1380"/>
      <c r="H37" s="2696"/>
      <c r="I37" s="1394"/>
      <c r="J37" s="1395"/>
      <c r="K37" s="2540"/>
      <c r="L37" s="2696"/>
      <c r="M37" s="2696"/>
    </row>
    <row r="38" spans="1:18" ht="18" customHeight="1" thickBot="1">
      <c r="A38" s="1085" t="s">
        <v>683</v>
      </c>
      <c r="B38" s="1086" t="s">
        <v>728</v>
      </c>
      <c r="C38" s="1087">
        <f ca="1">ROUND(C5*F38,2)</f>
        <v>111.55</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752</v>
      </c>
      <c r="C39" s="307">
        <f ca="1">C5-C30</f>
        <v>17514</v>
      </c>
      <c r="D39" s="1091" t="s">
        <v>773</v>
      </c>
      <c r="E39" s="1092"/>
      <c r="F39" s="1093"/>
      <c r="G39" s="1380"/>
      <c r="H39" s="2696"/>
      <c r="I39" s="1394"/>
      <c r="J39" s="1395"/>
      <c r="K39" s="2700"/>
      <c r="L39" s="2696"/>
      <c r="M39" s="2696"/>
    </row>
    <row r="40" spans="1:18" ht="18" customHeight="1">
      <c r="A40" s="296" t="s">
        <v>395</v>
      </c>
      <c r="B40" s="297" t="s">
        <v>774</v>
      </c>
      <c r="C40" s="298">
        <f ca="1">ROUND(C39*(1-((1+F42)/(1+F40))^F41)/(F40-F42),0)</f>
        <v>363165</v>
      </c>
      <c r="D40" s="321" t="s">
        <v>758</v>
      </c>
      <c r="E40" s="299" t="s">
        <v>759</v>
      </c>
      <c r="F40" s="309">
        <f ca="1">INDIRECT("'数据-取费表'!I"&amp;$G$1)</f>
        <v>5.5E-2</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33.729999999999997</v>
      </c>
      <c r="G41" s="1380"/>
      <c r="H41" s="1187"/>
      <c r="I41" s="1394"/>
      <c r="J41" s="1395"/>
      <c r="K41" s="2540"/>
      <c r="L41" s="1187"/>
      <c r="M41" s="1187"/>
    </row>
    <row r="42" spans="1:18" ht="18" customHeight="1">
      <c r="A42" s="305"/>
      <c r="B42" s="306"/>
      <c r="C42" s="307"/>
      <c r="D42" s="324"/>
      <c r="E42" s="299" t="s">
        <v>766</v>
      </c>
      <c r="F42" s="309">
        <f ca="1">INDIRECT("'数据-取费表'!v"&amp;$G$1)</f>
        <v>2.5000000000000001E-2</v>
      </c>
      <c r="G42" s="1380"/>
      <c r="H42" s="1187"/>
      <c r="I42" s="1394"/>
      <c r="J42" s="1395"/>
      <c r="K42" s="2540"/>
      <c r="L42" s="1187"/>
      <c r="M42" s="1187"/>
    </row>
    <row r="43" spans="1:18" ht="18" customHeight="1" thickBot="1">
      <c r="A43" s="331" t="s">
        <v>396</v>
      </c>
      <c r="B43" s="332" t="s">
        <v>776</v>
      </c>
      <c r="C43" s="333">
        <f ca="1">ROUND(C40*10000/F43,0)</f>
        <v>20078</v>
      </c>
      <c r="D43" s="334" t="s">
        <v>777</v>
      </c>
      <c r="E43" s="335" t="s">
        <v>778</v>
      </c>
      <c r="F43" s="336">
        <f ca="1">INDIRECT("'数据-取费表'!k"&amp;$G$1)</f>
        <v>180877.11999999997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f ca="1">C68-C40</f>
        <v>-377934</v>
      </c>
      <c r="D46" s="1402" t="str">
        <f>C2</f>
        <v>万元</v>
      </c>
      <c r="E46" s="1396"/>
      <c r="F46" s="1396"/>
      <c r="I46" s="1403" t="s">
        <v>810</v>
      </c>
      <c r="J46" s="1404"/>
      <c r="K46" s="1405"/>
      <c r="L46" s="1406">
        <f ca="1">IF(M47="住宅",0,IF(L48&gt;J51,L60,J60))</f>
        <v>5738</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3483</v>
      </c>
      <c r="K47" s="1412" t="s">
        <v>816</v>
      </c>
      <c r="L47" s="1413">
        <f ca="1">INDIRECT("'数据-取费表'!d"&amp;$G$1)</f>
        <v>50</v>
      </c>
      <c r="M47" s="1376" t="str">
        <f>IF(ISNUMBER(FIND("住宅",C1)),"住宅","非住宅")</f>
        <v>非住宅</v>
      </c>
      <c r="O47" s="1414" t="s">
        <v>403</v>
      </c>
      <c r="P47" s="1415" t="s">
        <v>817</v>
      </c>
      <c r="Q47" s="1416">
        <f ca="1">C40+J29</f>
        <v>363165</v>
      </c>
      <c r="R47" s="1416" t="s">
        <v>818</v>
      </c>
    </row>
    <row r="48" spans="1:18" s="1380" customFormat="1" ht="28.5" thickBot="1">
      <c r="A48" s="1106" t="s">
        <v>438</v>
      </c>
      <c r="B48" s="297" t="s">
        <v>692</v>
      </c>
      <c r="C48" s="3454">
        <f ca="1">C49+C53+C55</f>
        <v>0</v>
      </c>
      <c r="D48" s="1108"/>
      <c r="E48" s="1109"/>
      <c r="F48" s="958"/>
      <c r="G48" s="718"/>
      <c r="H48" s="719"/>
      <c r="I48" s="1417" t="s">
        <v>819</v>
      </c>
      <c r="J48" s="1418" t="s">
        <v>3484</v>
      </c>
      <c r="K48" s="1419" t="s">
        <v>820</v>
      </c>
      <c r="L48" s="1420">
        <f ca="1">INDIRECT("'数据-取费表'!f"&amp;$G$1)</f>
        <v>33.729999999999997</v>
      </c>
      <c r="O48" s="1414" t="s">
        <v>404</v>
      </c>
      <c r="P48" s="1415" t="s">
        <v>821</v>
      </c>
      <c r="Q48" s="1416">
        <f ca="1">J60</f>
        <v>5738</v>
      </c>
      <c r="R48" s="1416" t="s">
        <v>822</v>
      </c>
    </row>
    <row r="49" spans="1:18" s="1380" customFormat="1" ht="13.5" thickBot="1">
      <c r="A49" s="971" t="s">
        <v>439</v>
      </c>
      <c r="B49" s="1367" t="s">
        <v>779</v>
      </c>
      <c r="C49" s="1110">
        <f ca="1">ROUND(F49*F51*F50*(1-F52)/10000,0)</f>
        <v>0</v>
      </c>
      <c r="D49" s="1051" t="s">
        <v>2108</v>
      </c>
      <c r="E49" s="1368" t="s">
        <v>780</v>
      </c>
      <c r="F49" s="1056"/>
      <c r="G49" s="1421"/>
      <c r="H49" s="719"/>
      <c r="I49" s="1417" t="s">
        <v>823</v>
      </c>
      <c r="J49" s="1422">
        <v>2016</v>
      </c>
      <c r="K49" s="1419" t="s">
        <v>824</v>
      </c>
      <c r="L49" s="1423"/>
      <c r="O49" s="1424" t="s">
        <v>405</v>
      </c>
      <c r="P49" s="1415" t="s">
        <v>825</v>
      </c>
      <c r="Q49" s="1416">
        <f ca="1">C29</f>
        <v>164483</v>
      </c>
      <c r="R49" s="1416" t="s">
        <v>818</v>
      </c>
    </row>
    <row r="50" spans="1:18" s="1380" customFormat="1" ht="13.5" thickBot="1">
      <c r="A50" s="972"/>
      <c r="B50" s="975"/>
      <c r="C50" s="1114"/>
      <c r="D50" s="949"/>
      <c r="E50" s="1052" t="s">
        <v>697</v>
      </c>
      <c r="F50" s="1053">
        <f ca="1">F7</f>
        <v>180877.11999999997</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365</v>
      </c>
      <c r="I51" s="1428" t="s">
        <v>829</v>
      </c>
      <c r="J51" s="1429">
        <f>IF(J49="",J50,J49+J50-YEAR('数据-取费表'!B2))</f>
        <v>52</v>
      </c>
      <c r="K51" s="1430" t="s">
        <v>830</v>
      </c>
      <c r="L51" s="1431">
        <f ca="1">ROUND(-PV(INDIRECT("'数据-取费表'!h"&amp;$G$1),J51,(C39-C13*C76),0),0)</f>
        <v>149710</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33.729999999999997</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4">
        <f ca="1">IF(M47="住宅",IF(D1="——",MAX(J51,L48),MAX(J51,L48-'数据-取费表'!B24)),IF(D1="——",MIN(J51,L48),MIN(J51,L48-'数据-取费表'!B24)))</f>
        <v>33.729999999999997</v>
      </c>
      <c r="K53" s="3801" t="s">
        <v>837</v>
      </c>
      <c r="L53" s="3802"/>
      <c r="O53" s="1414" t="s">
        <v>409</v>
      </c>
      <c r="P53" s="1415" t="s">
        <v>838</v>
      </c>
      <c r="Q53" s="1416">
        <f ca="1">Q47+Q48</f>
        <v>368903</v>
      </c>
      <c r="R53" s="1416" t="s">
        <v>410</v>
      </c>
    </row>
    <row r="54" spans="1:18" s="1380" customFormat="1" ht="13.5" thickBot="1">
      <c r="A54" s="1149"/>
      <c r="B54" s="1363" t="s">
        <v>679</v>
      </c>
      <c r="C54" s="955"/>
      <c r="D54" s="1362"/>
      <c r="E54" s="3449"/>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49"/>
      <c r="F55" s="1436"/>
      <c r="I55" s="1439" t="s">
        <v>840</v>
      </c>
      <c r="J55" s="1440">
        <f ca="1">ROUND(IF(J47="钢混",J57/J50,1-(1-2%)*(J50-J57)/J50),3)</f>
        <v>0.30499999999999999</v>
      </c>
      <c r="K55" s="1441" t="s">
        <v>841</v>
      </c>
      <c r="L55" s="1442"/>
      <c r="O55" s="1407" t="s">
        <v>811</v>
      </c>
      <c r="P55" s="1408" t="s">
        <v>812</v>
      </c>
      <c r="Q55" s="1409" t="s">
        <v>813</v>
      </c>
      <c r="R55" s="1409" t="s">
        <v>814</v>
      </c>
    </row>
    <row r="56" spans="1:18" s="1380" customFormat="1" ht="25.5" thickTop="1" thickBot="1">
      <c r="A56" s="953">
        <v>2</v>
      </c>
      <c r="B56" s="954" t="s">
        <v>704</v>
      </c>
      <c r="C56" s="229">
        <f ca="1">C13</f>
        <v>143100</v>
      </c>
      <c r="D56" s="1443"/>
      <c r="E56" s="1444"/>
      <c r="F56" s="1436"/>
      <c r="I56" s="1445" t="s">
        <v>842</v>
      </c>
      <c r="J56" s="1446" t="s">
        <v>3485</v>
      </c>
      <c r="K56" s="1417" t="s">
        <v>843</v>
      </c>
      <c r="L56" s="1420" t="str">
        <f ca="1">IF(L48&lt;J51,"——",L48-J53)</f>
        <v>——</v>
      </c>
      <c r="O56" s="1414" t="s">
        <v>403</v>
      </c>
      <c r="P56" s="1415" t="s">
        <v>817</v>
      </c>
      <c r="Q56" s="1416">
        <f ca="1">C40+J29</f>
        <v>363165</v>
      </c>
      <c r="R56" s="1416" t="s">
        <v>818</v>
      </c>
    </row>
    <row r="57" spans="1:18" s="1380" customFormat="1" ht="24.75" thickBot="1">
      <c r="A57" s="1447"/>
      <c r="B57" s="946" t="s">
        <v>767</v>
      </c>
      <c r="C57" s="235">
        <f ca="1">C29</f>
        <v>164483</v>
      </c>
      <c r="D57" s="1448"/>
      <c r="E57" s="1449"/>
      <c r="F57" s="1450"/>
      <c r="I57" s="1451" t="s">
        <v>844</v>
      </c>
      <c r="J57" s="1452">
        <f ca="1">IF(OR(M47="住宅",J51&lt;L48,J56="是"),"——",J51-L48)</f>
        <v>18.270000000000003</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972</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6</v>
      </c>
      <c r="D59" s="959" t="s">
        <v>720</v>
      </c>
      <c r="E59" s="960"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65793</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f ca="1">IF(OR(M47="住宅",J51&lt;L48,J56="是"),"0",ROUND(J59/(1+J52)^J53,0))</f>
        <v>5738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3339</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730</v>
      </c>
      <c r="C62" s="22">
        <f ca="1">IF(项目基本情况!B11="自然人","——",ROUND(F62*F63/10000,2))</f>
        <v>5.56</v>
      </c>
      <c r="D62" s="961" t="s">
        <v>731</v>
      </c>
      <c r="E62" s="946" t="s">
        <v>732</v>
      </c>
      <c r="F62" s="322">
        <f t="shared" si="0"/>
        <v>1.5</v>
      </c>
      <c r="I62" s="1458" t="s">
        <v>858</v>
      </c>
      <c r="J62" s="1459" t="s">
        <v>859</v>
      </c>
      <c r="K62" s="1459" t="s">
        <v>860</v>
      </c>
      <c r="L62" s="1459" t="s">
        <v>861</v>
      </c>
      <c r="M62" s="1460" t="s">
        <v>862</v>
      </c>
      <c r="O62" s="1414" t="s">
        <v>409</v>
      </c>
      <c r="P62" s="1415" t="s">
        <v>863</v>
      </c>
      <c r="Q62" s="1416">
        <f ca="1">Q56+Q57</f>
        <v>363165</v>
      </c>
      <c r="R62" s="1416" t="s">
        <v>410</v>
      </c>
    </row>
    <row r="63" spans="1:18" s="1380" customFormat="1" ht="13.5" thickBot="1">
      <c r="A63" s="323"/>
      <c r="B63" s="952"/>
      <c r="C63" s="26"/>
      <c r="D63" s="962"/>
      <c r="E63" s="946" t="s">
        <v>788</v>
      </c>
      <c r="F63" s="300">
        <f t="shared" ca="1" si="0"/>
        <v>37099.25</v>
      </c>
      <c r="I63" s="1458" t="s">
        <v>864</v>
      </c>
      <c r="J63" s="1459">
        <v>70</v>
      </c>
      <c r="K63" s="1459">
        <v>50</v>
      </c>
      <c r="L63" s="1459">
        <v>80</v>
      </c>
      <c r="M63" s="1461">
        <v>0.02</v>
      </c>
      <c r="O63" s="1399" t="s">
        <v>865</v>
      </c>
      <c r="P63" s="1377"/>
      <c r="Q63" s="1377"/>
      <c r="R63" s="1377"/>
    </row>
    <row r="64" spans="1:18" s="1380" customFormat="1" ht="13.5" thickBot="1">
      <c r="A64" s="978" t="s">
        <v>402</v>
      </c>
      <c r="B64" s="946" t="s">
        <v>790</v>
      </c>
      <c r="C64" s="21">
        <f ca="1">ROUND(C57*F64,2)</f>
        <v>822.42</v>
      </c>
      <c r="D64" s="960" t="s">
        <v>771</v>
      </c>
      <c r="E64" s="946" t="s">
        <v>783</v>
      </c>
      <c r="F64" s="325">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143.1</v>
      </c>
      <c r="D65" s="960" t="s">
        <v>743</v>
      </c>
      <c r="E65" s="946" t="s">
        <v>744</v>
      </c>
      <c r="F65" s="327">
        <f t="shared" ca="1" si="0"/>
        <v>1E-3</v>
      </c>
      <c r="I65" s="1458" t="s">
        <v>867</v>
      </c>
      <c r="J65" s="1459">
        <v>40</v>
      </c>
      <c r="K65" s="1459">
        <v>30</v>
      </c>
      <c r="L65" s="1459">
        <v>50</v>
      </c>
      <c r="M65" s="1461">
        <v>0.02</v>
      </c>
      <c r="O65" s="1414" t="s">
        <v>403</v>
      </c>
      <c r="P65" s="1415" t="s">
        <v>868</v>
      </c>
      <c r="Q65" s="1416">
        <f ca="1">C40+J29</f>
        <v>363165</v>
      </c>
      <c r="R65" s="1416" t="s">
        <v>818</v>
      </c>
    </row>
    <row r="66" spans="1:18" s="1380" customFormat="1" ht="16.5" thickBot="1">
      <c r="A66" s="978" t="s">
        <v>793</v>
      </c>
      <c r="B66" s="946" t="s">
        <v>728</v>
      </c>
      <c r="C66" s="21">
        <f ca="1">ROUND(C48*F66,2)</f>
        <v>0</v>
      </c>
      <c r="D66" s="960" t="s">
        <v>748</v>
      </c>
      <c r="E66" s="946" t="s">
        <v>712</v>
      </c>
      <c r="F66" s="309">
        <f t="shared" ca="1" si="0"/>
        <v>5.0000000000000001E-3</v>
      </c>
      <c r="O66" s="1414" t="s">
        <v>404</v>
      </c>
      <c r="P66" s="1415" t="s">
        <v>846</v>
      </c>
      <c r="Q66" s="1416">
        <f ca="1">L60</f>
        <v>0</v>
      </c>
      <c r="R66" s="1416" t="s">
        <v>869</v>
      </c>
    </row>
    <row r="67" spans="1:18" s="1380" customFormat="1" ht="16.5" thickBot="1">
      <c r="A67" s="953" t="s">
        <v>394</v>
      </c>
      <c r="B67" s="963" t="s">
        <v>752</v>
      </c>
      <c r="C67" s="313">
        <f ca="1">C48-C58</f>
        <v>-972</v>
      </c>
      <c r="D67" s="959" t="s">
        <v>753</v>
      </c>
      <c r="E67" s="964"/>
      <c r="F67" s="965"/>
      <c r="O67" s="1424" t="s">
        <v>405</v>
      </c>
      <c r="P67" s="1415" t="s">
        <v>850</v>
      </c>
      <c r="Q67" s="1462">
        <f ca="1">L51</f>
        <v>149710</v>
      </c>
      <c r="R67" s="1416" t="s">
        <v>870</v>
      </c>
    </row>
    <row r="68" spans="1:18" s="1380" customFormat="1" ht="16.5" thickBot="1">
      <c r="A68" s="943" t="s">
        <v>395</v>
      </c>
      <c r="B68" s="944" t="s">
        <v>774</v>
      </c>
      <c r="C68" s="298">
        <f ca="1">ROUND(C67*(1-((1+F70)/(1+F68))^F69)/(F68-F70),0)</f>
        <v>-14769</v>
      </c>
      <c r="D68" s="961" t="s">
        <v>758</v>
      </c>
      <c r="E68" s="946" t="s">
        <v>759</v>
      </c>
      <c r="F68" s="309">
        <f ca="1">F40</f>
        <v>5.5E-2</v>
      </c>
      <c r="O68" s="1424" t="s">
        <v>406</v>
      </c>
      <c r="P68" s="1463" t="s">
        <v>871</v>
      </c>
      <c r="Q68" s="1416">
        <f ca="1">ROUND(Q69-Q70*Q71,0)</f>
        <v>7497</v>
      </c>
      <c r="R68" s="1416" t="s">
        <v>414</v>
      </c>
    </row>
    <row r="69" spans="1:18" s="1380" customFormat="1" ht="13.5" thickBot="1">
      <c r="A69" s="947"/>
      <c r="B69" s="948"/>
      <c r="C69" s="303"/>
      <c r="D69" s="966" t="s">
        <v>762</v>
      </c>
      <c r="E69" s="946" t="s">
        <v>763</v>
      </c>
      <c r="F69" s="330">
        <f ca="1">F41</f>
        <v>33.729999999999997</v>
      </c>
      <c r="O69" s="1424" t="s">
        <v>411</v>
      </c>
      <c r="P69" s="1463" t="s">
        <v>872</v>
      </c>
      <c r="Q69" s="1416">
        <f ca="1">C39</f>
        <v>17514</v>
      </c>
      <c r="R69" s="1416" t="s">
        <v>818</v>
      </c>
    </row>
    <row r="70" spans="1:18" s="1380" customFormat="1" ht="13.5" thickBot="1">
      <c r="A70" s="950"/>
      <c r="B70" s="951"/>
      <c r="C70" s="307"/>
      <c r="D70" s="962"/>
      <c r="E70" s="946" t="s">
        <v>766</v>
      </c>
      <c r="F70" s="1050"/>
      <c r="O70" s="1424" t="s">
        <v>412</v>
      </c>
      <c r="P70" s="1463" t="s">
        <v>873</v>
      </c>
      <c r="Q70" s="1416">
        <f ca="1">C13</f>
        <v>143100</v>
      </c>
      <c r="R70" s="1416" t="s">
        <v>818</v>
      </c>
    </row>
    <row r="71" spans="1:18" s="1380" customFormat="1" ht="13.5" thickBot="1">
      <c r="A71" s="967" t="s">
        <v>396</v>
      </c>
      <c r="B71" s="968" t="s">
        <v>776</v>
      </c>
      <c r="C71" s="333">
        <f ca="1">ROUND(C68*10000/F71,0)</f>
        <v>-817</v>
      </c>
      <c r="D71" s="969" t="s">
        <v>777</v>
      </c>
      <c r="E71" s="970" t="s">
        <v>778</v>
      </c>
      <c r="F71" s="336">
        <f ca="1">F43</f>
        <v>180877.11999999997</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10017</v>
      </c>
      <c r="D75" s="1380"/>
      <c r="E75" s="1380"/>
      <c r="F75" s="1380"/>
      <c r="K75" s="1398"/>
      <c r="L75" s="1380"/>
      <c r="O75" s="1414" t="s">
        <v>409</v>
      </c>
      <c r="P75" s="1415" t="s">
        <v>838</v>
      </c>
      <c r="Q75" s="1416">
        <f ca="1">Q65+Q66</f>
        <v>363165</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0.42800000000000005</v>
      </c>
    </row>
    <row r="80" spans="1:18">
      <c r="B80" s="337" t="s">
        <v>800</v>
      </c>
      <c r="C80" s="271">
        <f ca="1">ROUND(C75/C39,3)</f>
        <v>0.57199999999999995</v>
      </c>
    </row>
    <row r="81" spans="2:3">
      <c r="B81" s="267" t="s">
        <v>801</v>
      </c>
      <c r="C81" s="235"/>
    </row>
    <row r="82" spans="2:3">
      <c r="B82" s="270" t="s">
        <v>802</v>
      </c>
      <c r="C82" s="272">
        <f ca="1">1-C83</f>
        <v>0.60599999999999998</v>
      </c>
    </row>
    <row r="83" spans="2:3">
      <c r="B83" s="270" t="s">
        <v>803</v>
      </c>
      <c r="C83" s="271">
        <f ca="1">ROUND(C13/C40,3)</f>
        <v>0.39400000000000002</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估价对象为北京市房地产，为所有。根据《国有土地使用证》[]，估价对象（分摊）出让国有建设用地使用权面积为65012.5平方米，建筑面积为316967.99平方米。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估价对象为北京市房地产,为开发建设的，该项目尚在开发建设中。根据《国有土地使用证》[]，估价对象（分摊）出让国有建设用地使用权面积为65012.5平方米，规划建筑面积为316967.99平方米。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39" sqref="J3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3494</v>
      </c>
      <c r="D1" s="1358" t="s">
        <v>43</v>
      </c>
      <c r="E1" s="1359" t="s">
        <v>678</v>
      </c>
      <c r="F1" s="1058">
        <f ca="1">J53</f>
        <v>33.729999999999997</v>
      </c>
      <c r="G1" s="1374">
        <f>MATCH(C1,'数据-取费表'!A6:A16,0)+5</f>
        <v>8</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7191</v>
      </c>
      <c r="C2" s="1383" t="s">
        <v>805</v>
      </c>
      <c r="D2" s="1383"/>
      <c r="E2" s="1384"/>
      <c r="F2" s="1385"/>
      <c r="G2" s="2702"/>
      <c r="H2" s="2691"/>
      <c r="I2" s="2691"/>
      <c r="J2" s="2691"/>
      <c r="K2" s="2692"/>
      <c r="L2" s="2691"/>
      <c r="M2" s="2691"/>
    </row>
    <row r="3" spans="1:37" ht="18" customHeight="1" thickBot="1">
      <c r="A3" s="1386" t="s">
        <v>806</v>
      </c>
      <c r="B3" s="1387">
        <f ca="1">IF(ISERROR(B2*10000/F43),0,ROUND(B2*10000/F43,0))</f>
        <v>1029</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682</v>
      </c>
      <c r="D5" s="1360" t="s">
        <v>693</v>
      </c>
      <c r="E5" s="1067"/>
      <c r="F5" s="1068"/>
      <c r="G5" s="1380"/>
      <c r="H5" s="296">
        <v>1</v>
      </c>
      <c r="I5" s="297" t="s">
        <v>692</v>
      </c>
      <c r="J5" s="1066">
        <f ca="1">J6+J10+J12</f>
        <v>0</v>
      </c>
      <c r="K5" s="1360" t="s">
        <v>693</v>
      </c>
      <c r="L5" s="1067"/>
      <c r="M5" s="1068"/>
    </row>
    <row r="6" spans="1:37" ht="18" customHeight="1">
      <c r="A6" s="1065" t="s">
        <v>398</v>
      </c>
      <c r="B6" s="3803" t="s">
        <v>694</v>
      </c>
      <c r="C6" s="1070">
        <f ca="1">ROUND(F6*F8*F7*(1-F9)/10000,0)</f>
        <v>682</v>
      </c>
      <c r="D6" s="152" t="s">
        <v>2109</v>
      </c>
      <c r="E6" s="299" t="s">
        <v>696</v>
      </c>
      <c r="F6" s="300">
        <f ca="1">INDIRECT("'数据-取费表'!u"&amp;$G$1)</f>
        <v>600</v>
      </c>
      <c r="G6" s="1380"/>
      <c r="H6" s="1065" t="s">
        <v>398</v>
      </c>
      <c r="I6" s="3803" t="s">
        <v>694</v>
      </c>
      <c r="J6" s="298">
        <f ca="1">ROUND(M6*M8*M7*(1-M9)/10000,0)</f>
        <v>0</v>
      </c>
      <c r="K6" s="152" t="s">
        <v>2108</v>
      </c>
      <c r="L6" s="299" t="s">
        <v>696</v>
      </c>
      <c r="M6" s="300">
        <f ca="1">INDIRECT("'数据-取费表'!z"&amp;$G$1)</f>
        <v>0</v>
      </c>
    </row>
    <row r="7" spans="1:37" ht="18" customHeight="1">
      <c r="A7" s="1069"/>
      <c r="B7" s="3804"/>
      <c r="C7" s="1071"/>
      <c r="D7" s="304"/>
      <c r="E7" s="3510" t="s">
        <v>697</v>
      </c>
      <c r="F7" s="300">
        <f ca="1">IF(INDIRECT("'数据-取费表'!ah"&amp;$G$1)="",INDIRECT("'数据-取费表'!k"&amp;$G$1),INDIRECT("'数据-取费表'!ah"&amp;$G$1))</f>
        <v>1052</v>
      </c>
      <c r="G7" s="1380"/>
      <c r="H7" s="301"/>
      <c r="I7" s="3804"/>
      <c r="J7" s="303"/>
      <c r="K7" s="304"/>
      <c r="L7" s="299" t="s">
        <v>697</v>
      </c>
      <c r="M7" s="300">
        <f ca="1">F7</f>
        <v>1052</v>
      </c>
    </row>
    <row r="8" spans="1:37" ht="18" customHeight="1">
      <c r="A8" s="301"/>
      <c r="B8" s="3804"/>
      <c r="C8" s="303"/>
      <c r="D8" s="304"/>
      <c r="E8" s="299" t="s">
        <v>698</v>
      </c>
      <c r="F8" s="300">
        <f ca="1">INDIRECT("'数据-取费表'!ai"&amp;$G$1)</f>
        <v>12</v>
      </c>
      <c r="G8" s="1380"/>
      <c r="H8" s="301"/>
      <c r="I8" s="3804"/>
      <c r="J8" s="303"/>
      <c r="K8" s="304"/>
      <c r="L8" s="299" t="s">
        <v>698</v>
      </c>
      <c r="M8" s="300">
        <f ca="1">INDIRECT("'数据-取费表'!ai"&amp;$G$1)</f>
        <v>12</v>
      </c>
    </row>
    <row r="9" spans="1:37" ht="18" customHeight="1">
      <c r="A9" s="301"/>
      <c r="B9" s="3805"/>
      <c r="C9" s="303"/>
      <c r="D9" s="304"/>
      <c r="E9" s="299" t="s">
        <v>699</v>
      </c>
      <c r="F9" s="309">
        <f ca="1">INDIRECT("'数据-取费表'!w"&amp;$G$1)</f>
        <v>0.1</v>
      </c>
      <c r="G9" s="1380"/>
      <c r="H9" s="301"/>
      <c r="I9" s="3805"/>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t="s">
        <v>3787</v>
      </c>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45002</v>
      </c>
      <c r="D13" s="3507" t="s">
        <v>705</v>
      </c>
      <c r="E13" s="3507" t="s">
        <v>706</v>
      </c>
      <c r="F13" s="1078">
        <f ca="1">INDIRECT("'数据-取费表'!y"&amp;$G$1)</f>
        <v>0.87</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38432</v>
      </c>
      <c r="D14" s="3513" t="s">
        <v>708</v>
      </c>
      <c r="E14" s="3512"/>
      <c r="F14" s="316"/>
      <c r="G14" s="1380"/>
      <c r="H14" s="978" t="s">
        <v>398</v>
      </c>
      <c r="I14" s="299" t="s">
        <v>709</v>
      </c>
      <c r="J14" s="21">
        <f ca="1">C29</f>
        <v>51727</v>
      </c>
      <c r="K14" s="3509"/>
      <c r="L14" s="803"/>
      <c r="M14" s="804"/>
    </row>
    <row r="15" spans="1:37" s="1393" customFormat="1" ht="18" customHeight="1" thickBot="1">
      <c r="A15" s="978" t="s">
        <v>399</v>
      </c>
      <c r="B15" s="299" t="s">
        <v>710</v>
      </c>
      <c r="C15" s="21">
        <f ca="1">ROUND(C14*F15,0)</f>
        <v>1922</v>
      </c>
      <c r="D15" s="3508" t="s">
        <v>711</v>
      </c>
      <c r="E15" s="3508"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261</v>
      </c>
      <c r="K16" s="1083" t="s">
        <v>715</v>
      </c>
      <c r="L16" s="3515"/>
      <c r="M16" s="1068"/>
    </row>
    <row r="17" spans="1:37" s="1393" customFormat="1" ht="18" customHeight="1">
      <c r="A17" s="978" t="s">
        <v>681</v>
      </c>
      <c r="B17" s="299" t="s">
        <v>716</v>
      </c>
      <c r="C17" s="21">
        <f ca="1">ROUND(F17*(F43+INDIRECT("'数据-取费表'!S"&amp;$G$1))/10000,0)</f>
        <v>1398</v>
      </c>
      <c r="D17" s="299" t="s">
        <v>717</v>
      </c>
      <c r="E17" s="299" t="s">
        <v>718</v>
      </c>
      <c r="F17" s="23">
        <f>'数据-取费表'!B35</f>
        <v>200</v>
      </c>
      <c r="G17" s="1392"/>
      <c r="H17" s="978" t="s">
        <v>398</v>
      </c>
      <c r="I17" s="299" t="s">
        <v>719</v>
      </c>
      <c r="J17" s="2312">
        <f ca="1">ROUND(IF(AND(项目基本情况!B11="自然人",项目基本情况!B10="北京市"),J6*M17/(1+'数据-取费表'!C42),J18+J19+J20),2)</f>
        <v>2.15</v>
      </c>
      <c r="K17" s="3513" t="s">
        <v>720</v>
      </c>
      <c r="L17" s="3514"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769</v>
      </c>
      <c r="D18" s="299" t="s">
        <v>711</v>
      </c>
      <c r="E18" s="299" t="s">
        <v>712</v>
      </c>
      <c r="F18" s="319">
        <f>'数据-取费表'!B36</f>
        <v>0.02</v>
      </c>
      <c r="G18" s="1392"/>
      <c r="H18" s="978" t="s">
        <v>397</v>
      </c>
      <c r="I18" s="299" t="s">
        <v>723</v>
      </c>
      <c r="J18" s="21">
        <f ca="1">ROUND(J6*M18/(1+'数据-取费表'!C42),2)</f>
        <v>0</v>
      </c>
      <c r="K18" s="3514"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42521</v>
      </c>
      <c r="D19" s="128" t="s">
        <v>726</v>
      </c>
      <c r="E19" s="3517"/>
      <c r="F19" s="23"/>
      <c r="G19" s="1380"/>
      <c r="H19" s="978" t="s">
        <v>399</v>
      </c>
      <c r="I19" s="299" t="s">
        <v>727</v>
      </c>
      <c r="J19" s="21">
        <f ca="1">IF(K19="按租金收入计税",ROUND(J6*M19/(1+'数据-取费表'!C42),2),ROUND(C29*M19*0.7,2))</f>
        <v>0</v>
      </c>
      <c r="K19" s="1366" t="s">
        <v>3339</v>
      </c>
      <c r="L19" s="299" t="s">
        <v>712</v>
      </c>
      <c r="M19" s="319">
        <f>IF(K19="按租金收入计税",'数据-取费表'!B51,'数据-取费表'!B50)</f>
        <v>0.12</v>
      </c>
    </row>
    <row r="20" spans="1:37" s="1393" customFormat="1" ht="18" customHeight="1">
      <c r="A20" s="978" t="s">
        <v>402</v>
      </c>
      <c r="B20" s="299" t="s">
        <v>728</v>
      </c>
      <c r="C20" s="21">
        <f ca="1">ROUND(C19*F20,0)</f>
        <v>1276</v>
      </c>
      <c r="D20" s="2424" t="s">
        <v>729</v>
      </c>
      <c r="E20" s="299" t="s">
        <v>712</v>
      </c>
      <c r="F20" s="319">
        <f>'数据-取费表'!B37</f>
        <v>0.03</v>
      </c>
      <c r="G20" s="1392"/>
      <c r="H20" s="978" t="s">
        <v>680</v>
      </c>
      <c r="I20" s="152" t="s">
        <v>730</v>
      </c>
      <c r="J20" s="22">
        <f ca="1">ROUND(M20*M21/10000,2)</f>
        <v>2.15</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2424" t="s">
        <v>734</v>
      </c>
      <c r="E21" s="299" t="s">
        <v>735</v>
      </c>
      <c r="F21" s="319">
        <f>'数据-取费表'!B38</f>
        <v>0.02</v>
      </c>
      <c r="G21" s="1392"/>
      <c r="H21" s="323"/>
      <c r="I21" s="308"/>
      <c r="J21" s="26"/>
      <c r="K21" s="324"/>
      <c r="L21" s="299" t="s">
        <v>736</v>
      </c>
      <c r="M21" s="300">
        <f ca="1">INDIRECT("'数据-取费表'!r"&amp;$G$1)</f>
        <v>14332.27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复利计息。建造成本、管理费用、销售费用产生的利息。</v>
      </c>
      <c r="E22" s="3517"/>
      <c r="F22" s="23"/>
      <c r="G22" s="1380"/>
      <c r="H22" s="978" t="s">
        <v>402</v>
      </c>
      <c r="I22" s="299" t="s">
        <v>738</v>
      </c>
      <c r="J22" s="21">
        <f ca="1">ROUND(J14*M22,2)</f>
        <v>258.64</v>
      </c>
      <c r="K22" s="3514" t="s">
        <v>739</v>
      </c>
      <c r="L22" s="299" t="s">
        <v>712</v>
      </c>
      <c r="M22" s="325">
        <f ca="1">INDIRECT("'数据-取费表'!Ak"&amp;$G$1)</f>
        <v>5.0000000000000001E-3</v>
      </c>
    </row>
    <row r="23" spans="1:37" s="1393" customFormat="1" ht="18" customHeight="1">
      <c r="A23" s="978" t="s">
        <v>397</v>
      </c>
      <c r="B23" s="299" t="s">
        <v>740</v>
      </c>
      <c r="C23" s="21">
        <f ca="1">IF('数据-取费表'!B22&lt;=1,ROUND(C19*F24*F23/2,0)+ROUND(C20*F24*F23/2,0),ROUND(C19*(POWER((1+F24),F23/2)-1),0)+ROUND(C20*(POWER((1+F24),F23/2)-1),0))</f>
        <v>1897</v>
      </c>
      <c r="D23" s="326" t="str">
        <f>IF(F23&lt;=1,"(建造成本+管理费用)×利率×(建设周期÷2)","(建造成本+管理费用)×((1+利率)^(建设周期÷2)-1)")</f>
        <v>(建造成本+管理费用)×((1+利率)^(建设周期÷2)-1)</v>
      </c>
      <c r="E23" s="299" t="s">
        <v>741</v>
      </c>
      <c r="F23" s="322">
        <f>'数据-取费表'!B20</f>
        <v>2.5</v>
      </c>
      <c r="G23" s="1392"/>
      <c r="H23" s="978" t="s">
        <v>437</v>
      </c>
      <c r="I23" s="299" t="s">
        <v>742</v>
      </c>
      <c r="J23" s="21">
        <f ca="1">ROUND(J13*M23,2)</f>
        <v>0</v>
      </c>
      <c r="K23" s="3514" t="s">
        <v>743</v>
      </c>
      <c r="L23" s="299" t="s">
        <v>712</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399</v>
      </c>
      <c r="B24" s="299" t="s">
        <v>746</v>
      </c>
      <c r="C24" s="21">
        <f ca="1">ROUND(IF('数据-取费表'!B22&lt;=1,F21*F24*F23/2,F21*(POWER((1+F24),F23/2)-1)),4)</f>
        <v>8.9999999999999998E-4</v>
      </c>
      <c r="D24" s="326" t="str">
        <f>IF(F23&lt;=1,"销售费用×利率×(建设周期÷2)","销售费用×((1+利率)^(建设周期÷2)-1)")</f>
        <v>销售费用×((1+利率)^(建设周期÷2)-1)</v>
      </c>
      <c r="E24" s="299" t="s">
        <v>747</v>
      </c>
      <c r="F24" s="328">
        <f ca="1">'数据-取费表'!B40</f>
        <v>3.4500000000000003E-2</v>
      </c>
      <c r="G24" s="1392"/>
      <c r="H24" s="1085" t="s">
        <v>683</v>
      </c>
      <c r="I24" s="1086" t="s">
        <v>728</v>
      </c>
      <c r="J24" s="1087">
        <f ca="1">ROUND(J5*M24,2)</f>
        <v>0</v>
      </c>
      <c r="K24" s="1088" t="s">
        <v>748</v>
      </c>
      <c r="L24" s="1086" t="s">
        <v>712</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3517"/>
      <c r="F25" s="23"/>
      <c r="G25" s="1380"/>
      <c r="H25" s="1075" t="s">
        <v>394</v>
      </c>
      <c r="I25" s="1090" t="s">
        <v>752</v>
      </c>
      <c r="J25" s="307">
        <f ca="1">J5-J16</f>
        <v>-261</v>
      </c>
      <c r="K25" s="1091" t="s">
        <v>753</v>
      </c>
      <c r="L25" s="1092"/>
      <c r="M25" s="1093"/>
    </row>
    <row r="26" spans="1:37">
      <c r="A26" s="978" t="s">
        <v>397</v>
      </c>
      <c r="B26" s="299" t="s">
        <v>754</v>
      </c>
      <c r="C26" s="21">
        <f ca="1">ROUND((C19+C20)*F26,0)</f>
        <v>2190</v>
      </c>
      <c r="D26" s="2424" t="s">
        <v>755</v>
      </c>
      <c r="E26" s="310" t="s">
        <v>756</v>
      </c>
      <c r="F26" s="309">
        <f ca="1">INDIRECT("'数据-取费表'!q"&amp;$G$1)</f>
        <v>0.05</v>
      </c>
      <c r="G26" s="1380"/>
      <c r="H26" s="296" t="s">
        <v>395</v>
      </c>
      <c r="I26" s="297" t="s">
        <v>757</v>
      </c>
      <c r="J26" s="298">
        <f ca="1">IF(J5&lt;&gt;0,ROUND(J25*(1-((1+M28)/(1+M26))^M27)/(M26-M28),0),0)</f>
        <v>0</v>
      </c>
      <c r="K26" s="321" t="s">
        <v>758</v>
      </c>
      <c r="L26" s="299" t="s">
        <v>759</v>
      </c>
      <c r="M26" s="309">
        <f ca="1">INDIRECT("'数据-取费表'!I"&amp;$G$1)</f>
        <v>0.05</v>
      </c>
    </row>
    <row r="27" spans="1:37" ht="18" customHeight="1">
      <c r="A27" s="978" t="s">
        <v>399</v>
      </c>
      <c r="B27" s="299" t="s">
        <v>760</v>
      </c>
      <c r="C27" s="21">
        <f ca="1">ROUND(F21*F26,4)</f>
        <v>1E-3</v>
      </c>
      <c r="D27" s="2424" t="s">
        <v>761</v>
      </c>
      <c r="E27" s="3508"/>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2424"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51727</v>
      </c>
      <c r="D29" s="1088"/>
      <c r="E29" s="1086"/>
      <c r="F29" s="1089"/>
      <c r="G29" s="1392"/>
      <c r="H29" s="331" t="s">
        <v>396</v>
      </c>
      <c r="I29" s="332" t="s">
        <v>768</v>
      </c>
      <c r="J29" s="333">
        <f ca="1">ROUND(J26/(1+F40)^F41,0)</f>
        <v>0</v>
      </c>
      <c r="K29" s="334" t="s">
        <v>769</v>
      </c>
      <c r="L29" s="335"/>
      <c r="M29" s="336">
        <f ca="1">INDIRECT("'数据-取费表'!k"&amp;$G$1)</f>
        <v>69876.87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423</v>
      </c>
      <c r="D30" s="1083" t="s">
        <v>715</v>
      </c>
      <c r="E30" s="3515"/>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115.81</v>
      </c>
      <c r="D31" s="3513" t="s">
        <v>720</v>
      </c>
      <c r="E31" s="3514" t="s">
        <v>770</v>
      </c>
      <c r="F31" s="2311">
        <f ca="1">IF(项目基本情况!B11="企业","——",IF(M47="住宅",IF(F6*F7*F8/12/(1+'数据-取费表'!F30)&gt;100000,4%,2.5%),IF(F6*F7*F8/12/(1+'数据-取费表'!F30)&gt;100000,12%,7%)))</f>
        <v>0.12</v>
      </c>
      <c r="G31" s="1380"/>
      <c r="H31" s="2804" t="s">
        <v>2310</v>
      </c>
      <c r="I31" s="1394"/>
      <c r="J31" s="1395"/>
      <c r="K31" s="2471"/>
      <c r="L31" s="2694"/>
      <c r="M31" s="2695"/>
    </row>
    <row r="32" spans="1:37" ht="18" customHeight="1">
      <c r="A32" s="978" t="s">
        <v>397</v>
      </c>
      <c r="B32" s="299" t="s">
        <v>723</v>
      </c>
      <c r="C32" s="21">
        <f ca="1">IF(项目基本情况!B11="自然人","——",ROUND(C6*F32/(1+'数据-取费表'!C42),2))</f>
        <v>35.72</v>
      </c>
      <c r="D32" s="3514"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77.94</v>
      </c>
      <c r="D33" s="1366" t="s">
        <v>3339</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2.15</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14332.27</v>
      </c>
      <c r="G35" s="1380"/>
      <c r="H35" s="2693"/>
      <c r="I35" s="1394"/>
      <c r="J35" s="1395"/>
      <c r="K35" s="2697"/>
      <c r="L35" s="2696"/>
      <c r="M35" s="2696"/>
    </row>
    <row r="36" spans="1:18" ht="18" customHeight="1">
      <c r="A36" s="1098" t="s">
        <v>402</v>
      </c>
      <c r="B36" s="299" t="s">
        <v>738</v>
      </c>
      <c r="C36" s="21">
        <f ca="1">ROUND(C29*F36,2)</f>
        <v>258.64</v>
      </c>
      <c r="D36" s="3514" t="s">
        <v>771</v>
      </c>
      <c r="E36" s="299" t="s">
        <v>712</v>
      </c>
      <c r="F36" s="325">
        <f ca="1">INDIRECT("'数据-取费表'!Ak"&amp;$G$1)</f>
        <v>5.0000000000000001E-3</v>
      </c>
      <c r="G36" s="1380"/>
      <c r="H36" s="2696"/>
      <c r="I36" s="1394"/>
      <c r="J36" s="1395"/>
      <c r="K36" s="2540"/>
      <c r="L36" s="2696"/>
      <c r="M36" s="2696"/>
    </row>
    <row r="37" spans="1:18" ht="18" customHeight="1">
      <c r="A37" s="978" t="s">
        <v>437</v>
      </c>
      <c r="B37" s="299" t="s">
        <v>742</v>
      </c>
      <c r="C37" s="21">
        <f ca="1">ROUND(C13*F37,2)</f>
        <v>45</v>
      </c>
      <c r="D37" s="3514" t="s">
        <v>743</v>
      </c>
      <c r="E37" s="299" t="s">
        <v>712</v>
      </c>
      <c r="F37" s="327">
        <f ca="1">INDIRECT("'数据-取费表'!Al"&amp;$G$1)</f>
        <v>1E-3</v>
      </c>
      <c r="G37" s="1380"/>
      <c r="H37" s="2696"/>
      <c r="I37" s="1394"/>
      <c r="J37" s="1395"/>
      <c r="K37" s="2540"/>
      <c r="L37" s="2696"/>
      <c r="M37" s="2696"/>
    </row>
    <row r="38" spans="1:18" ht="18" customHeight="1" thickBot="1">
      <c r="A38" s="1085" t="s">
        <v>683</v>
      </c>
      <c r="B38" s="1086" t="s">
        <v>728</v>
      </c>
      <c r="C38" s="1087">
        <f ca="1">ROUND(C5*F38,2)</f>
        <v>3.41</v>
      </c>
      <c r="D38" s="1088" t="s">
        <v>748</v>
      </c>
      <c r="E38" s="1086" t="s">
        <v>712</v>
      </c>
      <c r="F38" s="1082">
        <f ca="1">INDIRECT("'数据-取费表'!Am"&amp;$G$1)</f>
        <v>5.0000000000000001E-3</v>
      </c>
      <c r="G38" s="1380"/>
      <c r="H38" s="2696"/>
      <c r="I38" s="1394"/>
      <c r="J38" s="1395"/>
      <c r="K38" s="2700"/>
      <c r="L38" s="2696"/>
      <c r="M38" s="2696"/>
    </row>
    <row r="39" spans="1:18" ht="24.6" customHeight="1" thickTop="1">
      <c r="A39" s="1075" t="s">
        <v>394</v>
      </c>
      <c r="B39" s="1090" t="s">
        <v>752</v>
      </c>
      <c r="C39" s="307">
        <f ca="1">C5-C30</f>
        <v>259</v>
      </c>
      <c r="D39" s="1091" t="s">
        <v>753</v>
      </c>
      <c r="E39" s="1092"/>
      <c r="F39" s="1093"/>
      <c r="G39" s="1380"/>
      <c r="H39" s="2696"/>
      <c r="I39" s="1394"/>
      <c r="J39" s="1395"/>
      <c r="K39" s="2700"/>
      <c r="L39" s="2696"/>
      <c r="M39" s="2696"/>
    </row>
    <row r="40" spans="1:18" ht="18" customHeight="1">
      <c r="A40" s="296" t="s">
        <v>395</v>
      </c>
      <c r="B40" s="297" t="s">
        <v>774</v>
      </c>
      <c r="C40" s="298">
        <f ca="1">ROUND(C39*(1-((1+F42)/(1+F40))^F41)/(F40-F42),0)</f>
        <v>5386</v>
      </c>
      <c r="D40" s="321" t="s">
        <v>758</v>
      </c>
      <c r="E40" s="299" t="s">
        <v>759</v>
      </c>
      <c r="F40" s="309">
        <f ca="1">INDIRECT("'数据-取费表'!I"&amp;$G$1)</f>
        <v>0.05</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33.729999999999997</v>
      </c>
      <c r="G41" s="1380"/>
      <c r="H41" s="1187"/>
      <c r="I41" s="1394"/>
      <c r="J41" s="1395"/>
      <c r="K41" s="2540"/>
      <c r="L41" s="1187"/>
      <c r="M41" s="1187"/>
    </row>
    <row r="42" spans="1:18" ht="18" customHeight="1">
      <c r="A42" s="305"/>
      <c r="B42" s="306"/>
      <c r="C42" s="307"/>
      <c r="D42" s="324"/>
      <c r="E42" s="299" t="s">
        <v>766</v>
      </c>
      <c r="F42" s="309">
        <f ca="1">INDIRECT("'数据-取费表'!v"&amp;$G$1)</f>
        <v>0.02</v>
      </c>
      <c r="G42" s="1380"/>
      <c r="H42" s="1187"/>
      <c r="I42" s="1394"/>
      <c r="J42" s="1395"/>
      <c r="K42" s="2540"/>
      <c r="L42" s="1187"/>
      <c r="M42" s="1187"/>
    </row>
    <row r="43" spans="1:18" ht="18" customHeight="1" thickBot="1">
      <c r="A43" s="331" t="s">
        <v>396</v>
      </c>
      <c r="B43" s="332" t="s">
        <v>776</v>
      </c>
      <c r="C43" s="333">
        <f ca="1">ROUND(C40*10000/F43,0)</f>
        <v>771</v>
      </c>
      <c r="D43" s="334" t="s">
        <v>777</v>
      </c>
      <c r="E43" s="335" t="s">
        <v>778</v>
      </c>
      <c r="F43" s="336">
        <f ca="1">INDIRECT("'数据-取费表'!k"&amp;$G$1)</f>
        <v>69876.87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f ca="1">C68-C40</f>
        <v>-10326</v>
      </c>
      <c r="D46" s="1402" t="str">
        <f>C2</f>
        <v>万元</v>
      </c>
      <c r="E46" s="1396"/>
      <c r="F46" s="1396"/>
      <c r="I46" s="1403" t="s">
        <v>810</v>
      </c>
      <c r="J46" s="1404"/>
      <c r="K46" s="1405"/>
      <c r="L46" s="1406">
        <f ca="1">IF(M47="住宅",0,IF(L48&gt;J51,L60,J60))</f>
        <v>1805</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3483</v>
      </c>
      <c r="K47" s="1412" t="s">
        <v>816</v>
      </c>
      <c r="L47" s="1413">
        <f ca="1">INDIRECT("'数据-取费表'!d"&amp;$G$1)</f>
        <v>50</v>
      </c>
      <c r="M47" s="1376" t="str">
        <f>IF(ISNUMBER(FIND("住宅",C1)),"住宅","非住宅")</f>
        <v>非住宅</v>
      </c>
      <c r="O47" s="1414" t="s">
        <v>403</v>
      </c>
      <c r="P47" s="1415" t="s">
        <v>817</v>
      </c>
      <c r="Q47" s="1416">
        <f ca="1">C40+J29</f>
        <v>5386</v>
      </c>
      <c r="R47" s="1416" t="s">
        <v>818</v>
      </c>
    </row>
    <row r="48" spans="1:18" s="1380" customFormat="1" ht="28.5" thickBot="1">
      <c r="A48" s="1106" t="s">
        <v>438</v>
      </c>
      <c r="B48" s="297" t="s">
        <v>692</v>
      </c>
      <c r="C48" s="3516">
        <f ca="1">C49+C53+C55</f>
        <v>0</v>
      </c>
      <c r="D48" s="1108"/>
      <c r="E48" s="1109"/>
      <c r="F48" s="958"/>
      <c r="G48" s="718"/>
      <c r="H48" s="719"/>
      <c r="I48" s="1417" t="s">
        <v>819</v>
      </c>
      <c r="J48" s="1418" t="s">
        <v>3484</v>
      </c>
      <c r="K48" s="1419" t="s">
        <v>820</v>
      </c>
      <c r="L48" s="1420">
        <f ca="1">INDIRECT("'数据-取费表'!f"&amp;$G$1)</f>
        <v>33.729999999999997</v>
      </c>
      <c r="O48" s="1414" t="s">
        <v>404</v>
      </c>
      <c r="P48" s="1415" t="s">
        <v>821</v>
      </c>
      <c r="Q48" s="1416">
        <f ca="1">J60</f>
        <v>1805</v>
      </c>
      <c r="R48" s="1416" t="s">
        <v>822</v>
      </c>
    </row>
    <row r="49" spans="1:18" s="1380" customFormat="1" ht="13.5" thickBot="1">
      <c r="A49" s="971" t="s">
        <v>439</v>
      </c>
      <c r="B49" s="1367" t="s">
        <v>779</v>
      </c>
      <c r="C49" s="1110">
        <f ca="1">ROUND(F49*F51*F50*(1-F52)/10000,0)</f>
        <v>0</v>
      </c>
      <c r="D49" s="1051" t="s">
        <v>2108</v>
      </c>
      <c r="E49" s="1368" t="s">
        <v>780</v>
      </c>
      <c r="F49" s="1056"/>
      <c r="G49" s="1421"/>
      <c r="H49" s="719"/>
      <c r="I49" s="1417" t="s">
        <v>823</v>
      </c>
      <c r="J49" s="1422">
        <v>2016</v>
      </c>
      <c r="K49" s="1419" t="s">
        <v>824</v>
      </c>
      <c r="L49" s="1423"/>
      <c r="O49" s="1424" t="s">
        <v>405</v>
      </c>
      <c r="P49" s="1415" t="s">
        <v>825</v>
      </c>
      <c r="Q49" s="1416">
        <f ca="1">C29</f>
        <v>51727</v>
      </c>
      <c r="R49" s="1416" t="s">
        <v>818</v>
      </c>
    </row>
    <row r="50" spans="1:18" s="1380" customFormat="1" ht="13.5" thickBot="1">
      <c r="A50" s="972"/>
      <c r="B50" s="975"/>
      <c r="C50" s="1114"/>
      <c r="D50" s="949"/>
      <c r="E50" s="1052" t="s">
        <v>697</v>
      </c>
      <c r="F50" s="1053">
        <f ca="1">F7</f>
        <v>1052</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12</v>
      </c>
      <c r="I51" s="1428" t="s">
        <v>829</v>
      </c>
      <c r="J51" s="1429">
        <f>IF(J49="",J50,J49+J50-YEAR('数据-取费表'!B2))</f>
        <v>52</v>
      </c>
      <c r="K51" s="1430" t="s">
        <v>830</v>
      </c>
      <c r="L51" s="1431">
        <f ca="1">ROUND(-PV(INDIRECT("'数据-取费表'!h"&amp;$G$1),J51,(C39-C13*C76),0),0)</f>
        <v>-62875</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33.729999999999997</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4">
        <f ca="1">IF(M47="住宅",IF(D1="——",MAX(J51,L48),MAX(J51,L48-'数据-取费表'!B24)),IF(D1="——",MIN(J51,L48),MIN(J51,L48-'数据-取费表'!B24)))</f>
        <v>33.729999999999997</v>
      </c>
      <c r="K53" s="3801" t="s">
        <v>837</v>
      </c>
      <c r="L53" s="3802"/>
      <c r="O53" s="1414" t="s">
        <v>409</v>
      </c>
      <c r="P53" s="1415" t="s">
        <v>838</v>
      </c>
      <c r="Q53" s="1416">
        <f ca="1">Q47+Q48</f>
        <v>7191</v>
      </c>
      <c r="R53" s="1416" t="s">
        <v>410</v>
      </c>
    </row>
    <row r="54" spans="1:18" s="1380" customFormat="1" ht="13.5" thickBot="1">
      <c r="A54" s="1149"/>
      <c r="B54" s="1363" t="s">
        <v>679</v>
      </c>
      <c r="C54" s="955"/>
      <c r="D54" s="1362"/>
      <c r="E54" s="351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511"/>
      <c r="F55" s="1436"/>
      <c r="I55" s="1439" t="s">
        <v>840</v>
      </c>
      <c r="J55" s="1440">
        <f ca="1">ROUND(IF(J47="钢混",J57/J50,1-(1-2%)*(J50-J57)/J50),3)</f>
        <v>0.30499999999999999</v>
      </c>
      <c r="K55" s="1441" t="s">
        <v>841</v>
      </c>
      <c r="L55" s="1442"/>
      <c r="O55" s="1407" t="s">
        <v>811</v>
      </c>
      <c r="P55" s="1408" t="s">
        <v>812</v>
      </c>
      <c r="Q55" s="1409" t="s">
        <v>813</v>
      </c>
      <c r="R55" s="1409" t="s">
        <v>814</v>
      </c>
    </row>
    <row r="56" spans="1:18" s="1380" customFormat="1" ht="25.5" thickTop="1" thickBot="1">
      <c r="A56" s="953">
        <v>2</v>
      </c>
      <c r="B56" s="954" t="s">
        <v>704</v>
      </c>
      <c r="C56" s="229">
        <f ca="1">C13</f>
        <v>45002</v>
      </c>
      <c r="D56" s="1443"/>
      <c r="E56" s="1444"/>
      <c r="F56" s="1436"/>
      <c r="I56" s="1445" t="s">
        <v>842</v>
      </c>
      <c r="J56" s="1446" t="s">
        <v>3485</v>
      </c>
      <c r="K56" s="1417" t="s">
        <v>843</v>
      </c>
      <c r="L56" s="1420" t="str">
        <f ca="1">IF(L48&lt;J51,"——",L48-J53)</f>
        <v>——</v>
      </c>
      <c r="O56" s="1414" t="s">
        <v>403</v>
      </c>
      <c r="P56" s="1415" t="s">
        <v>817</v>
      </c>
      <c r="Q56" s="1416">
        <f ca="1">C40+J29</f>
        <v>5386</v>
      </c>
      <c r="R56" s="1416" t="s">
        <v>818</v>
      </c>
    </row>
    <row r="57" spans="1:18" s="1380" customFormat="1" ht="24.75" thickBot="1">
      <c r="A57" s="1447"/>
      <c r="B57" s="946" t="s">
        <v>767</v>
      </c>
      <c r="C57" s="235">
        <f ca="1">C29</f>
        <v>51727</v>
      </c>
      <c r="D57" s="1448"/>
      <c r="E57" s="1449"/>
      <c r="F57" s="1450"/>
      <c r="I57" s="1451" t="s">
        <v>844</v>
      </c>
      <c r="J57" s="1452">
        <f ca="1">IF(OR(M47="住宅",J51&lt;L48,J56="是"),"——",J51-L48)</f>
        <v>18.270000000000003</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306</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20691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f ca="1">IF(OR(M47="住宅",J51&lt;L48,J56="是"),"0",ROUND(J59/(1+J52)^J53,0))</f>
        <v>1805</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f ca="1">IF(项目基本情况!B11="自然人","——",IF(D61="按租金收入计税",ROUND(C49*F61/(1+'数据-取费表'!C42),2),IF(D61="按房产原值计税",ROUND(C57*F61*0.7,2),INDIRECT("'数据-取费表'!Aj"&amp;$G$1))))</f>
        <v>0</v>
      </c>
      <c r="D61" s="1366" t="s">
        <v>3339</v>
      </c>
      <c r="E61" s="946" t="s">
        <v>712</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730</v>
      </c>
      <c r="C62" s="22">
        <f ca="1">IF(项目基本情况!B11="自然人","——",ROUND(F62*F63/10000,2))</f>
        <v>2.15</v>
      </c>
      <c r="D62" s="961" t="s">
        <v>731</v>
      </c>
      <c r="E62" s="946" t="s">
        <v>732</v>
      </c>
      <c r="F62" s="322">
        <f t="shared" si="0"/>
        <v>1.5</v>
      </c>
      <c r="I62" s="1458" t="s">
        <v>858</v>
      </c>
      <c r="J62" s="1459" t="s">
        <v>859</v>
      </c>
      <c r="K62" s="1459" t="s">
        <v>860</v>
      </c>
      <c r="L62" s="1459" t="s">
        <v>861</v>
      </c>
      <c r="M62" s="1460" t="s">
        <v>862</v>
      </c>
      <c r="O62" s="1414" t="s">
        <v>409</v>
      </c>
      <c r="P62" s="1415" t="s">
        <v>838</v>
      </c>
      <c r="Q62" s="1416">
        <f ca="1">Q56+Q57</f>
        <v>5386</v>
      </c>
      <c r="R62" s="1416" t="s">
        <v>410</v>
      </c>
    </row>
    <row r="63" spans="1:18" s="1380" customFormat="1" ht="13.5" thickBot="1">
      <c r="A63" s="323"/>
      <c r="B63" s="952"/>
      <c r="C63" s="26"/>
      <c r="D63" s="962"/>
      <c r="E63" s="946" t="s">
        <v>736</v>
      </c>
      <c r="F63" s="300">
        <f t="shared" ca="1" si="0"/>
        <v>14332.27</v>
      </c>
      <c r="I63" s="1458" t="s">
        <v>864</v>
      </c>
      <c r="J63" s="1459">
        <v>70</v>
      </c>
      <c r="K63" s="1459">
        <v>50</v>
      </c>
      <c r="L63" s="1459">
        <v>80</v>
      </c>
      <c r="M63" s="1461">
        <v>0.02</v>
      </c>
      <c r="O63" s="1399" t="s">
        <v>865</v>
      </c>
      <c r="P63" s="1377"/>
      <c r="Q63" s="1377"/>
      <c r="R63" s="1377"/>
    </row>
    <row r="64" spans="1:18" s="1380" customFormat="1" ht="13.5" thickBot="1">
      <c r="A64" s="978" t="s">
        <v>402</v>
      </c>
      <c r="B64" s="946" t="s">
        <v>738</v>
      </c>
      <c r="C64" s="21">
        <f ca="1">ROUND(C57*F64,2)</f>
        <v>258.64</v>
      </c>
      <c r="D64" s="960" t="s">
        <v>771</v>
      </c>
      <c r="E64" s="946" t="s">
        <v>712</v>
      </c>
      <c r="F64" s="325">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45</v>
      </c>
      <c r="D65" s="960" t="s">
        <v>743</v>
      </c>
      <c r="E65" s="946" t="s">
        <v>712</v>
      </c>
      <c r="F65" s="327">
        <f t="shared" ca="1" si="0"/>
        <v>1E-3</v>
      </c>
      <c r="I65" s="1458" t="s">
        <v>867</v>
      </c>
      <c r="J65" s="1459">
        <v>40</v>
      </c>
      <c r="K65" s="1459">
        <v>30</v>
      </c>
      <c r="L65" s="1459">
        <v>50</v>
      </c>
      <c r="M65" s="1461">
        <v>0.02</v>
      </c>
      <c r="O65" s="1414" t="s">
        <v>403</v>
      </c>
      <c r="P65" s="1415" t="s">
        <v>817</v>
      </c>
      <c r="Q65" s="1416">
        <f ca="1">C40+J29</f>
        <v>5386</v>
      </c>
      <c r="R65" s="1416" t="s">
        <v>818</v>
      </c>
    </row>
    <row r="66" spans="1:18" s="1380" customFormat="1" ht="16.5" thickBot="1">
      <c r="A66" s="978" t="s">
        <v>793</v>
      </c>
      <c r="B66" s="946" t="s">
        <v>728</v>
      </c>
      <c r="C66" s="21">
        <f ca="1">ROUND(C48*F66,2)</f>
        <v>0</v>
      </c>
      <c r="D66" s="960" t="s">
        <v>748</v>
      </c>
      <c r="E66" s="946" t="s">
        <v>712</v>
      </c>
      <c r="F66" s="309">
        <f t="shared" ca="1" si="0"/>
        <v>5.0000000000000001E-3</v>
      </c>
      <c r="O66" s="1414" t="s">
        <v>404</v>
      </c>
      <c r="P66" s="1415" t="s">
        <v>846</v>
      </c>
      <c r="Q66" s="1416">
        <f ca="1">L60</f>
        <v>0</v>
      </c>
      <c r="R66" s="1416" t="s">
        <v>869</v>
      </c>
    </row>
    <row r="67" spans="1:18" s="1380" customFormat="1" ht="16.5" thickBot="1">
      <c r="A67" s="953" t="s">
        <v>394</v>
      </c>
      <c r="B67" s="963" t="s">
        <v>752</v>
      </c>
      <c r="C67" s="313">
        <f ca="1">C48-C58</f>
        <v>-306</v>
      </c>
      <c r="D67" s="959" t="s">
        <v>753</v>
      </c>
      <c r="E67" s="964"/>
      <c r="F67" s="965"/>
      <c r="O67" s="1424" t="s">
        <v>405</v>
      </c>
      <c r="P67" s="1415" t="s">
        <v>850</v>
      </c>
      <c r="Q67" s="1462">
        <f ca="1">L51</f>
        <v>-62875</v>
      </c>
      <c r="R67" s="1416" t="s">
        <v>870</v>
      </c>
    </row>
    <row r="68" spans="1:18" s="1380" customFormat="1" ht="16.5" thickBot="1">
      <c r="A68" s="943" t="s">
        <v>395</v>
      </c>
      <c r="B68" s="944" t="s">
        <v>774</v>
      </c>
      <c r="C68" s="298">
        <f ca="1">ROUND(C67*(1-((1+F70)/(1+F68))^F69)/(F68-F70),0)</f>
        <v>-4940</v>
      </c>
      <c r="D68" s="961" t="s">
        <v>758</v>
      </c>
      <c r="E68" s="946" t="s">
        <v>759</v>
      </c>
      <c r="F68" s="309">
        <f ca="1">F40</f>
        <v>0.05</v>
      </c>
      <c r="O68" s="1424" t="s">
        <v>406</v>
      </c>
      <c r="P68" s="1463" t="s">
        <v>871</v>
      </c>
      <c r="Q68" s="1416">
        <f ca="1">ROUND(Q69-Q70*Q71,0)</f>
        <v>-2891</v>
      </c>
      <c r="R68" s="1416" t="s">
        <v>414</v>
      </c>
    </row>
    <row r="69" spans="1:18" s="1380" customFormat="1" ht="13.5" thickBot="1">
      <c r="A69" s="947"/>
      <c r="B69" s="948"/>
      <c r="C69" s="303"/>
      <c r="D69" s="966" t="s">
        <v>762</v>
      </c>
      <c r="E69" s="946" t="s">
        <v>763</v>
      </c>
      <c r="F69" s="330">
        <f ca="1">F41</f>
        <v>33.729999999999997</v>
      </c>
      <c r="O69" s="1424" t="s">
        <v>411</v>
      </c>
      <c r="P69" s="1463" t="s">
        <v>872</v>
      </c>
      <c r="Q69" s="1416">
        <f ca="1">C39</f>
        <v>259</v>
      </c>
      <c r="R69" s="1416" t="s">
        <v>818</v>
      </c>
    </row>
    <row r="70" spans="1:18" s="1380" customFormat="1" ht="13.5" thickBot="1">
      <c r="A70" s="950"/>
      <c r="B70" s="951"/>
      <c r="C70" s="307"/>
      <c r="D70" s="962"/>
      <c r="E70" s="946" t="s">
        <v>766</v>
      </c>
      <c r="F70" s="1050"/>
      <c r="O70" s="1424" t="s">
        <v>412</v>
      </c>
      <c r="P70" s="1463" t="s">
        <v>873</v>
      </c>
      <c r="Q70" s="1416">
        <f ca="1">C13</f>
        <v>45002</v>
      </c>
      <c r="R70" s="1416" t="s">
        <v>818</v>
      </c>
    </row>
    <row r="71" spans="1:18" s="1380" customFormat="1" ht="13.5" thickBot="1">
      <c r="A71" s="967" t="s">
        <v>396</v>
      </c>
      <c r="B71" s="968" t="s">
        <v>776</v>
      </c>
      <c r="C71" s="333">
        <f ca="1">ROUND(C68*10000/F71,0)</f>
        <v>-707</v>
      </c>
      <c r="D71" s="969" t="s">
        <v>777</v>
      </c>
      <c r="E71" s="970" t="s">
        <v>778</v>
      </c>
      <c r="F71" s="336">
        <f ca="1">F43</f>
        <v>69876.87</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3150</v>
      </c>
      <c r="D75" s="1380"/>
      <c r="E75" s="1380"/>
      <c r="F75" s="1380"/>
      <c r="K75" s="1398"/>
      <c r="L75" s="1380"/>
      <c r="O75" s="1414" t="s">
        <v>409</v>
      </c>
      <c r="P75" s="1415" t="s">
        <v>838</v>
      </c>
      <c r="Q75" s="1416">
        <f ca="1">Q65+Q66</f>
        <v>5386</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-11.162000000000001</v>
      </c>
    </row>
    <row r="80" spans="1:18">
      <c r="B80" s="337" t="s">
        <v>800</v>
      </c>
      <c r="C80" s="271">
        <f ca="1">ROUND(C75/C39,3)</f>
        <v>12.162000000000001</v>
      </c>
    </row>
    <row r="81" spans="2:3">
      <c r="B81" s="267" t="s">
        <v>801</v>
      </c>
      <c r="C81" s="235"/>
    </row>
    <row r="82" spans="2:3">
      <c r="B82" s="270" t="s">
        <v>802</v>
      </c>
      <c r="C82" s="272">
        <f ca="1">1-C83</f>
        <v>-7.3550000000000004</v>
      </c>
    </row>
    <row r="83" spans="2:3">
      <c r="B83" s="270" t="s">
        <v>803</v>
      </c>
      <c r="C83" s="271">
        <f ca="1">ROUND(C13/C40,3)</f>
        <v>8.3550000000000004</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1665</v>
      </c>
      <c r="D3" s="350">
        <f>IF(D1="",'数据-汇总表'!E3,SUMIF('数据-汇总表'!$C19:$C33,D1,'数据-汇总表'!$E19:$E33))</f>
        <v>316967.99</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2" t="s">
        <v>1666</v>
      </c>
      <c r="B4" s="353"/>
      <c r="C4" s="3763" t="s">
        <v>1667</v>
      </c>
      <c r="D4" s="3764"/>
      <c r="E4" s="3765" t="s">
        <v>1668</v>
      </c>
      <c r="F4" s="3766"/>
      <c r="G4" s="3763" t="s">
        <v>1669</v>
      </c>
      <c r="H4" s="3764"/>
      <c r="I4" s="3763" t="s">
        <v>1670</v>
      </c>
      <c r="J4" s="3764"/>
      <c r="K4" s="1885" t="s">
        <v>1671</v>
      </c>
      <c r="L4" s="2711"/>
      <c r="M4" s="2712"/>
      <c r="N4" s="2712"/>
      <c r="O4" s="2712"/>
      <c r="P4" s="3829" t="s">
        <v>1672</v>
      </c>
      <c r="Q4" s="3830"/>
      <c r="R4" s="3833" t="s">
        <v>1668</v>
      </c>
      <c r="S4" s="3834"/>
      <c r="T4" s="3833" t="s">
        <v>1669</v>
      </c>
      <c r="U4" s="3834"/>
      <c r="V4" s="3780" t="s">
        <v>1670</v>
      </c>
      <c r="W4" s="3780"/>
      <c r="X4" s="1351"/>
      <c r="Y4" s="3833" t="s">
        <v>1672</v>
      </c>
      <c r="Z4" s="3834"/>
      <c r="AA4" s="3828" t="s">
        <v>1668</v>
      </c>
      <c r="AB4" s="3828" t="s">
        <v>1669</v>
      </c>
      <c r="AC4" s="3828" t="s">
        <v>1670</v>
      </c>
    </row>
    <row r="5" spans="1:29" ht="15">
      <c r="A5" s="355"/>
      <c r="B5" s="356"/>
      <c r="C5" s="3783" t="s">
        <v>1673</v>
      </c>
      <c r="D5" s="3784"/>
      <c r="E5" s="3794" t="s">
        <v>1674</v>
      </c>
      <c r="F5" s="3795"/>
      <c r="G5" s="3783" t="s">
        <v>1675</v>
      </c>
      <c r="H5" s="3784"/>
      <c r="I5" s="3783" t="s">
        <v>1676</v>
      </c>
      <c r="J5" s="3784"/>
      <c r="K5" s="1886"/>
      <c r="L5" s="2711"/>
      <c r="M5" s="2712"/>
      <c r="N5" s="2712"/>
      <c r="O5" s="2712"/>
      <c r="P5" s="3831"/>
      <c r="Q5" s="3770"/>
      <c r="R5" s="3775"/>
      <c r="S5" s="3776"/>
      <c r="T5" s="3775"/>
      <c r="U5" s="3776"/>
      <c r="V5" s="3780"/>
      <c r="W5" s="3780"/>
      <c r="X5" s="1351"/>
      <c r="Y5" s="3775"/>
      <c r="Z5" s="3776"/>
      <c r="AA5" s="3792"/>
      <c r="AB5" s="3792"/>
      <c r="AC5" s="3792"/>
    </row>
    <row r="6" spans="1:29" ht="15.75" thickBot="1">
      <c r="A6" s="357"/>
      <c r="B6" s="358"/>
      <c r="C6" s="3781" t="s">
        <v>1677</v>
      </c>
      <c r="D6" s="3782"/>
      <c r="E6" s="3789" t="s">
        <v>1677</v>
      </c>
      <c r="F6" s="3790"/>
      <c r="G6" s="3781" t="s">
        <v>1677</v>
      </c>
      <c r="H6" s="3782"/>
      <c r="I6" s="3781" t="s">
        <v>1677</v>
      </c>
      <c r="J6" s="3782"/>
      <c r="K6" s="1886" t="s">
        <v>1678</v>
      </c>
      <c r="L6" s="2711"/>
      <c r="M6" s="2712"/>
      <c r="N6" s="2712"/>
      <c r="O6" s="2712"/>
      <c r="P6" s="3832"/>
      <c r="Q6" s="3772"/>
      <c r="R6" s="3775"/>
      <c r="S6" s="3776"/>
      <c r="T6" s="3777"/>
      <c r="U6" s="3778"/>
      <c r="V6" s="3780"/>
      <c r="W6" s="3780"/>
      <c r="X6" s="1351"/>
      <c r="Y6" s="3777"/>
      <c r="Z6" s="3778"/>
      <c r="AA6" s="3793"/>
      <c r="AB6" s="3793"/>
      <c r="AC6" s="3793"/>
    </row>
    <row r="7" spans="1:29" s="108" customFormat="1" ht="15.75" thickBot="1">
      <c r="A7" s="359" t="s">
        <v>1679</v>
      </c>
      <c r="B7" s="360"/>
      <c r="C7" s="361">
        <f>'数据-取费表'!B2</f>
        <v>45421</v>
      </c>
      <c r="D7" s="362">
        <v>100</v>
      </c>
      <c r="E7" s="363"/>
      <c r="F7" s="364">
        <f>SUMIF(58:58,YEAR(E7)&amp;"-"&amp;MONTH(E7),59:59)</f>
        <v>0</v>
      </c>
      <c r="G7" s="363"/>
      <c r="H7" s="362">
        <f>SUMIF(58:58,YEAR(G7)&amp;"-"&amp;MONTH(G7),59:59)</f>
        <v>0</v>
      </c>
      <c r="I7" s="363"/>
      <c r="J7" s="362">
        <f>SUMIF(58:58,YEAR(I7)&amp;"-"&amp;MONTH(I7),59:59)</f>
        <v>0</v>
      </c>
      <c r="K7" s="1887"/>
      <c r="L7" s="2713"/>
      <c r="M7" s="2714"/>
      <c r="N7" s="2714"/>
      <c r="O7" s="2714"/>
      <c r="P7" s="3787" t="s">
        <v>1680</v>
      </c>
      <c r="Q7" s="3788"/>
      <c r="R7" s="697" t="s">
        <v>20</v>
      </c>
      <c r="S7" s="698">
        <f t="shared" ref="S7:S15" si="0">F7</f>
        <v>0</v>
      </c>
      <c r="T7" s="697" t="s">
        <v>20</v>
      </c>
      <c r="U7" s="698">
        <f t="shared" ref="U7:U15" si="1">H7</f>
        <v>0</v>
      </c>
      <c r="V7" s="697" t="s">
        <v>20</v>
      </c>
      <c r="W7" s="698">
        <f t="shared" ref="W7:W15" si="2">J7</f>
        <v>0</v>
      </c>
      <c r="X7" s="699"/>
      <c r="Y7" s="3787" t="s">
        <v>1680</v>
      </c>
      <c r="Z7" s="3786"/>
      <c r="AA7" s="700" t="e">
        <f>D7/F7</f>
        <v>#DIV/0!</v>
      </c>
      <c r="AB7" s="700" t="e">
        <f>D7/H7</f>
        <v>#DIV/0!</v>
      </c>
      <c r="AC7" s="700" t="e">
        <f>D7/J7</f>
        <v>#DIV/0!</v>
      </c>
    </row>
    <row r="8" spans="1:29" s="108" customFormat="1" ht="15.75" thickBot="1">
      <c r="A8" s="359" t="s">
        <v>1681</v>
      </c>
      <c r="B8" s="360"/>
      <c r="C8" s="365"/>
      <c r="D8" s="362">
        <v>100</v>
      </c>
      <c r="E8" s="1888"/>
      <c r="F8" s="364">
        <f>SUMIF(61:61,E8,62:62)-SUMIF(61:61,C8,62:62)+100</f>
        <v>100</v>
      </c>
      <c r="G8" s="365"/>
      <c r="H8" s="362">
        <f>SUMIF(61:61,G8,62:62)-SUMIF(61:61,C8,62:62)+100</f>
        <v>100</v>
      </c>
      <c r="I8" s="1888"/>
      <c r="J8" s="362">
        <f>SUMIF(61:61,I8,62:62)-SUMIF(61:61,C8,62:62)+100</f>
        <v>100</v>
      </c>
      <c r="K8" s="1887"/>
      <c r="L8" s="2713"/>
      <c r="M8" s="2714"/>
      <c r="N8" s="2714"/>
      <c r="O8" s="2714"/>
      <c r="P8" s="3787" t="s">
        <v>1683</v>
      </c>
      <c r="Q8" s="3786"/>
      <c r="R8" s="697" t="s">
        <v>20</v>
      </c>
      <c r="S8" s="698">
        <f t="shared" si="0"/>
        <v>100</v>
      </c>
      <c r="T8" s="697" t="s">
        <v>20</v>
      </c>
      <c r="U8" s="698">
        <f t="shared" si="1"/>
        <v>100</v>
      </c>
      <c r="V8" s="697" t="s">
        <v>20</v>
      </c>
      <c r="W8" s="698">
        <f t="shared" si="2"/>
        <v>100</v>
      </c>
      <c r="X8" s="699"/>
      <c r="Y8" s="3787" t="s">
        <v>1683</v>
      </c>
      <c r="Z8" s="3786"/>
      <c r="AA8" s="700">
        <f t="shared" ref="AA8:AA19" si="3">D8/F8</f>
        <v>1</v>
      </c>
      <c r="AB8" s="700">
        <f t="shared" ref="AB8:AB19" si="4">D8/H8</f>
        <v>1</v>
      </c>
      <c r="AC8" s="700">
        <f t="shared" ref="AC8:AC19" si="5">D8/J8</f>
        <v>1</v>
      </c>
    </row>
    <row r="9" spans="1:29" s="108" customFormat="1">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7"/>
      <c r="L9" s="2713"/>
      <c r="M9" s="2714"/>
      <c r="N9" s="2714"/>
      <c r="O9" s="2714"/>
      <c r="P9" s="3745" t="s">
        <v>1686</v>
      </c>
      <c r="Q9" s="1339" t="str">
        <f t="shared" ref="Q9:Q15" si="6">B9</f>
        <v>用途</v>
      </c>
      <c r="R9" s="697" t="s">
        <v>14</v>
      </c>
      <c r="S9" s="698">
        <f t="shared" si="0"/>
        <v>100</v>
      </c>
      <c r="T9" s="697" t="s">
        <v>14</v>
      </c>
      <c r="U9" s="698">
        <f t="shared" si="1"/>
        <v>100</v>
      </c>
      <c r="V9" s="697" t="s">
        <v>14</v>
      </c>
      <c r="W9" s="698">
        <f t="shared" si="2"/>
        <v>100</v>
      </c>
      <c r="X9" s="699"/>
      <c r="Y9" s="3652" t="s">
        <v>1687</v>
      </c>
      <c r="Z9" s="52" t="str">
        <f t="shared" ref="Z9:Z15" si="7">Q9</f>
        <v>用途</v>
      </c>
      <c r="AA9" s="700">
        <f t="shared" si="3"/>
        <v>1</v>
      </c>
      <c r="AB9" s="700">
        <f t="shared" si="4"/>
        <v>1</v>
      </c>
      <c r="AC9" s="700">
        <f t="shared" si="5"/>
        <v>1</v>
      </c>
    </row>
    <row r="10" spans="1:29" s="375" customFormat="1" ht="27">
      <c r="A10" s="371"/>
      <c r="B10" s="372" t="s">
        <v>1688</v>
      </c>
      <c r="C10" s="3430"/>
      <c r="D10" s="124">
        <v>100</v>
      </c>
      <c r="E10" s="3431"/>
      <c r="F10" s="373">
        <f>SUMIF(65:65,E10,66:66)-SUMIF(65:65,C10,66:66)+100</f>
        <v>100</v>
      </c>
      <c r="G10" s="3430"/>
      <c r="H10" s="124">
        <f>SUMIF(65:65,G10,66:66)-SUMIF(65:65,C10,66:66)+100</f>
        <v>100</v>
      </c>
      <c r="I10" s="3430"/>
      <c r="J10" s="124">
        <f>SUMIF(65:65,I10,66:66)-SUMIF(65:65,C10,66:66)+100</f>
        <v>100</v>
      </c>
      <c r="K10" s="1887"/>
      <c r="L10" s="2715"/>
      <c r="M10" s="2716"/>
      <c r="N10" s="2716"/>
      <c r="O10" s="2716"/>
      <c r="P10" s="3745"/>
      <c r="Q10" s="1339" t="str">
        <f t="shared" si="6"/>
        <v>土地使用年限（年）</v>
      </c>
      <c r="R10" s="697" t="s">
        <v>14</v>
      </c>
      <c r="S10" s="698">
        <f t="shared" si="0"/>
        <v>100</v>
      </c>
      <c r="T10" s="697" t="s">
        <v>14</v>
      </c>
      <c r="U10" s="698">
        <f t="shared" si="1"/>
        <v>100</v>
      </c>
      <c r="V10" s="697" t="s">
        <v>14</v>
      </c>
      <c r="W10" s="698">
        <f t="shared" si="2"/>
        <v>100</v>
      </c>
      <c r="X10" s="699"/>
      <c r="Y10" s="3652"/>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7"/>
      <c r="M11" s="2712"/>
      <c r="N11" s="2712"/>
      <c r="O11" s="2712"/>
      <c r="P11" s="3745"/>
      <c r="Q11" s="1339" t="str">
        <f t="shared" si="6"/>
        <v>容积率</v>
      </c>
      <c r="R11" s="697" t="s">
        <v>18</v>
      </c>
      <c r="S11" s="698" t="e">
        <f t="shared" si="0"/>
        <v>#N/A</v>
      </c>
      <c r="T11" s="697" t="s">
        <v>18</v>
      </c>
      <c r="U11" s="698" t="e">
        <f t="shared" si="1"/>
        <v>#N/A</v>
      </c>
      <c r="V11" s="697" t="s">
        <v>18</v>
      </c>
      <c r="W11" s="698" t="e">
        <f t="shared" si="2"/>
        <v>#N/A</v>
      </c>
      <c r="X11" s="699"/>
      <c r="Y11" s="3652"/>
      <c r="Z11" s="52" t="str">
        <f t="shared" si="7"/>
        <v>容积率</v>
      </c>
      <c r="AA11" s="700" t="e">
        <f t="shared" si="3"/>
        <v>#N/A</v>
      </c>
      <c r="AB11" s="700" t="e">
        <f t="shared" si="4"/>
        <v>#N/A</v>
      </c>
      <c r="AC11" s="700" t="e">
        <f t="shared" si="5"/>
        <v>#N/A</v>
      </c>
    </row>
    <row r="12" spans="1:29" s="108"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13"/>
      <c r="M12" s="2714"/>
      <c r="N12" s="2714"/>
      <c r="O12" s="2714"/>
      <c r="P12" s="3745"/>
      <c r="Q12" s="1339">
        <f t="shared" si="6"/>
        <v>111</v>
      </c>
      <c r="R12" s="697" t="s">
        <v>18</v>
      </c>
      <c r="S12" s="698">
        <f t="shared" si="0"/>
        <v>100</v>
      </c>
      <c r="T12" s="697" t="s">
        <v>18</v>
      </c>
      <c r="U12" s="698">
        <f t="shared" si="1"/>
        <v>100</v>
      </c>
      <c r="V12" s="697" t="s">
        <v>18</v>
      </c>
      <c r="W12" s="698">
        <f t="shared" si="2"/>
        <v>100</v>
      </c>
      <c r="X12" s="699"/>
      <c r="Y12" s="3652"/>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8"/>
      <c r="M13" s="2712"/>
      <c r="N13" s="2712"/>
      <c r="O13" s="2712"/>
      <c r="P13" s="3745"/>
      <c r="Q13" s="1339">
        <f t="shared" si="6"/>
        <v>111</v>
      </c>
      <c r="R13" s="697" t="s">
        <v>18</v>
      </c>
      <c r="S13" s="698">
        <f t="shared" si="0"/>
        <v>100</v>
      </c>
      <c r="T13" s="697" t="s">
        <v>18</v>
      </c>
      <c r="U13" s="698">
        <f t="shared" si="1"/>
        <v>100</v>
      </c>
      <c r="V13" s="697" t="s">
        <v>18</v>
      </c>
      <c r="W13" s="698">
        <f t="shared" si="2"/>
        <v>100</v>
      </c>
      <c r="X13" s="699"/>
      <c r="Y13" s="3652"/>
      <c r="Z13" s="52">
        <f t="shared" si="7"/>
        <v>111</v>
      </c>
      <c r="AA13" s="700">
        <f t="shared" si="3"/>
        <v>1</v>
      </c>
      <c r="AB13" s="700">
        <f t="shared" si="4"/>
        <v>1</v>
      </c>
      <c r="AC13" s="700">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8"/>
      <c r="M14" s="2712"/>
      <c r="N14" s="2712"/>
      <c r="O14" s="2712"/>
      <c r="P14" s="3745"/>
      <c r="Q14" s="1339">
        <f t="shared" si="6"/>
        <v>111</v>
      </c>
      <c r="R14" s="697" t="s">
        <v>18</v>
      </c>
      <c r="S14" s="698">
        <f t="shared" si="0"/>
        <v>100</v>
      </c>
      <c r="T14" s="697" t="s">
        <v>18</v>
      </c>
      <c r="U14" s="698">
        <f t="shared" si="1"/>
        <v>100</v>
      </c>
      <c r="V14" s="697" t="s">
        <v>18</v>
      </c>
      <c r="W14" s="698">
        <f t="shared" si="2"/>
        <v>100</v>
      </c>
      <c r="X14" s="699"/>
      <c r="Y14" s="3652"/>
      <c r="Z14" s="52">
        <f t="shared" si="7"/>
        <v>111</v>
      </c>
      <c r="AA14" s="700">
        <f t="shared" si="3"/>
        <v>1</v>
      </c>
      <c r="AB14" s="700">
        <f t="shared" si="4"/>
        <v>1</v>
      </c>
      <c r="AC14" s="700">
        <f t="shared" si="5"/>
        <v>1</v>
      </c>
    </row>
    <row r="15" spans="1:29" ht="85.5">
      <c r="A15" s="388" t="s">
        <v>1690</v>
      </c>
      <c r="B15" s="61" t="s">
        <v>1257</v>
      </c>
      <c r="C15" s="1892"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8"/>
      <c r="M15" s="2712"/>
      <c r="N15" s="2712"/>
      <c r="O15" s="2712"/>
      <c r="P15" s="3751" t="s">
        <v>1691</v>
      </c>
      <c r="Q15" s="1348" t="str">
        <f t="shared" si="6"/>
        <v>居住社区成熟度</v>
      </c>
      <c r="R15" s="701" t="s">
        <v>18</v>
      </c>
      <c r="S15" s="702">
        <f t="shared" si="0"/>
        <v>100</v>
      </c>
      <c r="T15" s="701" t="s">
        <v>18</v>
      </c>
      <c r="U15" s="702">
        <f t="shared" si="1"/>
        <v>100</v>
      </c>
      <c r="V15" s="701" t="s">
        <v>18</v>
      </c>
      <c r="W15" s="702">
        <f t="shared" si="2"/>
        <v>100</v>
      </c>
      <c r="X15" s="1351"/>
      <c r="Y15" s="3753" t="s">
        <v>1691</v>
      </c>
      <c r="Z15" s="1352" t="str">
        <f t="shared" si="7"/>
        <v>居住社区成熟度</v>
      </c>
      <c r="AA15" s="1349">
        <f t="shared" si="3"/>
        <v>1</v>
      </c>
      <c r="AB15" s="1349">
        <f t="shared" si="4"/>
        <v>1</v>
      </c>
      <c r="AC15" s="1349">
        <f t="shared" si="5"/>
        <v>1</v>
      </c>
    </row>
    <row r="16" spans="1:29" ht="15">
      <c r="A16" s="376"/>
      <c r="B16" s="394"/>
      <c r="C16" s="395"/>
      <c r="D16" s="396"/>
      <c r="E16" s="1893"/>
      <c r="F16" s="396"/>
      <c r="G16" s="1894"/>
      <c r="H16" s="398"/>
      <c r="I16" s="1894"/>
      <c r="J16" s="396"/>
      <c r="K16" s="1895"/>
      <c r="L16" s="2718"/>
      <c r="M16" s="2712"/>
      <c r="N16" s="2712"/>
      <c r="O16" s="2712"/>
      <c r="P16" s="3752"/>
      <c r="Q16" s="1348"/>
      <c r="R16" s="701"/>
      <c r="S16" s="702"/>
      <c r="T16" s="701"/>
      <c r="U16" s="702"/>
      <c r="V16" s="701"/>
      <c r="W16" s="702"/>
      <c r="X16" s="1351"/>
      <c r="Y16" s="3754"/>
      <c r="Z16" s="1352"/>
      <c r="AA16" s="1349">
        <v>1</v>
      </c>
      <c r="AB16" s="1349">
        <v>1</v>
      </c>
      <c r="AC16" s="1349">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8"/>
      <c r="M17" s="2712"/>
      <c r="N17" s="2712"/>
      <c r="O17" s="2712"/>
      <c r="P17" s="3752"/>
      <c r="Q17" s="1348" t="str">
        <f>B17</f>
        <v>交通便捷度</v>
      </c>
      <c r="R17" s="701" t="s">
        <v>18</v>
      </c>
      <c r="S17" s="702">
        <f>F17</f>
        <v>100</v>
      </c>
      <c r="T17" s="701" t="s">
        <v>18</v>
      </c>
      <c r="U17" s="702">
        <f>H17</f>
        <v>100</v>
      </c>
      <c r="V17" s="701" t="s">
        <v>18</v>
      </c>
      <c r="W17" s="702">
        <f>J17</f>
        <v>100</v>
      </c>
      <c r="X17" s="1351"/>
      <c r="Y17" s="3754"/>
      <c r="Z17" s="1352" t="str">
        <f>Q17</f>
        <v>交通便捷度</v>
      </c>
      <c r="AA17" s="1349">
        <f t="shared" si="3"/>
        <v>1</v>
      </c>
      <c r="AB17" s="1349">
        <f t="shared" si="4"/>
        <v>1</v>
      </c>
      <c r="AC17" s="1349">
        <f t="shared" si="5"/>
        <v>1</v>
      </c>
    </row>
    <row r="18" spans="1:29" ht="15">
      <c r="A18" s="376"/>
      <c r="B18" s="404"/>
      <c r="C18" s="1897"/>
      <c r="D18" s="398"/>
      <c r="E18" s="1898"/>
      <c r="F18" s="398"/>
      <c r="G18" s="1899"/>
      <c r="H18" s="396"/>
      <c r="I18" s="1899"/>
      <c r="J18" s="396"/>
      <c r="K18" s="1895"/>
      <c r="L18" s="2718"/>
      <c r="M18" s="2712"/>
      <c r="N18" s="2712"/>
      <c r="O18" s="2712"/>
      <c r="P18" s="3752"/>
      <c r="Q18" s="1348"/>
      <c r="R18" s="701"/>
      <c r="S18" s="702"/>
      <c r="T18" s="701"/>
      <c r="U18" s="702"/>
      <c r="V18" s="701"/>
      <c r="W18" s="702"/>
      <c r="X18" s="1351"/>
      <c r="Y18" s="3754"/>
      <c r="Z18" s="1352"/>
      <c r="AA18" s="1349">
        <v>1</v>
      </c>
      <c r="AB18" s="1349">
        <v>1</v>
      </c>
      <c r="AC18" s="1349">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8"/>
      <c r="M19" s="2712"/>
      <c r="N19" s="2712"/>
      <c r="O19" s="2712"/>
      <c r="P19" s="3752"/>
      <c r="Q19" s="1348" t="str">
        <f>B19</f>
        <v>公共配套设施</v>
      </c>
      <c r="R19" s="701" t="s">
        <v>18</v>
      </c>
      <c r="S19" s="702">
        <f>F19</f>
        <v>100</v>
      </c>
      <c r="T19" s="701" t="s">
        <v>18</v>
      </c>
      <c r="U19" s="702">
        <f>H19</f>
        <v>100</v>
      </c>
      <c r="V19" s="701" t="s">
        <v>18</v>
      </c>
      <c r="W19" s="702">
        <f>J19</f>
        <v>100</v>
      </c>
      <c r="X19" s="1351"/>
      <c r="Y19" s="3754"/>
      <c r="Z19" s="1352" t="str">
        <f>Q19</f>
        <v>公共配套设施</v>
      </c>
      <c r="AA19" s="1349">
        <f t="shared" si="3"/>
        <v>1</v>
      </c>
      <c r="AB19" s="1349">
        <f t="shared" si="4"/>
        <v>1</v>
      </c>
      <c r="AC19" s="1349">
        <f t="shared" si="5"/>
        <v>1</v>
      </c>
    </row>
    <row r="20" spans="1:29" ht="15">
      <c r="A20" s="376"/>
      <c r="B20" s="404"/>
      <c r="C20" s="395"/>
      <c r="D20" s="396"/>
      <c r="E20" s="1893"/>
      <c r="F20" s="396"/>
      <c r="G20" s="1894"/>
      <c r="H20" s="396"/>
      <c r="I20" s="1894"/>
      <c r="J20" s="396"/>
      <c r="K20" s="1895"/>
      <c r="L20" s="2718"/>
      <c r="M20" s="2712"/>
      <c r="N20" s="2712"/>
      <c r="O20" s="2712"/>
      <c r="P20" s="3752"/>
      <c r="Q20" s="1348"/>
      <c r="R20" s="701"/>
      <c r="S20" s="702"/>
      <c r="T20" s="701"/>
      <c r="U20" s="702"/>
      <c r="V20" s="701"/>
      <c r="W20" s="702"/>
      <c r="X20" s="1351"/>
      <c r="Y20" s="3754"/>
      <c r="Z20" s="1352"/>
      <c r="AA20" s="1349">
        <v>1</v>
      </c>
      <c r="AB20" s="1349">
        <v>1</v>
      </c>
      <c r="AC20" s="1349">
        <v>1</v>
      </c>
    </row>
    <row r="21" spans="1:29" ht="28.5">
      <c r="A21" s="376"/>
      <c r="B21" s="1127"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8"/>
      <c r="M21" s="2712"/>
      <c r="N21" s="2712"/>
      <c r="O21" s="2712"/>
      <c r="P21" s="3752"/>
      <c r="Q21" s="1348" t="str">
        <f>B21</f>
        <v>基础设施水平</v>
      </c>
      <c r="R21" s="701" t="s">
        <v>14</v>
      </c>
      <c r="S21" s="702">
        <f>F21</f>
        <v>100</v>
      </c>
      <c r="T21" s="701" t="s">
        <v>14</v>
      </c>
      <c r="U21" s="702">
        <f>H21</f>
        <v>100</v>
      </c>
      <c r="V21" s="701" t="s">
        <v>14</v>
      </c>
      <c r="W21" s="702">
        <f>J21</f>
        <v>100</v>
      </c>
      <c r="X21" s="1351"/>
      <c r="Y21" s="3754"/>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6"/>
      <c r="G22" s="1900"/>
      <c r="H22" s="396"/>
      <c r="I22" s="395"/>
      <c r="J22" s="396"/>
      <c r="K22" s="1901"/>
      <c r="L22" s="2718"/>
      <c r="M22" s="2712"/>
      <c r="N22" s="2712"/>
      <c r="O22" s="2712"/>
      <c r="P22" s="3752"/>
      <c r="Q22" s="1348"/>
      <c r="R22" s="701"/>
      <c r="S22" s="702"/>
      <c r="T22" s="701"/>
      <c r="U22" s="702"/>
      <c r="V22" s="701"/>
      <c r="W22" s="702"/>
      <c r="X22" s="1351"/>
      <c r="Y22" s="3754"/>
      <c r="Z22" s="1352"/>
      <c r="AA22" s="1349">
        <v>1</v>
      </c>
      <c r="AB22" s="1349">
        <v>1</v>
      </c>
      <c r="AC22" s="1349">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8"/>
      <c r="M23" s="2712"/>
      <c r="N23" s="2712"/>
      <c r="O23" s="2712"/>
      <c r="P23" s="3752"/>
      <c r="Q23" s="1348" t="str">
        <f>B23</f>
        <v>自然及人文环境</v>
      </c>
      <c r="R23" s="701" t="s">
        <v>18</v>
      </c>
      <c r="S23" s="702">
        <f>F23</f>
        <v>100</v>
      </c>
      <c r="T23" s="701" t="s">
        <v>18</v>
      </c>
      <c r="U23" s="702">
        <f>H23</f>
        <v>100</v>
      </c>
      <c r="V23" s="701" t="s">
        <v>18</v>
      </c>
      <c r="W23" s="702">
        <f>J23</f>
        <v>100</v>
      </c>
      <c r="X23" s="1351"/>
      <c r="Y23" s="3754"/>
      <c r="Z23" s="1352" t="str">
        <f>Q23</f>
        <v>自然及人文环境</v>
      </c>
      <c r="AA23" s="1349">
        <f>D23/F23</f>
        <v>1</v>
      </c>
      <c r="AB23" s="1349">
        <f>D23/H23</f>
        <v>1</v>
      </c>
      <c r="AC23" s="1349">
        <f>D23/J23</f>
        <v>1</v>
      </c>
    </row>
    <row r="24" spans="1:29" ht="15">
      <c r="A24" s="376"/>
      <c r="B24" s="404"/>
      <c r="C24" s="395"/>
      <c r="D24" s="396"/>
      <c r="E24" s="1893"/>
      <c r="F24" s="396"/>
      <c r="G24" s="1894"/>
      <c r="H24" s="396"/>
      <c r="I24" s="1894"/>
      <c r="J24" s="396"/>
      <c r="K24" s="1895"/>
      <c r="L24" s="2718"/>
      <c r="M24" s="2712"/>
      <c r="N24" s="2712"/>
      <c r="O24" s="2712"/>
      <c r="P24" s="3752"/>
      <c r="Q24" s="1348"/>
      <c r="R24" s="701"/>
      <c r="S24" s="702"/>
      <c r="T24" s="701"/>
      <c r="U24" s="702"/>
      <c r="V24" s="701"/>
      <c r="W24" s="702"/>
      <c r="X24" s="1351"/>
      <c r="Y24" s="3754"/>
      <c r="Z24" s="1352"/>
      <c r="AA24" s="1349">
        <v>1</v>
      </c>
      <c r="AB24" s="1349">
        <v>1</v>
      </c>
      <c r="AC24" s="1349">
        <v>1</v>
      </c>
    </row>
    <row r="25" spans="1:29" ht="15">
      <c r="A25" s="376"/>
      <c r="B25" s="372" t="s">
        <v>1692</v>
      </c>
      <c r="C25" s="408"/>
      <c r="D25" s="383">
        <v>100</v>
      </c>
      <c r="E25" s="1902"/>
      <c r="F25" s="383">
        <f>SUMIF(86:86,E25,87:87)-SUMIF(86:86,C25,87:87)+100</f>
        <v>100</v>
      </c>
      <c r="G25" s="1903"/>
      <c r="H25" s="383">
        <f>SUMIF(86:86,G25,87:87)-SUMIF(86:86,C25,87:87)+100</f>
        <v>100</v>
      </c>
      <c r="I25" s="1903"/>
      <c r="J25" s="383">
        <f>SUMIF(86:86,I25,87:87)-SUMIF(86:86,C25,87:87)+100</f>
        <v>100</v>
      </c>
      <c r="K25" s="374"/>
      <c r="L25" s="2718"/>
      <c r="M25" s="2712"/>
      <c r="N25" s="2712"/>
      <c r="O25" s="2712"/>
      <c r="P25" s="3752"/>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54"/>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2"/>
      <c r="F26" s="383">
        <f>SUMIF(88:88,E26,89:89)-SUMIF(88:88,C26,89:89)+100</f>
        <v>100</v>
      </c>
      <c r="G26" s="1903"/>
      <c r="H26" s="383">
        <f>SUMIF(88:88,G26,89:89)-SUMIF(88:88,C26,89:89)+100</f>
        <v>100</v>
      </c>
      <c r="I26" s="1903"/>
      <c r="J26" s="383">
        <f>SUMIF(88:88,I26,89:89)-SUMIF(88:88,C26,89:89)+100</f>
        <v>100</v>
      </c>
      <c r="K26" s="374"/>
      <c r="L26" s="2718"/>
      <c r="M26" s="2712"/>
      <c r="N26" s="2712"/>
      <c r="O26" s="2712"/>
      <c r="P26" s="3752"/>
      <c r="Q26" s="1348" t="str">
        <f t="shared" si="11"/>
        <v>朝向</v>
      </c>
      <c r="R26" s="701" t="s">
        <v>18</v>
      </c>
      <c r="S26" s="702">
        <f t="shared" si="12"/>
        <v>100</v>
      </c>
      <c r="T26" s="701" t="s">
        <v>18</v>
      </c>
      <c r="U26" s="702">
        <f t="shared" si="13"/>
        <v>100</v>
      </c>
      <c r="V26" s="701" t="s">
        <v>18</v>
      </c>
      <c r="W26" s="702">
        <f t="shared" si="14"/>
        <v>100</v>
      </c>
      <c r="X26" s="1351"/>
      <c r="Y26" s="3754"/>
      <c r="Z26" s="1352" t="str">
        <f>Q26</f>
        <v>朝向</v>
      </c>
      <c r="AA26" s="1349">
        <f t="shared" si="15"/>
        <v>1</v>
      </c>
      <c r="AB26" s="1349">
        <f t="shared" si="16"/>
        <v>1</v>
      </c>
      <c r="AC26" s="1349">
        <f t="shared" si="17"/>
        <v>1</v>
      </c>
    </row>
    <row r="27" spans="1:29" s="108" customFormat="1" ht="15">
      <c r="A27" s="379"/>
      <c r="B27" s="1129">
        <v>111</v>
      </c>
      <c r="C27" s="380"/>
      <c r="D27" s="410">
        <v>100</v>
      </c>
      <c r="E27" s="413"/>
      <c r="F27" s="410">
        <f>SUMIF(90:90,E27,91:91)-SUMIF(90:90,C27,91:91)+100</f>
        <v>100</v>
      </c>
      <c r="G27" s="411"/>
      <c r="H27" s="410">
        <f>SUMIF(90:90,G27,91:91)-SUMIF(90:90,C27,91:91)+100</f>
        <v>100</v>
      </c>
      <c r="I27" s="411"/>
      <c r="J27" s="410">
        <f>SUMIF(90:90,I27,91:91)-SUMIF(90:90,C27,91:91)+100</f>
        <v>100</v>
      </c>
      <c r="K27" s="1890"/>
      <c r="L27" s="2713"/>
      <c r="M27" s="2714"/>
      <c r="N27" s="2714"/>
      <c r="O27" s="2714"/>
      <c r="P27" s="3752"/>
      <c r="Q27" s="1339">
        <f t="shared" si="11"/>
        <v>111</v>
      </c>
      <c r="R27" s="697" t="s">
        <v>18</v>
      </c>
      <c r="S27" s="698">
        <f t="shared" si="12"/>
        <v>100</v>
      </c>
      <c r="T27" s="697" t="s">
        <v>18</v>
      </c>
      <c r="U27" s="698">
        <f t="shared" si="13"/>
        <v>100</v>
      </c>
      <c r="V27" s="697" t="s">
        <v>18</v>
      </c>
      <c r="W27" s="698">
        <f t="shared" si="14"/>
        <v>100</v>
      </c>
      <c r="X27" s="699"/>
      <c r="Y27" s="3754"/>
      <c r="Z27" s="52">
        <f>Q27</f>
        <v>111</v>
      </c>
      <c r="AA27" s="1349">
        <f t="shared" si="15"/>
        <v>1</v>
      </c>
      <c r="AB27" s="1349">
        <f t="shared" si="16"/>
        <v>1</v>
      </c>
      <c r="AC27" s="1349">
        <f t="shared" si="17"/>
        <v>1</v>
      </c>
    </row>
    <row r="28" spans="1:29" ht="15">
      <c r="A28" s="376"/>
      <c r="B28" s="1129">
        <v>111</v>
      </c>
      <c r="C28" s="382"/>
      <c r="D28" s="383">
        <v>100</v>
      </c>
      <c r="E28" s="382"/>
      <c r="F28" s="383">
        <f>SUMIF(92:92,E28,93:93)-SUMIF(92:92,C28,93:93)+100</f>
        <v>100</v>
      </c>
      <c r="G28" s="1904"/>
      <c r="H28" s="383">
        <f>SUMIF(92:92,G28,93:93)-SUMIF(92:92,C28,93:93)+100</f>
        <v>100</v>
      </c>
      <c r="I28" s="382"/>
      <c r="J28" s="383">
        <f>SUMIF(92:92,I28,93:93)-SUMIF(92:92,C28,93:93)+100</f>
        <v>100</v>
      </c>
      <c r="K28" s="1890"/>
      <c r="L28" s="2718"/>
      <c r="M28" s="2712"/>
      <c r="N28" s="2712"/>
      <c r="O28" s="2712"/>
      <c r="P28" s="3752"/>
      <c r="Q28" s="1348">
        <f t="shared" si="11"/>
        <v>111</v>
      </c>
      <c r="R28" s="701" t="s">
        <v>18</v>
      </c>
      <c r="S28" s="702">
        <f t="shared" si="12"/>
        <v>100</v>
      </c>
      <c r="T28" s="701" t="s">
        <v>18</v>
      </c>
      <c r="U28" s="702">
        <f t="shared" si="13"/>
        <v>100</v>
      </c>
      <c r="V28" s="701" t="s">
        <v>18</v>
      </c>
      <c r="W28" s="702">
        <f t="shared" si="14"/>
        <v>100</v>
      </c>
      <c r="X28" s="1351"/>
      <c r="Y28" s="3754"/>
      <c r="Z28" s="1352">
        <f t="shared" ref="Z28:Z46" si="18">Q28</f>
        <v>111</v>
      </c>
      <c r="AA28" s="1349">
        <f t="shared" si="15"/>
        <v>1</v>
      </c>
      <c r="AB28" s="1349">
        <f t="shared" si="16"/>
        <v>1</v>
      </c>
      <c r="AC28" s="1349">
        <f t="shared" si="17"/>
        <v>1</v>
      </c>
    </row>
    <row r="29" spans="1:29" ht="15">
      <c r="A29" s="376"/>
      <c r="B29" s="1129">
        <v>111</v>
      </c>
      <c r="C29" s="382"/>
      <c r="D29" s="383">
        <v>100</v>
      </c>
      <c r="E29" s="382"/>
      <c r="F29" s="383">
        <f>SUMIF(94:94,E29,95:95)-SUMIF(94:94,C29,95:95)+100</f>
        <v>100</v>
      </c>
      <c r="G29" s="1904"/>
      <c r="H29" s="383">
        <f>SUMIF(94:94,G29,95:95)-SUMIF(94:94,C29,95:95)+100</f>
        <v>100</v>
      </c>
      <c r="I29" s="382"/>
      <c r="J29" s="383">
        <f>SUMIF(94:94,I29,95:95)-SUMIF(94:94,C29,95:95)+100</f>
        <v>100</v>
      </c>
      <c r="K29" s="1890"/>
      <c r="L29" s="2718"/>
      <c r="M29" s="2712"/>
      <c r="N29" s="2712"/>
      <c r="O29" s="2712"/>
      <c r="P29" s="3752"/>
      <c r="Q29" s="1348">
        <f t="shared" si="11"/>
        <v>111</v>
      </c>
      <c r="R29" s="701" t="s">
        <v>18</v>
      </c>
      <c r="S29" s="702">
        <f t="shared" si="12"/>
        <v>100</v>
      </c>
      <c r="T29" s="701" t="s">
        <v>18</v>
      </c>
      <c r="U29" s="702">
        <f t="shared" si="13"/>
        <v>100</v>
      </c>
      <c r="V29" s="701" t="s">
        <v>18</v>
      </c>
      <c r="W29" s="702">
        <f t="shared" si="14"/>
        <v>100</v>
      </c>
      <c r="X29" s="1351"/>
      <c r="Y29" s="3754"/>
      <c r="Z29" s="1352">
        <f t="shared" si="18"/>
        <v>111</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4"/>
      <c r="H30" s="383">
        <f>SUMIF(96:96,G30,97:97)-SUMIF(96:96,C30,97:97)+100</f>
        <v>100</v>
      </c>
      <c r="I30" s="382"/>
      <c r="J30" s="383">
        <f>SUMIF(96:96,I30,97:97)-SUMIF(96:96,C30,97:97)+100</f>
        <v>100</v>
      </c>
      <c r="K30" s="1890"/>
      <c r="L30" s="2718"/>
      <c r="M30" s="2712"/>
      <c r="N30" s="2712"/>
      <c r="O30" s="2712"/>
      <c r="P30" s="3752"/>
      <c r="Q30" s="1348">
        <f t="shared" si="11"/>
        <v>111</v>
      </c>
      <c r="R30" s="701" t="s">
        <v>18</v>
      </c>
      <c r="S30" s="702">
        <f t="shared" si="12"/>
        <v>100</v>
      </c>
      <c r="T30" s="701" t="s">
        <v>18</v>
      </c>
      <c r="U30" s="702">
        <f t="shared" si="13"/>
        <v>100</v>
      </c>
      <c r="V30" s="701" t="s">
        <v>18</v>
      </c>
      <c r="W30" s="702">
        <f t="shared" si="14"/>
        <v>100</v>
      </c>
      <c r="X30" s="1351"/>
      <c r="Y30" s="3754"/>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5"/>
      <c r="H31" s="386">
        <f>SUMIF(98:98,G31,99:99)-SUMIF(98:98,C31,99:99)+100</f>
        <v>100</v>
      </c>
      <c r="I31" s="385"/>
      <c r="J31" s="386">
        <f>SUMIF(98:98,I31,99:99)-SUMIF(98:98,C31,99:99)+100</f>
        <v>100</v>
      </c>
      <c r="K31" s="1890"/>
      <c r="L31" s="2718"/>
      <c r="M31" s="2712"/>
      <c r="N31" s="2712"/>
      <c r="O31" s="2712"/>
      <c r="P31" s="3752"/>
      <c r="Q31" s="1348">
        <f t="shared" si="11"/>
        <v>111</v>
      </c>
      <c r="R31" s="701" t="s">
        <v>18</v>
      </c>
      <c r="S31" s="702">
        <f t="shared" si="12"/>
        <v>100</v>
      </c>
      <c r="T31" s="701" t="s">
        <v>18</v>
      </c>
      <c r="U31" s="702">
        <f t="shared" si="13"/>
        <v>100</v>
      </c>
      <c r="V31" s="701" t="s">
        <v>18</v>
      </c>
      <c r="W31" s="702">
        <f t="shared" si="14"/>
        <v>100</v>
      </c>
      <c r="X31" s="1351"/>
      <c r="Y31" s="3754"/>
      <c r="Z31" s="1352">
        <f t="shared" si="18"/>
        <v>111</v>
      </c>
      <c r="AA31" s="1349">
        <f t="shared" si="15"/>
        <v>1</v>
      </c>
      <c r="AB31" s="1349">
        <f t="shared" si="16"/>
        <v>1</v>
      </c>
      <c r="AC31" s="1349">
        <f t="shared" si="17"/>
        <v>1</v>
      </c>
    </row>
    <row r="32" spans="1:29" ht="15">
      <c r="A32" s="388" t="s">
        <v>1694</v>
      </c>
      <c r="B32" s="63" t="s">
        <v>1695</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8"/>
      <c r="M32" s="2712"/>
      <c r="N32" s="2712"/>
      <c r="O32" s="2712"/>
      <c r="P32" s="3755" t="s">
        <v>1696</v>
      </c>
      <c r="Q32" s="1348" t="str">
        <f t="shared" si="11"/>
        <v>建筑类型</v>
      </c>
      <c r="R32" s="701" t="s">
        <v>18</v>
      </c>
      <c r="S32" s="702">
        <f t="shared" si="12"/>
        <v>100</v>
      </c>
      <c r="T32" s="701" t="s">
        <v>18</v>
      </c>
      <c r="U32" s="702">
        <f t="shared" si="13"/>
        <v>100</v>
      </c>
      <c r="V32" s="701" t="s">
        <v>18</v>
      </c>
      <c r="W32" s="702">
        <f t="shared" si="14"/>
        <v>100</v>
      </c>
      <c r="X32" s="1351"/>
      <c r="Y32" s="3758" t="s">
        <v>1696</v>
      </c>
      <c r="Z32" s="1352" t="str">
        <f t="shared" si="18"/>
        <v>建筑类型</v>
      </c>
      <c r="AA32" s="1349">
        <f t="shared" si="15"/>
        <v>1</v>
      </c>
      <c r="AB32" s="1349">
        <f t="shared" si="16"/>
        <v>1</v>
      </c>
      <c r="AC32" s="1349">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7"/>
      <c r="M33" s="2719"/>
      <c r="N33" s="2719"/>
      <c r="O33" s="2719"/>
      <c r="P33" s="3756"/>
      <c r="Q33" s="703" t="str">
        <f t="shared" si="11"/>
        <v>项目建筑规模</v>
      </c>
      <c r="R33" s="704" t="s">
        <v>18</v>
      </c>
      <c r="S33" s="705" t="e">
        <f t="shared" si="12"/>
        <v>#N/A</v>
      </c>
      <c r="T33" s="704" t="s">
        <v>18</v>
      </c>
      <c r="U33" s="705" t="e">
        <f t="shared" si="13"/>
        <v>#N/A</v>
      </c>
      <c r="V33" s="704" t="s">
        <v>18</v>
      </c>
      <c r="W33" s="705" t="e">
        <f t="shared" si="14"/>
        <v>#N/A</v>
      </c>
      <c r="X33" s="706"/>
      <c r="Y33" s="3758"/>
      <c r="Z33" s="707" t="str">
        <f t="shared" si="18"/>
        <v>项目建筑规模</v>
      </c>
      <c r="AA33" s="1349" t="e">
        <f t="shared" si="15"/>
        <v>#N/A</v>
      </c>
      <c r="AB33" s="1349" t="e">
        <f t="shared" si="16"/>
        <v>#N/A</v>
      </c>
      <c r="AC33" s="1349" t="e">
        <f t="shared" si="17"/>
        <v>#N/A</v>
      </c>
    </row>
    <row r="34" spans="1:29" ht="15">
      <c r="A34" s="420"/>
      <c r="B34" s="372" t="s">
        <v>1698</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8"/>
      <c r="M34" s="2712"/>
      <c r="N34" s="2712"/>
      <c r="O34" s="2712"/>
      <c r="P34" s="3756"/>
      <c r="Q34" s="1348" t="str">
        <f t="shared" si="11"/>
        <v>建筑结构</v>
      </c>
      <c r="R34" s="701" t="s">
        <v>18</v>
      </c>
      <c r="S34" s="702">
        <f t="shared" si="12"/>
        <v>100</v>
      </c>
      <c r="T34" s="701" t="s">
        <v>18</v>
      </c>
      <c r="U34" s="702">
        <f t="shared" si="13"/>
        <v>100</v>
      </c>
      <c r="V34" s="701" t="s">
        <v>18</v>
      </c>
      <c r="W34" s="702">
        <f t="shared" si="14"/>
        <v>100</v>
      </c>
      <c r="X34" s="1351"/>
      <c r="Y34" s="3758"/>
      <c r="Z34" s="1352" t="str">
        <f t="shared" si="18"/>
        <v>建筑结构</v>
      </c>
      <c r="AA34" s="1349">
        <f t="shared" si="15"/>
        <v>1</v>
      </c>
      <c r="AB34" s="1349">
        <f t="shared" si="16"/>
        <v>1</v>
      </c>
      <c r="AC34" s="1349">
        <f t="shared" si="17"/>
        <v>1</v>
      </c>
    </row>
    <row r="35" spans="1:29" ht="15">
      <c r="A35" s="420"/>
      <c r="B35" s="372" t="s">
        <v>1699</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8"/>
      <c r="M35" s="2712"/>
      <c r="N35" s="2712"/>
      <c r="O35" s="2712"/>
      <c r="P35" s="3756"/>
      <c r="Q35" s="1348" t="str">
        <f t="shared" si="11"/>
        <v>建筑品质</v>
      </c>
      <c r="R35" s="701" t="s">
        <v>18</v>
      </c>
      <c r="S35" s="702">
        <f t="shared" si="12"/>
        <v>100</v>
      </c>
      <c r="T35" s="701" t="s">
        <v>18</v>
      </c>
      <c r="U35" s="702">
        <f t="shared" si="13"/>
        <v>100</v>
      </c>
      <c r="V35" s="701" t="s">
        <v>18</v>
      </c>
      <c r="W35" s="702">
        <f t="shared" si="14"/>
        <v>100</v>
      </c>
      <c r="X35" s="1351"/>
      <c r="Y35" s="3758"/>
      <c r="Z35" s="1352" t="str">
        <f t="shared" si="18"/>
        <v>建筑品质</v>
      </c>
      <c r="AA35" s="1349">
        <f t="shared" si="15"/>
        <v>1</v>
      </c>
      <c r="AB35" s="1349">
        <f t="shared" si="16"/>
        <v>1</v>
      </c>
      <c r="AC35" s="1349">
        <f t="shared" si="17"/>
        <v>1</v>
      </c>
    </row>
    <row r="36" spans="1:29" ht="15">
      <c r="A36" s="420"/>
      <c r="B36" s="372" t="s">
        <v>1700</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8"/>
      <c r="M36" s="2712"/>
      <c r="N36" s="2712"/>
      <c r="O36" s="2712"/>
      <c r="P36" s="3756"/>
      <c r="Q36" s="1348" t="str">
        <f t="shared" si="11"/>
        <v>公共部分装修</v>
      </c>
      <c r="R36" s="701" t="s">
        <v>18</v>
      </c>
      <c r="S36" s="702">
        <f t="shared" si="12"/>
        <v>100</v>
      </c>
      <c r="T36" s="701" t="s">
        <v>18</v>
      </c>
      <c r="U36" s="702">
        <f t="shared" si="13"/>
        <v>100</v>
      </c>
      <c r="V36" s="701" t="s">
        <v>18</v>
      </c>
      <c r="W36" s="702">
        <f t="shared" si="14"/>
        <v>100</v>
      </c>
      <c r="X36" s="1351"/>
      <c r="Y36" s="3758"/>
      <c r="Z36" s="1352" t="str">
        <f t="shared" si="18"/>
        <v>公共部分装修</v>
      </c>
      <c r="AA36" s="1349">
        <f t="shared" si="15"/>
        <v>1</v>
      </c>
      <c r="AB36" s="1349">
        <f t="shared" si="16"/>
        <v>1</v>
      </c>
      <c r="AC36" s="1349">
        <f t="shared" si="17"/>
        <v>1</v>
      </c>
    </row>
    <row r="37" spans="1:29" s="108"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3"/>
      <c r="M37" s="2714"/>
      <c r="N37" s="2714"/>
      <c r="O37" s="2714"/>
      <c r="P37" s="3756"/>
      <c r="Q37" s="1339" t="str">
        <f t="shared" si="11"/>
        <v>成新度</v>
      </c>
      <c r="R37" s="697" t="s">
        <v>18</v>
      </c>
      <c r="S37" s="698" t="e">
        <f t="shared" si="12"/>
        <v>#N/A</v>
      </c>
      <c r="T37" s="697" t="s">
        <v>18</v>
      </c>
      <c r="U37" s="698" t="e">
        <f t="shared" si="13"/>
        <v>#N/A</v>
      </c>
      <c r="V37" s="697" t="s">
        <v>18</v>
      </c>
      <c r="W37" s="698" t="e">
        <f t="shared" si="14"/>
        <v>#N/A</v>
      </c>
      <c r="X37" s="699"/>
      <c r="Y37" s="3758"/>
      <c r="Z37" s="52" t="str">
        <f t="shared" si="18"/>
        <v>成新度</v>
      </c>
      <c r="AA37" s="700" t="e">
        <f t="shared" si="15"/>
        <v>#N/A</v>
      </c>
      <c r="AB37" s="700" t="e">
        <f t="shared" si="16"/>
        <v>#N/A</v>
      </c>
      <c r="AC37" s="700" t="e">
        <f t="shared" si="17"/>
        <v>#N/A</v>
      </c>
    </row>
    <row r="38" spans="1:29" ht="15">
      <c r="A38" s="420"/>
      <c r="B38" s="372" t="s">
        <v>1702</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8"/>
      <c r="M38" s="2712"/>
      <c r="N38" s="2712"/>
      <c r="O38" s="2712"/>
      <c r="P38" s="3756" t="s">
        <v>1696</v>
      </c>
      <c r="Q38" s="1348" t="str">
        <f t="shared" si="11"/>
        <v>物业管理</v>
      </c>
      <c r="R38" s="701" t="s">
        <v>18</v>
      </c>
      <c r="S38" s="702">
        <f t="shared" si="12"/>
        <v>100</v>
      </c>
      <c r="T38" s="701" t="s">
        <v>18</v>
      </c>
      <c r="U38" s="702">
        <f t="shared" si="13"/>
        <v>100</v>
      </c>
      <c r="V38" s="701" t="s">
        <v>18</v>
      </c>
      <c r="W38" s="702">
        <f t="shared" si="14"/>
        <v>100</v>
      </c>
      <c r="X38" s="1351"/>
      <c r="Y38" s="3758" t="s">
        <v>1696</v>
      </c>
      <c r="Z38" s="1352" t="str">
        <f t="shared" si="18"/>
        <v>物业管理</v>
      </c>
      <c r="AA38" s="1349">
        <f t="shared" si="15"/>
        <v>1</v>
      </c>
      <c r="AB38" s="1349">
        <f t="shared" si="16"/>
        <v>1</v>
      </c>
      <c r="AC38" s="1349">
        <f t="shared" si="17"/>
        <v>1</v>
      </c>
    </row>
    <row r="39" spans="1:29" ht="15">
      <c r="A39" s="420"/>
      <c r="B39" s="372" t="s">
        <v>1703</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8"/>
      <c r="M39" s="2712"/>
      <c r="N39" s="2712"/>
      <c r="O39" s="2712"/>
      <c r="P39" s="3756"/>
      <c r="Q39" s="1348" t="str">
        <f t="shared" si="11"/>
        <v>市政基础设施</v>
      </c>
      <c r="R39" s="701" t="s">
        <v>18</v>
      </c>
      <c r="S39" s="702">
        <f t="shared" si="12"/>
        <v>100</v>
      </c>
      <c r="T39" s="701" t="s">
        <v>18</v>
      </c>
      <c r="U39" s="702">
        <f t="shared" si="13"/>
        <v>100</v>
      </c>
      <c r="V39" s="701" t="s">
        <v>18</v>
      </c>
      <c r="W39" s="702">
        <f t="shared" si="14"/>
        <v>100</v>
      </c>
      <c r="X39" s="1351"/>
      <c r="Y39" s="3758"/>
      <c r="Z39" s="1352" t="str">
        <f t="shared" si="18"/>
        <v>市政基础设施</v>
      </c>
      <c r="AA39" s="1349">
        <f t="shared" si="15"/>
        <v>1</v>
      </c>
      <c r="AB39" s="1349">
        <f t="shared" si="16"/>
        <v>1</v>
      </c>
      <c r="AC39" s="1349">
        <f t="shared" si="17"/>
        <v>1</v>
      </c>
    </row>
    <row r="40" spans="1:29" ht="15">
      <c r="A40" s="420"/>
      <c r="B40" s="372" t="s">
        <v>1704</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8"/>
      <c r="M40" s="2712"/>
      <c r="N40" s="2712"/>
      <c r="O40" s="2712"/>
      <c r="P40" s="3756"/>
      <c r="Q40" s="1348" t="str">
        <f t="shared" si="11"/>
        <v>房型</v>
      </c>
      <c r="R40" s="701" t="s">
        <v>18</v>
      </c>
      <c r="S40" s="702">
        <f t="shared" si="12"/>
        <v>100</v>
      </c>
      <c r="T40" s="701" t="s">
        <v>18</v>
      </c>
      <c r="U40" s="702">
        <f t="shared" si="13"/>
        <v>100</v>
      </c>
      <c r="V40" s="701" t="s">
        <v>18</v>
      </c>
      <c r="W40" s="702">
        <f t="shared" si="14"/>
        <v>100</v>
      </c>
      <c r="X40" s="1351"/>
      <c r="Y40" s="3758"/>
      <c r="Z40" s="1352" t="str">
        <f t="shared" si="18"/>
        <v>房型</v>
      </c>
      <c r="AA40" s="1349">
        <f t="shared" si="15"/>
        <v>1</v>
      </c>
      <c r="AB40" s="1349">
        <f t="shared" si="16"/>
        <v>1</v>
      </c>
      <c r="AC40" s="1349">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7"/>
      <c r="M41" s="2719"/>
      <c r="N41" s="2719"/>
      <c r="O41" s="2719"/>
      <c r="P41" s="3756"/>
      <c r="Q41" s="703" t="str">
        <f t="shared" si="11"/>
        <v>单套/主力户型建筑面积</v>
      </c>
      <c r="R41" s="704" t="s">
        <v>18</v>
      </c>
      <c r="S41" s="705">
        <f t="shared" si="12"/>
        <v>100</v>
      </c>
      <c r="T41" s="704" t="s">
        <v>18</v>
      </c>
      <c r="U41" s="705">
        <f t="shared" si="13"/>
        <v>100</v>
      </c>
      <c r="V41" s="704" t="s">
        <v>18</v>
      </c>
      <c r="W41" s="705">
        <f t="shared" si="14"/>
        <v>100</v>
      </c>
      <c r="X41" s="706"/>
      <c r="Y41" s="3758"/>
      <c r="Z41" s="707" t="str">
        <f t="shared" si="18"/>
        <v>单套/主力户型建筑面积</v>
      </c>
      <c r="AA41" s="1349">
        <f t="shared" si="15"/>
        <v>1</v>
      </c>
      <c r="AB41" s="1349">
        <f t="shared" si="16"/>
        <v>1</v>
      </c>
      <c r="AC41" s="1349">
        <f t="shared" si="17"/>
        <v>1</v>
      </c>
    </row>
    <row r="42" spans="1:29" ht="15">
      <c r="A42" s="420"/>
      <c r="B42" s="372" t="s">
        <v>1706</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8"/>
      <c r="M42" s="2712"/>
      <c r="N42" s="2712"/>
      <c r="O42" s="2712"/>
      <c r="P42" s="3756"/>
      <c r="Q42" s="1348" t="str">
        <f t="shared" si="11"/>
        <v>内部装修</v>
      </c>
      <c r="R42" s="701" t="s">
        <v>18</v>
      </c>
      <c r="S42" s="702">
        <f t="shared" si="12"/>
        <v>100</v>
      </c>
      <c r="T42" s="701" t="s">
        <v>18</v>
      </c>
      <c r="U42" s="702">
        <f t="shared" si="13"/>
        <v>100</v>
      </c>
      <c r="V42" s="701" t="s">
        <v>18</v>
      </c>
      <c r="W42" s="702">
        <f t="shared" si="14"/>
        <v>100</v>
      </c>
      <c r="X42" s="1351"/>
      <c r="Y42" s="3758"/>
      <c r="Z42" s="1352" t="str">
        <f t="shared" si="18"/>
        <v>内部装修</v>
      </c>
      <c r="AA42" s="1349">
        <f t="shared" si="15"/>
        <v>1</v>
      </c>
      <c r="AB42" s="1349">
        <f t="shared" si="16"/>
        <v>1</v>
      </c>
      <c r="AC42" s="1349">
        <f t="shared" si="17"/>
        <v>1</v>
      </c>
    </row>
    <row r="43" spans="1:29" ht="15">
      <c r="A43" s="420"/>
      <c r="B43" s="372" t="s">
        <v>1707</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8"/>
      <c r="M43" s="2712"/>
      <c r="N43" s="2712"/>
      <c r="O43" s="2712"/>
      <c r="P43" s="3756"/>
      <c r="Q43" s="1348" t="str">
        <f t="shared" si="11"/>
        <v>内部装修维护情况</v>
      </c>
      <c r="R43" s="701" t="s">
        <v>18</v>
      </c>
      <c r="S43" s="702">
        <f t="shared" si="12"/>
        <v>100</v>
      </c>
      <c r="T43" s="701" t="s">
        <v>18</v>
      </c>
      <c r="U43" s="702">
        <f t="shared" si="13"/>
        <v>100</v>
      </c>
      <c r="V43" s="701" t="s">
        <v>18</v>
      </c>
      <c r="W43" s="702">
        <f t="shared" si="14"/>
        <v>100</v>
      </c>
      <c r="X43" s="1351"/>
      <c r="Y43" s="3758"/>
      <c r="Z43" s="1352" t="str">
        <f t="shared" si="18"/>
        <v>内部装修维护情况</v>
      </c>
      <c r="AA43" s="1349">
        <f t="shared" si="15"/>
        <v>1</v>
      </c>
      <c r="AB43" s="1349">
        <f t="shared" si="16"/>
        <v>1</v>
      </c>
      <c r="AC43" s="1349">
        <f t="shared" si="17"/>
        <v>1</v>
      </c>
    </row>
    <row r="44" spans="1:29" s="108" customFormat="1" ht="15">
      <c r="A44" s="421"/>
      <c r="B44" s="1129">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13"/>
      <c r="M44" s="2714"/>
      <c r="N44" s="2714"/>
      <c r="O44" s="2714"/>
      <c r="P44" s="3756"/>
      <c r="Q44" s="1339">
        <f t="shared" si="11"/>
        <v>111</v>
      </c>
      <c r="R44" s="697" t="s">
        <v>18</v>
      </c>
      <c r="S44" s="698">
        <f t="shared" si="12"/>
        <v>100</v>
      </c>
      <c r="T44" s="697" t="s">
        <v>18</v>
      </c>
      <c r="U44" s="698">
        <f t="shared" si="13"/>
        <v>100</v>
      </c>
      <c r="V44" s="697" t="s">
        <v>18</v>
      </c>
      <c r="W44" s="698">
        <f t="shared" si="14"/>
        <v>100</v>
      </c>
      <c r="X44" s="699"/>
      <c r="Y44" s="3758"/>
      <c r="Z44" s="52">
        <f t="shared" si="18"/>
        <v>111</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8"/>
      <c r="M45" s="2712"/>
      <c r="N45" s="2712"/>
      <c r="O45" s="2712"/>
      <c r="P45" s="3756"/>
      <c r="Q45" s="1348">
        <f t="shared" si="11"/>
        <v>111</v>
      </c>
      <c r="R45" s="701" t="s">
        <v>18</v>
      </c>
      <c r="S45" s="702">
        <f t="shared" si="12"/>
        <v>100</v>
      </c>
      <c r="T45" s="701" t="s">
        <v>18</v>
      </c>
      <c r="U45" s="702">
        <f t="shared" si="13"/>
        <v>100</v>
      </c>
      <c r="V45" s="701" t="s">
        <v>18</v>
      </c>
      <c r="W45" s="702">
        <f t="shared" si="14"/>
        <v>100</v>
      </c>
      <c r="X45" s="1351"/>
      <c r="Y45" s="3758"/>
      <c r="Z45" s="1352">
        <f t="shared" si="18"/>
        <v>111</v>
      </c>
      <c r="AA45" s="1349">
        <f t="shared" si="15"/>
        <v>1</v>
      </c>
      <c r="AB45" s="1349">
        <f t="shared" si="16"/>
        <v>1</v>
      </c>
      <c r="AC45" s="1349">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8"/>
      <c r="M46" s="2712"/>
      <c r="N46" s="2712"/>
      <c r="O46" s="2712"/>
      <c r="P46" s="3757"/>
      <c r="Q46" s="1348">
        <f t="shared" si="11"/>
        <v>111</v>
      </c>
      <c r="R46" s="701" t="s">
        <v>17</v>
      </c>
      <c r="S46" s="702">
        <f t="shared" si="12"/>
        <v>100</v>
      </c>
      <c r="T46" s="701" t="s">
        <v>17</v>
      </c>
      <c r="U46" s="702">
        <f t="shared" si="13"/>
        <v>100</v>
      </c>
      <c r="V46" s="701" t="s">
        <v>17</v>
      </c>
      <c r="W46" s="702">
        <f t="shared" si="14"/>
        <v>100</v>
      </c>
      <c r="X46" s="1351"/>
      <c r="Y46" s="3759"/>
      <c r="Z46" s="1352">
        <f t="shared" si="18"/>
        <v>111</v>
      </c>
      <c r="AA46" s="1349">
        <f t="shared" si="15"/>
        <v>1</v>
      </c>
      <c r="AB46" s="1349">
        <f t="shared" si="16"/>
        <v>1</v>
      </c>
      <c r="AC46" s="1349">
        <f t="shared" si="17"/>
        <v>1</v>
      </c>
    </row>
    <row r="47" spans="1:29" ht="15">
      <c r="A47" s="427" t="s">
        <v>1708</v>
      </c>
      <c r="B47" s="428"/>
      <c r="C47" s="1150" t="s">
        <v>16</v>
      </c>
      <c r="D47" s="1151"/>
      <c r="E47" s="1152"/>
      <c r="F47" s="1153"/>
      <c r="G47" s="1154"/>
      <c r="H47" s="1155"/>
      <c r="I47" s="1152"/>
      <c r="J47" s="1155"/>
      <c r="K47" s="1910"/>
      <c r="L47" s="2720"/>
      <c r="M47" s="2721"/>
      <c r="N47" s="2712"/>
      <c r="O47" s="2721"/>
      <c r="P47" s="3746" t="str">
        <f>A47</f>
        <v>成交单价（元/平方米）</v>
      </c>
      <c r="Q47" s="3746"/>
      <c r="R47" s="3747">
        <f>E47</f>
        <v>0</v>
      </c>
      <c r="S47" s="3747"/>
      <c r="T47" s="3747">
        <f>G47</f>
        <v>0</v>
      </c>
      <c r="U47" s="3747"/>
      <c r="V47" s="3747">
        <f>I47</f>
        <v>0</v>
      </c>
      <c r="W47" s="3747"/>
      <c r="X47" s="686"/>
      <c r="Y47" s="708"/>
      <c r="Z47" s="686"/>
      <c r="AA47" s="686"/>
      <c r="AB47" s="686"/>
      <c r="AC47" s="686"/>
    </row>
    <row r="48" spans="1:29" ht="15.75" thickBot="1">
      <c r="A48" s="434" t="s">
        <v>1709</v>
      </c>
      <c r="B48" s="435"/>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6"/>
      <c r="Y48" s="686"/>
      <c r="Z48" s="686"/>
      <c r="AA48" s="686"/>
      <c r="AB48" s="686"/>
      <c r="AC48" s="686"/>
    </row>
    <row r="49" spans="1:29" ht="15.75" thickBot="1">
      <c r="A49" s="438" t="s">
        <v>1710</v>
      </c>
      <c r="B49" s="439"/>
      <c r="C49" s="1158" t="e">
        <f>R49</f>
        <v>#DIV/0!</v>
      </c>
      <c r="D49" s="1159"/>
      <c r="E49" s="1159"/>
      <c r="F49" s="1159"/>
      <c r="G49" s="1159"/>
      <c r="H49" s="1159"/>
      <c r="I49" s="1159"/>
      <c r="J49" s="1159"/>
      <c r="K49" s="1911"/>
      <c r="L49" s="2720"/>
      <c r="M49" s="2721"/>
      <c r="N49" s="2721"/>
      <c r="O49" s="2721"/>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row>
    <row r="53" spans="1:29" ht="13.5" customHeight="1">
      <c r="A53" s="2721"/>
      <c r="B53" s="2721"/>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row>
    <row r="54" spans="1:29" s="448" customFormat="1" ht="13.5" customHeight="1">
      <c r="A54" s="2724"/>
      <c r="B54" s="2724"/>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1913"/>
    </row>
    <row r="55" spans="1:29" s="448"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0" t="s">
        <v>1714</v>
      </c>
      <c r="B57" s="686"/>
      <c r="C57" s="691"/>
      <c r="D57" s="691"/>
      <c r="E57" s="691"/>
      <c r="F57" s="692"/>
      <c r="G57" s="692"/>
      <c r="H57" s="691"/>
      <c r="I57" s="691"/>
      <c r="J57" s="691"/>
      <c r="K57" s="937"/>
      <c r="L57" s="938"/>
      <c r="M57" s="936"/>
      <c r="N57" s="936"/>
      <c r="O57" s="936"/>
      <c r="P57" s="1914"/>
      <c r="Q57" s="450"/>
    </row>
    <row r="58" spans="1:29" s="454" customFormat="1" ht="15">
      <c r="A58" s="451" t="s">
        <v>1715</v>
      </c>
      <c r="B58" s="452"/>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5"/>
      <c r="B59" s="1915"/>
      <c r="C59" s="1179">
        <v>100</v>
      </c>
      <c r="D59" s="457"/>
      <c r="E59" s="458"/>
      <c r="F59" s="458"/>
      <c r="G59" s="458"/>
      <c r="H59" s="458"/>
      <c r="I59" s="458"/>
      <c r="J59" s="458"/>
      <c r="K59" s="458"/>
      <c r="L59" s="458"/>
      <c r="M59" s="459"/>
      <c r="N59" s="458"/>
      <c r="O59" s="459"/>
      <c r="P59" s="1916"/>
    </row>
    <row r="60" spans="1:29" s="108" customFormat="1" ht="15.75" thickBot="1">
      <c r="A60" s="461" t="s">
        <v>1716</v>
      </c>
      <c r="B60" s="462"/>
      <c r="C60" s="463"/>
      <c r="D60" s="464"/>
      <c r="E60" s="464"/>
      <c r="F60" s="464"/>
      <c r="G60" s="464"/>
      <c r="H60" s="464"/>
      <c r="I60" s="464"/>
      <c r="J60" s="464"/>
      <c r="K60" s="464"/>
      <c r="L60" s="464"/>
      <c r="M60" s="465"/>
      <c r="N60" s="464"/>
      <c r="O60" s="465"/>
      <c r="P60" s="1916"/>
      <c r="Q60" s="450"/>
    </row>
    <row r="61" spans="1:29" s="108" customFormat="1" ht="15">
      <c r="A61" s="467" t="s">
        <v>1717</v>
      </c>
      <c r="B61" s="456"/>
      <c r="C61" s="468" t="s">
        <v>1718</v>
      </c>
      <c r="D61" s="469"/>
      <c r="E61" s="469"/>
      <c r="F61" s="469"/>
      <c r="G61" s="469"/>
      <c r="H61" s="469"/>
      <c r="I61" s="469"/>
      <c r="J61" s="469"/>
      <c r="K61" s="469"/>
      <c r="L61" s="470"/>
      <c r="M61" s="471"/>
      <c r="N61" s="928"/>
      <c r="O61" s="928"/>
      <c r="P61" s="1917"/>
      <c r="Q61" s="450"/>
    </row>
    <row r="62" spans="1:29" s="108" customFormat="1" ht="15.75" thickBot="1">
      <c r="A62" s="467"/>
      <c r="B62" s="456"/>
      <c r="C62" s="457">
        <v>100</v>
      </c>
      <c r="D62" s="458"/>
      <c r="E62" s="458"/>
      <c r="F62" s="458"/>
      <c r="G62" s="458"/>
      <c r="H62" s="458"/>
      <c r="I62" s="458"/>
      <c r="J62" s="458"/>
      <c r="K62" s="458"/>
      <c r="L62" s="458"/>
      <c r="M62" s="460"/>
      <c r="N62" s="928"/>
      <c r="O62" s="928"/>
      <c r="P62" s="1916"/>
      <c r="Q62" s="450"/>
    </row>
    <row r="63" spans="1:29">
      <c r="A63" s="473" t="s">
        <v>1719</v>
      </c>
      <c r="B63" s="474" t="s">
        <v>1685</v>
      </c>
      <c r="C63" s="475">
        <f>C9</f>
        <v>0</v>
      </c>
      <c r="D63" s="476"/>
      <c r="E63" s="476"/>
      <c r="F63" s="476"/>
      <c r="G63" s="476"/>
      <c r="H63" s="476"/>
      <c r="I63" s="476"/>
      <c r="J63" s="476"/>
      <c r="K63" s="477"/>
      <c r="L63" s="478"/>
      <c r="M63" s="479"/>
      <c r="N63" s="929"/>
      <c r="O63" s="929"/>
      <c r="P63" s="1918"/>
      <c r="Q63" s="450"/>
    </row>
    <row r="64" spans="1:29" ht="15.75" thickBot="1">
      <c r="A64" s="480"/>
      <c r="B64" s="481"/>
      <c r="C64" s="482">
        <v>100</v>
      </c>
      <c r="D64" s="482"/>
      <c r="E64" s="482"/>
      <c r="F64" s="482"/>
      <c r="G64" s="482"/>
      <c r="H64" s="482"/>
      <c r="I64" s="482"/>
      <c r="J64" s="482"/>
      <c r="K64" s="482"/>
      <c r="L64" s="482"/>
      <c r="M64" s="483"/>
      <c r="N64" s="930"/>
      <c r="O64" s="930"/>
      <c r="P64" s="1918"/>
      <c r="Q64" s="450"/>
    </row>
    <row r="65" spans="1:17" ht="27.75" thickTop="1">
      <c r="A65" s="480"/>
      <c r="B65" s="484" t="s">
        <v>1688</v>
      </c>
      <c r="C65" s="529"/>
      <c r="D65" s="529"/>
      <c r="E65" s="529"/>
      <c r="F65" s="529"/>
      <c r="G65" s="529"/>
      <c r="H65" s="529"/>
      <c r="I65" s="529"/>
      <c r="J65" s="529"/>
      <c r="K65" s="529"/>
      <c r="L65" s="529"/>
      <c r="M65" s="529"/>
      <c r="N65" s="930"/>
      <c r="O65" s="930"/>
      <c r="P65" s="1918"/>
      <c r="Q65" s="450"/>
    </row>
    <row r="66" spans="1:17" ht="15.75" thickBot="1">
      <c r="A66" s="480"/>
      <c r="B66" s="489"/>
      <c r="C66" s="482"/>
      <c r="D66" s="482"/>
      <c r="E66" s="482"/>
      <c r="F66" s="482"/>
      <c r="G66" s="482"/>
      <c r="H66" s="482"/>
      <c r="I66" s="482"/>
      <c r="J66" s="482"/>
      <c r="K66" s="482"/>
      <c r="L66" s="482"/>
      <c r="M66" s="483"/>
      <c r="N66" s="930"/>
      <c r="O66" s="930"/>
      <c r="P66" s="1918"/>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0"/>
      <c r="O67" s="930"/>
      <c r="P67" s="1918"/>
      <c r="Q67" s="450"/>
    </row>
    <row r="68" spans="1:17" ht="15">
      <c r="A68" s="480"/>
      <c r="B68" s="494"/>
      <c r="C68" s="495"/>
      <c r="D68" s="495"/>
      <c r="E68" s="495"/>
      <c r="F68" s="495"/>
      <c r="G68" s="495"/>
      <c r="H68" s="495"/>
      <c r="I68" s="495"/>
      <c r="J68" s="495"/>
      <c r="K68" s="496"/>
      <c r="L68" s="497"/>
      <c r="M68" s="498"/>
      <c r="N68" s="929"/>
      <c r="O68" s="929"/>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0"/>
      <c r="O69" s="930"/>
      <c r="P69" s="1918"/>
      <c r="Q69" s="450"/>
    </row>
    <row r="70" spans="1:17" s="419" customFormat="1" ht="15.75" thickTop="1">
      <c r="A70" s="499"/>
      <c r="B70" s="484">
        <f>B12</f>
        <v>111</v>
      </c>
      <c r="C70" s="500"/>
      <c r="D70" s="500"/>
      <c r="E70" s="500"/>
      <c r="F70" s="500"/>
      <c r="G70" s="500"/>
      <c r="H70" s="501"/>
      <c r="I70" s="501"/>
      <c r="J70" s="501"/>
      <c r="K70" s="501"/>
      <c r="L70" s="502"/>
      <c r="M70" s="503"/>
      <c r="N70" s="931"/>
      <c r="O70" s="931"/>
      <c r="P70" s="1919"/>
      <c r="Q70" s="505"/>
    </row>
    <row r="71" spans="1:17" s="419" customFormat="1" ht="15.75" thickBot="1">
      <c r="A71" s="499"/>
      <c r="B71" s="489"/>
      <c r="C71" s="506"/>
      <c r="D71" s="482"/>
      <c r="E71" s="482"/>
      <c r="F71" s="482"/>
      <c r="G71" s="482"/>
      <c r="H71" s="482"/>
      <c r="I71" s="482"/>
      <c r="J71" s="482"/>
      <c r="K71" s="482"/>
      <c r="L71" s="482"/>
      <c r="M71" s="483"/>
      <c r="N71" s="930"/>
      <c r="O71" s="930"/>
      <c r="P71" s="1919"/>
      <c r="Q71" s="505"/>
    </row>
    <row r="72" spans="1:17" s="419" customFormat="1" ht="15.75" thickTop="1">
      <c r="A72" s="499"/>
      <c r="B72" s="484">
        <f>B13</f>
        <v>111</v>
      </c>
      <c r="C72" s="500"/>
      <c r="D72" s="500"/>
      <c r="E72" s="500"/>
      <c r="F72" s="500"/>
      <c r="G72" s="500"/>
      <c r="H72" s="501"/>
      <c r="I72" s="501"/>
      <c r="J72" s="501"/>
      <c r="K72" s="501"/>
      <c r="L72" s="502"/>
      <c r="M72" s="503"/>
      <c r="N72" s="931"/>
      <c r="O72" s="931"/>
      <c r="P72" s="1920"/>
      <c r="Q72" s="507"/>
    </row>
    <row r="73" spans="1:17" s="419" customFormat="1" ht="15.75" thickBot="1">
      <c r="A73" s="499"/>
      <c r="B73" s="489"/>
      <c r="C73" s="506"/>
      <c r="D73" s="506"/>
      <c r="E73" s="506"/>
      <c r="F73" s="506"/>
      <c r="G73" s="506"/>
      <c r="H73" s="508"/>
      <c r="I73" s="508"/>
      <c r="J73" s="508"/>
      <c r="K73" s="508"/>
      <c r="L73" s="508"/>
      <c r="M73" s="509"/>
      <c r="N73" s="931"/>
      <c r="O73" s="931"/>
      <c r="P73" s="1919"/>
      <c r="Q73" s="505"/>
    </row>
    <row r="74" spans="1:17" s="419" customFormat="1" ht="15.75" thickTop="1">
      <c r="A74" s="499"/>
      <c r="B74" s="492">
        <f>B14</f>
        <v>111</v>
      </c>
      <c r="C74" s="500"/>
      <c r="D74" s="500"/>
      <c r="E74" s="500"/>
      <c r="F74" s="500"/>
      <c r="G74" s="469"/>
      <c r="H74" s="510"/>
      <c r="I74" s="510"/>
      <c r="J74" s="510"/>
      <c r="K74" s="510"/>
      <c r="L74" s="511"/>
      <c r="M74" s="512"/>
      <c r="N74" s="931"/>
      <c r="O74" s="931"/>
      <c r="P74" s="1921"/>
      <c r="Q74" s="505"/>
    </row>
    <row r="75" spans="1:17" s="419" customFormat="1" ht="15.75" thickBot="1">
      <c r="A75" s="514"/>
      <c r="B75" s="515"/>
      <c r="C75" s="516"/>
      <c r="D75" s="516"/>
      <c r="E75" s="516"/>
      <c r="F75" s="516"/>
      <c r="G75" s="516"/>
      <c r="H75" s="517"/>
      <c r="I75" s="517"/>
      <c r="J75" s="517"/>
      <c r="K75" s="517"/>
      <c r="L75" s="517"/>
      <c r="M75" s="518"/>
      <c r="N75" s="931"/>
      <c r="O75" s="931"/>
      <c r="P75" s="1919"/>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0"/>
      <c r="O77" s="930"/>
      <c r="P77" s="1918"/>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0"/>
      <c r="O79" s="930"/>
      <c r="P79" s="1918"/>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0"/>
      <c r="O81" s="930"/>
      <c r="P81" s="1918"/>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0"/>
      <c r="O83" s="930"/>
      <c r="P83" s="1918"/>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0"/>
      <c r="O85" s="930"/>
      <c r="P85" s="1918"/>
      <c r="Q85" s="450"/>
    </row>
    <row r="86" spans="1:17" s="108" customFormat="1" ht="15.75" thickTop="1">
      <c r="A86" s="525"/>
      <c r="B86" s="484" t="s">
        <v>1734</v>
      </c>
      <c r="C86" s="500"/>
      <c r="D86" s="500"/>
      <c r="E86" s="500"/>
      <c r="F86" s="500"/>
      <c r="G86" s="500"/>
      <c r="H86" s="500"/>
      <c r="I86" s="500"/>
      <c r="J86" s="500"/>
      <c r="K86" s="500"/>
      <c r="L86" s="526"/>
      <c r="M86" s="527"/>
      <c r="N86" s="928"/>
      <c r="O86" s="928"/>
      <c r="P86" s="1918"/>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8"/>
      <c r="Q87" s="450"/>
    </row>
    <row r="88" spans="1:17" s="108" customFormat="1" ht="15.75" thickTop="1">
      <c r="A88" s="525"/>
      <c r="B88" s="484" t="s">
        <v>1735</v>
      </c>
      <c r="C88" s="500"/>
      <c r="D88" s="500"/>
      <c r="E88" s="500"/>
      <c r="F88" s="1923"/>
      <c r="G88" s="500"/>
      <c r="H88" s="500"/>
      <c r="I88" s="500"/>
      <c r="J88" s="500"/>
      <c r="K88" s="500"/>
      <c r="L88" s="500"/>
      <c r="M88" s="527"/>
      <c r="N88" s="928"/>
      <c r="O88" s="928"/>
      <c r="P88" s="1918"/>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8"/>
      <c r="Q89" s="450"/>
    </row>
    <row r="90" spans="1:17" s="419" customFormat="1" ht="15.75" thickTop="1">
      <c r="A90" s="499"/>
      <c r="B90" s="484">
        <f>B27</f>
        <v>111</v>
      </c>
      <c r="C90" s="500"/>
      <c r="D90" s="500"/>
      <c r="E90" s="500"/>
      <c r="F90" s="500"/>
      <c r="G90" s="500"/>
      <c r="H90" s="501"/>
      <c r="I90" s="501"/>
      <c r="J90" s="501"/>
      <c r="K90" s="501"/>
      <c r="L90" s="502"/>
      <c r="M90" s="503"/>
      <c r="N90" s="931"/>
      <c r="O90" s="931"/>
      <c r="P90" s="1919"/>
      <c r="Q90" s="505"/>
    </row>
    <row r="91" spans="1:17" s="419" customFormat="1" ht="15.75" thickBot="1">
      <c r="A91" s="499"/>
      <c r="B91" s="489"/>
      <c r="C91" s="506"/>
      <c r="D91" s="506"/>
      <c r="E91" s="506"/>
      <c r="F91" s="506"/>
      <c r="G91" s="506"/>
      <c r="H91" s="508"/>
      <c r="I91" s="508"/>
      <c r="J91" s="508"/>
      <c r="K91" s="508"/>
      <c r="L91" s="508"/>
      <c r="M91" s="509"/>
      <c r="N91" s="931"/>
      <c r="O91" s="931"/>
      <c r="P91" s="1919"/>
      <c r="Q91" s="505"/>
    </row>
    <row r="92" spans="1:17" ht="15.75" thickTop="1">
      <c r="A92" s="480"/>
      <c r="B92" s="484">
        <f>B28</f>
        <v>111</v>
      </c>
      <c r="C92" s="500"/>
      <c r="D92" s="500"/>
      <c r="E92" s="500"/>
      <c r="F92" s="500"/>
      <c r="G92" s="529"/>
      <c r="H92" s="529"/>
      <c r="I92" s="529"/>
      <c r="J92" s="529"/>
      <c r="K92" s="530"/>
      <c r="L92" s="531"/>
      <c r="M92" s="532"/>
      <c r="N92" s="929"/>
      <c r="O92" s="929"/>
      <c r="P92" s="1918"/>
      <c r="Q92" s="450"/>
    </row>
    <row r="93" spans="1:17" ht="15.75" thickBot="1">
      <c r="A93" s="480"/>
      <c r="B93" s="489"/>
      <c r="C93" s="506"/>
      <c r="D93" s="482"/>
      <c r="E93" s="482"/>
      <c r="F93" s="482"/>
      <c r="G93" s="482"/>
      <c r="H93" s="482"/>
      <c r="I93" s="482"/>
      <c r="J93" s="482"/>
      <c r="K93" s="482"/>
      <c r="L93" s="482"/>
      <c r="M93" s="483"/>
      <c r="N93" s="930"/>
      <c r="O93" s="930"/>
      <c r="P93" s="1918"/>
      <c r="Q93" s="450"/>
    </row>
    <row r="94" spans="1:17" ht="15.75" thickTop="1">
      <c r="A94" s="480"/>
      <c r="B94" s="484">
        <f>B29</f>
        <v>111</v>
      </c>
      <c r="C94" s="500"/>
      <c r="D94" s="500"/>
      <c r="E94" s="500"/>
      <c r="F94" s="500"/>
      <c r="G94" s="529"/>
      <c r="H94" s="529"/>
      <c r="I94" s="529"/>
      <c r="J94" s="529"/>
      <c r="K94" s="530"/>
      <c r="L94" s="531"/>
      <c r="M94" s="532"/>
      <c r="N94" s="929"/>
      <c r="O94" s="929"/>
      <c r="P94" s="1918"/>
      <c r="Q94" s="450"/>
    </row>
    <row r="95" spans="1:17" ht="15.75" thickBot="1">
      <c r="A95" s="480"/>
      <c r="B95" s="489"/>
      <c r="C95" s="506"/>
      <c r="D95" s="506"/>
      <c r="E95" s="506"/>
      <c r="F95" s="506"/>
      <c r="G95" s="482"/>
      <c r="H95" s="482"/>
      <c r="I95" s="482"/>
      <c r="J95" s="482"/>
      <c r="K95" s="482"/>
      <c r="L95" s="482"/>
      <c r="M95" s="483"/>
      <c r="N95" s="930"/>
      <c r="O95" s="930"/>
      <c r="P95" s="1918"/>
      <c r="Q95" s="450"/>
    </row>
    <row r="96" spans="1:17" ht="15.75" thickTop="1">
      <c r="A96" s="480"/>
      <c r="B96" s="484">
        <f>B30</f>
        <v>111</v>
      </c>
      <c r="C96" s="500"/>
      <c r="D96" s="500"/>
      <c r="E96" s="500"/>
      <c r="F96" s="500"/>
      <c r="G96" s="529"/>
      <c r="H96" s="529"/>
      <c r="I96" s="529"/>
      <c r="J96" s="529"/>
      <c r="K96" s="530"/>
      <c r="L96" s="531"/>
      <c r="M96" s="532"/>
      <c r="N96" s="929"/>
      <c r="O96" s="929"/>
      <c r="P96" s="1918"/>
      <c r="Q96" s="450"/>
    </row>
    <row r="97" spans="1:17" ht="15.75" thickBot="1">
      <c r="A97" s="480"/>
      <c r="B97" s="489"/>
      <c r="C97" s="516"/>
      <c r="D97" s="516"/>
      <c r="E97" s="516"/>
      <c r="F97" s="516"/>
      <c r="G97" s="482"/>
      <c r="H97" s="482"/>
      <c r="I97" s="482"/>
      <c r="J97" s="482"/>
      <c r="K97" s="482"/>
      <c r="L97" s="482"/>
      <c r="M97" s="483"/>
      <c r="N97" s="930"/>
      <c r="O97" s="930"/>
      <c r="P97" s="1918"/>
      <c r="Q97" s="450"/>
    </row>
    <row r="98" spans="1:17" ht="15.75" thickTop="1">
      <c r="A98" s="480"/>
      <c r="B98" s="492">
        <f>B31</f>
        <v>111</v>
      </c>
      <c r="C98" s="533"/>
      <c r="D98" s="533"/>
      <c r="E98" s="533"/>
      <c r="F98" s="533"/>
      <c r="G98" s="533"/>
      <c r="H98" s="533"/>
      <c r="I98" s="533"/>
      <c r="J98" s="533"/>
      <c r="K98" s="534"/>
      <c r="L98" s="535"/>
      <c r="M98" s="536"/>
      <c r="N98" s="929"/>
      <c r="O98" s="929"/>
      <c r="P98" s="1918"/>
      <c r="Q98" s="450"/>
    </row>
    <row r="99" spans="1:17" ht="15.75" thickBot="1">
      <c r="A99" s="1924"/>
      <c r="B99" s="515"/>
      <c r="C99" s="537"/>
      <c r="D99" s="537"/>
      <c r="E99" s="537"/>
      <c r="F99" s="537"/>
      <c r="G99" s="537"/>
      <c r="H99" s="537"/>
      <c r="I99" s="537"/>
      <c r="J99" s="537"/>
      <c r="K99" s="537"/>
      <c r="L99" s="537"/>
      <c r="M99" s="538"/>
      <c r="N99" s="930"/>
      <c r="O99" s="930"/>
      <c r="P99" s="1918"/>
      <c r="Q99" s="450"/>
    </row>
    <row r="100" spans="1:17">
      <c r="A100" s="473" t="s">
        <v>1694</v>
      </c>
      <c r="B100" s="474" t="s">
        <v>1736</v>
      </c>
      <c r="C100" s="476"/>
      <c r="D100" s="476"/>
      <c r="E100" s="476"/>
      <c r="F100" s="476"/>
      <c r="G100" s="476"/>
      <c r="H100" s="476"/>
      <c r="I100" s="476"/>
      <c r="J100" s="476"/>
      <c r="K100" s="477"/>
      <c r="L100" s="478"/>
      <c r="M100" s="479"/>
      <c r="N100" s="929"/>
      <c r="O100" s="929"/>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0"/>
      <c r="O101" s="930"/>
      <c r="P101" s="1918"/>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8"/>
      <c r="Q102" s="450"/>
    </row>
    <row r="103" spans="1:17" s="419" customFormat="1">
      <c r="A103" s="539"/>
      <c r="B103" s="540"/>
      <c r="C103" s="541"/>
      <c r="D103" s="541"/>
      <c r="E103" s="541"/>
      <c r="F103" s="541"/>
      <c r="G103" s="541"/>
      <c r="H103" s="541"/>
      <c r="I103" s="541"/>
      <c r="J103" s="542"/>
      <c r="K103" s="542"/>
      <c r="L103" s="543"/>
      <c r="M103" s="544"/>
      <c r="N103" s="931"/>
      <c r="O103" s="931"/>
      <c r="P103" s="1919"/>
      <c r="Q103" s="505"/>
    </row>
    <row r="104" spans="1:17" s="419" customFormat="1" ht="15.75" thickBot="1">
      <c r="A104" s="499"/>
      <c r="B104" s="489"/>
      <c r="C104" s="506"/>
      <c r="D104" s="482"/>
      <c r="E104" s="482"/>
      <c r="F104" s="482"/>
      <c r="G104" s="482"/>
      <c r="H104" s="482"/>
      <c r="I104" s="482"/>
      <c r="J104" s="482"/>
      <c r="K104" s="482"/>
      <c r="L104" s="482"/>
      <c r="M104" s="482"/>
      <c r="N104" s="930"/>
      <c r="O104" s="930"/>
      <c r="P104" s="1919"/>
      <c r="Q104" s="505"/>
    </row>
    <row r="105" spans="1:17" ht="15" thickTop="1">
      <c r="A105" s="545"/>
      <c r="B105" s="484" t="s">
        <v>1738</v>
      </c>
      <c r="C105" s="500"/>
      <c r="D105" s="500"/>
      <c r="E105" s="529"/>
      <c r="F105" s="529"/>
      <c r="G105" s="529"/>
      <c r="H105" s="529"/>
      <c r="I105" s="529"/>
      <c r="J105" s="529"/>
      <c r="K105" s="530"/>
      <c r="L105" s="531"/>
      <c r="M105" s="532"/>
      <c r="N105" s="929"/>
      <c r="O105" s="929"/>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0"/>
      <c r="O106" s="930"/>
      <c r="P106" s="1918"/>
      <c r="Q106" s="450"/>
    </row>
    <row r="107" spans="1:17" ht="15" thickTop="1">
      <c r="A107" s="545"/>
      <c r="B107" s="484" t="s">
        <v>1739</v>
      </c>
      <c r="C107" s="529"/>
      <c r="D107" s="529"/>
      <c r="E107" s="529"/>
      <c r="F107" s="529"/>
      <c r="G107" s="529"/>
      <c r="H107" s="529"/>
      <c r="I107" s="529"/>
      <c r="J107" s="529"/>
      <c r="K107" s="530"/>
      <c r="L107" s="531"/>
      <c r="M107" s="532"/>
      <c r="N107" s="929"/>
      <c r="O107" s="929"/>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8"/>
      <c r="Q108" s="450"/>
    </row>
    <row r="109" spans="1:17" ht="15" thickTop="1">
      <c r="A109" s="545"/>
      <c r="B109" s="484" t="s">
        <v>1740</v>
      </c>
      <c r="C109" s="500"/>
      <c r="D109" s="500"/>
      <c r="E109" s="500"/>
      <c r="F109" s="529"/>
      <c r="G109" s="529"/>
      <c r="H109" s="529"/>
      <c r="I109" s="529"/>
      <c r="J109" s="529"/>
      <c r="K109" s="530"/>
      <c r="L109" s="531"/>
      <c r="M109" s="532"/>
      <c r="N109" s="929"/>
      <c r="O109" s="929"/>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1"/>
      <c r="O113" s="931"/>
      <c r="P113" s="1919"/>
      <c r="Q113" s="505"/>
    </row>
    <row r="114" spans="1:17" ht="15" thickTop="1">
      <c r="A114" s="545"/>
      <c r="B114" s="484" t="s">
        <v>1741</v>
      </c>
      <c r="C114" s="500"/>
      <c r="D114" s="500"/>
      <c r="E114" s="529"/>
      <c r="F114" s="529"/>
      <c r="G114" s="529"/>
      <c r="H114" s="529"/>
      <c r="I114" s="529"/>
      <c r="J114" s="529"/>
      <c r="K114" s="530"/>
      <c r="L114" s="531"/>
      <c r="M114" s="532"/>
      <c r="N114" s="929"/>
      <c r="O114" s="929"/>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0"/>
      <c r="O115" s="930"/>
      <c r="P115" s="1918"/>
      <c r="Q115" s="450"/>
    </row>
    <row r="116" spans="1:17" ht="15" thickTop="1">
      <c r="A116" s="545"/>
      <c r="B116" s="484" t="s">
        <v>1742</v>
      </c>
      <c r="C116" s="500"/>
      <c r="D116" s="500"/>
      <c r="E116" s="500"/>
      <c r="F116" s="500"/>
      <c r="G116" s="500"/>
      <c r="H116" s="529"/>
      <c r="I116" s="529"/>
      <c r="J116" s="529"/>
      <c r="K116" s="530"/>
      <c r="L116" s="531"/>
      <c r="M116" s="532"/>
      <c r="N116" s="929"/>
      <c r="O116" s="929"/>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8"/>
      <c r="Q117" s="450"/>
    </row>
    <row r="118" spans="1:17" ht="15" thickTop="1">
      <c r="A118" s="545"/>
      <c r="B118" s="484" t="s">
        <v>1743</v>
      </c>
      <c r="C118" s="529"/>
      <c r="D118" s="529"/>
      <c r="E118" s="529"/>
      <c r="F118" s="529"/>
      <c r="G118" s="529"/>
      <c r="H118" s="529"/>
      <c r="I118" s="529"/>
      <c r="J118" s="529"/>
      <c r="K118" s="530"/>
      <c r="L118" s="531"/>
      <c r="M118" s="532"/>
      <c r="N118" s="929"/>
      <c r="O118" s="929"/>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8"/>
      <c r="Q119" s="450"/>
    </row>
    <row r="120" spans="1:17" s="419" customFormat="1" ht="28.5" thickTop="1">
      <c r="A120" s="539"/>
      <c r="B120" s="484" t="s">
        <v>1705</v>
      </c>
      <c r="C120" s="500"/>
      <c r="D120" s="500"/>
      <c r="E120" s="500"/>
      <c r="F120" s="500"/>
      <c r="G120" s="500"/>
      <c r="H120" s="500"/>
      <c r="I120" s="500"/>
      <c r="J120" s="500"/>
      <c r="K120" s="500"/>
      <c r="L120" s="526"/>
      <c r="M120" s="527"/>
      <c r="N120" s="931"/>
      <c r="O120" s="931"/>
      <c r="P120" s="1919"/>
      <c r="Q120" s="505"/>
    </row>
    <row r="121" spans="1:17" s="419" customFormat="1" ht="15.75" thickBot="1">
      <c r="A121" s="499"/>
      <c r="B121" s="481"/>
      <c r="C121" s="506"/>
      <c r="D121" s="482"/>
      <c r="E121" s="482"/>
      <c r="F121" s="482"/>
      <c r="G121" s="482"/>
      <c r="H121" s="482"/>
      <c r="I121" s="482"/>
      <c r="J121" s="482"/>
      <c r="K121" s="482"/>
      <c r="L121" s="482"/>
      <c r="M121" s="482"/>
      <c r="N121" s="931"/>
      <c r="O121" s="931"/>
      <c r="P121" s="1919"/>
      <c r="Q121" s="505"/>
    </row>
    <row r="122" spans="1:17" ht="15" thickTop="1">
      <c r="A122" s="545"/>
      <c r="B122" s="484" t="s">
        <v>1744</v>
      </c>
      <c r="C122" s="500"/>
      <c r="D122" s="500"/>
      <c r="E122" s="500"/>
      <c r="F122" s="529"/>
      <c r="G122" s="529"/>
      <c r="H122" s="529"/>
      <c r="I122" s="529"/>
      <c r="J122" s="529"/>
      <c r="K122" s="530"/>
      <c r="L122" s="531"/>
      <c r="M122" s="532"/>
      <c r="N122" s="929"/>
      <c r="O122" s="929"/>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8"/>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8"/>
      <c r="Q125" s="450"/>
    </row>
    <row r="126" spans="1:17" s="419" customFormat="1" ht="15" thickTop="1">
      <c r="A126" s="539"/>
      <c r="B126" s="484">
        <f>B44</f>
        <v>111</v>
      </c>
      <c r="C126" s="500"/>
      <c r="D126" s="500"/>
      <c r="E126" s="500"/>
      <c r="F126" s="500"/>
      <c r="G126" s="500"/>
      <c r="H126" s="501"/>
      <c r="I126" s="501"/>
      <c r="J126" s="501"/>
      <c r="K126" s="501"/>
      <c r="L126" s="502"/>
      <c r="M126" s="503"/>
      <c r="N126" s="931"/>
      <c r="O126" s="931"/>
      <c r="P126" s="1919"/>
      <c r="Q126" s="505"/>
    </row>
    <row r="127" spans="1:17" s="419" customFormat="1" ht="15.75" thickBot="1">
      <c r="A127" s="499"/>
      <c r="B127" s="489"/>
      <c r="C127" s="506"/>
      <c r="D127" s="482"/>
      <c r="E127" s="482"/>
      <c r="F127" s="482"/>
      <c r="G127" s="506"/>
      <c r="H127" s="508"/>
      <c r="I127" s="508"/>
      <c r="J127" s="508"/>
      <c r="K127" s="508"/>
      <c r="L127" s="508"/>
      <c r="M127" s="509"/>
      <c r="N127" s="931"/>
      <c r="O127" s="931"/>
      <c r="P127" s="1919"/>
      <c r="Q127" s="505"/>
    </row>
    <row r="128" spans="1:17" ht="15" thickTop="1">
      <c r="A128" s="545"/>
      <c r="B128" s="484">
        <f>B45</f>
        <v>111</v>
      </c>
      <c r="C128" s="500"/>
      <c r="D128" s="500"/>
      <c r="E128" s="500"/>
      <c r="F128" s="500"/>
      <c r="G128" s="529"/>
      <c r="H128" s="529"/>
      <c r="I128" s="529"/>
      <c r="J128" s="529"/>
      <c r="K128" s="530"/>
      <c r="L128" s="531"/>
      <c r="M128" s="532"/>
      <c r="N128" s="929"/>
      <c r="O128" s="929"/>
      <c r="P128" s="1918"/>
      <c r="Q128" s="450"/>
    </row>
    <row r="129" spans="1:17" ht="15.75" thickBot="1">
      <c r="A129" s="480"/>
      <c r="B129" s="489"/>
      <c r="C129" s="506"/>
      <c r="D129" s="506"/>
      <c r="E129" s="506"/>
      <c r="F129" s="506"/>
      <c r="G129" s="482"/>
      <c r="H129" s="482"/>
      <c r="I129" s="482"/>
      <c r="J129" s="482"/>
      <c r="K129" s="482"/>
      <c r="L129" s="482"/>
      <c r="M129" s="483"/>
      <c r="N129" s="930"/>
      <c r="O129" s="930"/>
      <c r="P129" s="1918"/>
      <c r="Q129" s="450"/>
    </row>
    <row r="130" spans="1:17" ht="15" thickTop="1">
      <c r="A130" s="545"/>
      <c r="B130" s="492">
        <f>B46</f>
        <v>111</v>
      </c>
      <c r="C130" s="500"/>
      <c r="D130" s="500"/>
      <c r="E130" s="500"/>
      <c r="F130" s="500"/>
      <c r="G130" s="533"/>
      <c r="H130" s="533"/>
      <c r="I130" s="533"/>
      <c r="J130" s="533"/>
      <c r="K130" s="469"/>
      <c r="L130" s="470"/>
      <c r="M130" s="536"/>
      <c r="N130" s="929"/>
      <c r="O130" s="929"/>
      <c r="P130" s="1918"/>
      <c r="Q130" s="450"/>
    </row>
    <row r="131" spans="1:17" ht="15.75" thickBot="1">
      <c r="A131" s="1924"/>
      <c r="B131" s="515"/>
      <c r="C131" s="516"/>
      <c r="D131" s="516"/>
      <c r="E131" s="516"/>
      <c r="F131" s="516"/>
      <c r="G131" s="537"/>
      <c r="H131" s="537"/>
      <c r="I131" s="537"/>
      <c r="J131" s="537"/>
      <c r="K131" s="537"/>
      <c r="L131" s="537"/>
      <c r="M131" s="538"/>
      <c r="N131" s="930"/>
      <c r="O131" s="930"/>
      <c r="P131" s="1918"/>
      <c r="Q131" s="450"/>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4" t="s">
        <v>1749</v>
      </c>
      <c r="D138" s="134" t="s">
        <v>1750</v>
      </c>
      <c r="E138" s="1933" t="s">
        <v>1751</v>
      </c>
      <c r="F138" s="1934" t="s">
        <v>1752</v>
      </c>
      <c r="G138" s="134" t="s">
        <v>1750</v>
      </c>
      <c r="H138" s="135" t="s">
        <v>1751</v>
      </c>
      <c r="I138" s="1935"/>
      <c r="J138" s="134" t="s">
        <v>1753</v>
      </c>
      <c r="K138" s="135"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68">
        <f>ROUNDUP((J139-1)/2,0)</f>
        <v>10</v>
      </c>
      <c r="K140" s="874">
        <v>100</v>
      </c>
    </row>
    <row r="141" spans="1:17" ht="15">
      <c r="B141" s="869">
        <v>4</v>
      </c>
      <c r="C141" s="870">
        <v>102</v>
      </c>
      <c r="D141" s="870"/>
      <c r="E141" s="871"/>
      <c r="F141" s="872">
        <v>101.5</v>
      </c>
      <c r="G141" s="870"/>
      <c r="H141" s="873"/>
      <c r="I141" s="1938" t="s">
        <v>1758</v>
      </c>
      <c r="J141" s="268">
        <v>1</v>
      </c>
      <c r="K141" s="875">
        <f>ROUND(100+(J141-J140)*K139*100,1)</f>
        <v>96.4</v>
      </c>
    </row>
    <row r="142" spans="1:17" ht="15">
      <c r="B142" s="869">
        <v>3</v>
      </c>
      <c r="C142" s="870">
        <v>103</v>
      </c>
      <c r="D142" s="870"/>
      <c r="E142" s="871"/>
      <c r="F142" s="872">
        <v>101</v>
      </c>
      <c r="G142" s="870"/>
      <c r="H142" s="873"/>
      <c r="I142" s="1938" t="s">
        <v>1759</v>
      </c>
      <c r="J142" s="268">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49" customFormat="1" ht="28.5" customHeight="1" thickBot="1">
      <c r="A3" s="200" t="s">
        <v>1464</v>
      </c>
      <c r="B3" s="555">
        <f>IF(C2="——",C49,ROUND(B2*10000/D3,0))</f>
        <v>0</v>
      </c>
      <c r="C3" s="351" t="s">
        <v>1768</v>
      </c>
      <c r="D3" s="350">
        <f>IF(D1="",'数据-汇总表'!E3,SUMIF('数据-汇总表'!$C19:$C33,D1,'数据-汇总表'!$E19:$E33))</f>
        <v>316967.99</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2" t="s">
        <v>1769</v>
      </c>
      <c r="B4" s="353"/>
      <c r="C4" s="3763" t="s">
        <v>1770</v>
      </c>
      <c r="D4" s="3764"/>
      <c r="E4" s="3765" t="s">
        <v>1771</v>
      </c>
      <c r="F4" s="3766"/>
      <c r="G4" s="3763" t="s">
        <v>1772</v>
      </c>
      <c r="H4" s="3764"/>
      <c r="I4" s="3763" t="s">
        <v>1773</v>
      </c>
      <c r="J4" s="3764"/>
      <c r="K4" s="556" t="s">
        <v>1774</v>
      </c>
      <c r="L4" s="2711"/>
      <c r="M4" s="2712"/>
      <c r="N4" s="2712"/>
      <c r="O4" s="2712"/>
      <c r="P4" s="3829" t="s">
        <v>1775</v>
      </c>
      <c r="Q4" s="3830"/>
      <c r="R4" s="3833" t="s">
        <v>1771</v>
      </c>
      <c r="S4" s="3834"/>
      <c r="T4" s="3833" t="s">
        <v>1772</v>
      </c>
      <c r="U4" s="3834"/>
      <c r="V4" s="3780" t="s">
        <v>1773</v>
      </c>
      <c r="W4" s="3780"/>
      <c r="X4" s="1351"/>
      <c r="Y4" s="3833" t="s">
        <v>1775</v>
      </c>
      <c r="Z4" s="3834"/>
      <c r="AA4" s="3828" t="s">
        <v>1771</v>
      </c>
      <c r="AB4" s="3780" t="s">
        <v>1772</v>
      </c>
      <c r="AC4" s="3828" t="s">
        <v>1773</v>
      </c>
    </row>
    <row r="5" spans="1:29" ht="15">
      <c r="A5" s="355"/>
      <c r="B5" s="356"/>
      <c r="C5" s="3783" t="s">
        <v>1673</v>
      </c>
      <c r="D5" s="3784"/>
      <c r="E5" s="3794" t="s">
        <v>1674</v>
      </c>
      <c r="F5" s="3795"/>
      <c r="G5" s="3783" t="s">
        <v>1675</v>
      </c>
      <c r="H5" s="3784"/>
      <c r="I5" s="3783" t="s">
        <v>1676</v>
      </c>
      <c r="J5" s="3784"/>
      <c r="K5" s="556"/>
      <c r="L5" s="2711"/>
      <c r="M5" s="2712"/>
      <c r="N5" s="2712"/>
      <c r="O5" s="2712"/>
      <c r="P5" s="3831"/>
      <c r="Q5" s="3770"/>
      <c r="R5" s="3775"/>
      <c r="S5" s="3776"/>
      <c r="T5" s="3775"/>
      <c r="U5" s="3776"/>
      <c r="V5" s="3780"/>
      <c r="W5" s="3780"/>
      <c r="X5" s="1351"/>
      <c r="Y5" s="3775"/>
      <c r="Z5" s="3776"/>
      <c r="AA5" s="3792"/>
      <c r="AB5" s="3780"/>
      <c r="AC5" s="3792"/>
    </row>
    <row r="6" spans="1:29" ht="15.75" thickBot="1">
      <c r="A6" s="357"/>
      <c r="B6" s="358"/>
      <c r="C6" s="3781" t="s">
        <v>1677</v>
      </c>
      <c r="D6" s="3782"/>
      <c r="E6" s="3789" t="s">
        <v>1677</v>
      </c>
      <c r="F6" s="3790"/>
      <c r="G6" s="3781" t="s">
        <v>1677</v>
      </c>
      <c r="H6" s="3782"/>
      <c r="I6" s="3781" t="s">
        <v>1677</v>
      </c>
      <c r="J6" s="3782"/>
      <c r="K6" s="556" t="s">
        <v>1678</v>
      </c>
      <c r="L6" s="2711"/>
      <c r="M6" s="2712"/>
      <c r="N6" s="2712"/>
      <c r="O6" s="2712"/>
      <c r="P6" s="3832"/>
      <c r="Q6" s="3772"/>
      <c r="R6" s="3775"/>
      <c r="S6" s="3776"/>
      <c r="T6" s="3777"/>
      <c r="U6" s="3778"/>
      <c r="V6" s="3780"/>
      <c r="W6" s="3780"/>
      <c r="X6" s="1351"/>
      <c r="Y6" s="3777"/>
      <c r="Z6" s="3778"/>
      <c r="AA6" s="3793"/>
      <c r="AB6" s="3780"/>
      <c r="AC6" s="3793"/>
    </row>
    <row r="7" spans="1:29" s="108" customFormat="1" ht="15.75" thickBot="1">
      <c r="A7" s="359" t="s">
        <v>1679</v>
      </c>
      <c r="B7" s="360"/>
      <c r="C7" s="361">
        <f>'数据-取费表'!B2</f>
        <v>45421</v>
      </c>
      <c r="D7" s="362">
        <v>100</v>
      </c>
      <c r="E7" s="363"/>
      <c r="F7" s="364">
        <f>SUMIF(58:58,YEAR(E7)&amp;"-"&amp;MONTH(E7),59:59)</f>
        <v>0</v>
      </c>
      <c r="G7" s="363"/>
      <c r="H7" s="362">
        <f>SUMIF(58:58,YEAR(G7)&amp;"-"&amp;MONTH(G7),59:59)</f>
        <v>0</v>
      </c>
      <c r="I7" s="363"/>
      <c r="J7" s="362">
        <f>SUMIF(58:58,YEAR(I7)&amp;"-"&amp;MONTH(I7),59:59)</f>
        <v>0</v>
      </c>
      <c r="K7" s="557"/>
      <c r="L7" s="2713"/>
      <c r="M7" s="2714"/>
      <c r="N7" s="2714"/>
      <c r="O7" s="2714"/>
      <c r="P7" s="3787" t="s">
        <v>1680</v>
      </c>
      <c r="Q7" s="3788"/>
      <c r="R7" s="697" t="s">
        <v>14</v>
      </c>
      <c r="S7" s="698">
        <f t="shared" ref="S7:S15" si="0">F7</f>
        <v>0</v>
      </c>
      <c r="T7" s="697" t="s">
        <v>14</v>
      </c>
      <c r="U7" s="698">
        <f t="shared" ref="U7:U15" si="1">H7</f>
        <v>0</v>
      </c>
      <c r="V7" s="697" t="s">
        <v>14</v>
      </c>
      <c r="W7" s="698">
        <f t="shared" ref="W7:W15" si="2">J7</f>
        <v>0</v>
      </c>
      <c r="X7" s="699"/>
      <c r="Y7" s="3787" t="s">
        <v>1680</v>
      </c>
      <c r="Z7" s="3786"/>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13"/>
      <c r="M8" s="2714"/>
      <c r="N8" s="2714"/>
      <c r="O8" s="2714"/>
      <c r="P8" s="3787" t="s">
        <v>1683</v>
      </c>
      <c r="Q8" s="3786"/>
      <c r="R8" s="697" t="s">
        <v>14</v>
      </c>
      <c r="S8" s="698">
        <f t="shared" si="0"/>
        <v>100</v>
      </c>
      <c r="T8" s="697" t="s">
        <v>14</v>
      </c>
      <c r="U8" s="698">
        <f t="shared" si="1"/>
        <v>100</v>
      </c>
      <c r="V8" s="697" t="s">
        <v>14</v>
      </c>
      <c r="W8" s="698">
        <f t="shared" si="2"/>
        <v>100</v>
      </c>
      <c r="X8" s="699"/>
      <c r="Y8" s="3787" t="s">
        <v>1683</v>
      </c>
      <c r="Z8" s="3786"/>
      <c r="AA8" s="700">
        <f t="shared" ref="AA8:AA46" si="3">D8/F8</f>
        <v>1</v>
      </c>
      <c r="AB8" s="700">
        <f t="shared" ref="AB8:AB46" si="4">D8/H8</f>
        <v>1</v>
      </c>
      <c r="AC8" s="700">
        <f t="shared" ref="AC8:AC46" si="5">D8/J8</f>
        <v>1</v>
      </c>
    </row>
    <row r="9" spans="1:29" s="108" customFormat="1">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13"/>
      <c r="M9" s="2714"/>
      <c r="N9" s="2714"/>
      <c r="O9" s="2714"/>
      <c r="P9" s="3745" t="s">
        <v>1686</v>
      </c>
      <c r="Q9" s="1339" t="str">
        <f t="shared" ref="Q9:Q15" si="6">B9</f>
        <v>用途</v>
      </c>
      <c r="R9" s="697" t="s">
        <v>14</v>
      </c>
      <c r="S9" s="698">
        <f t="shared" si="0"/>
        <v>100</v>
      </c>
      <c r="T9" s="697" t="s">
        <v>14</v>
      </c>
      <c r="U9" s="698">
        <f t="shared" si="1"/>
        <v>100</v>
      </c>
      <c r="V9" s="697" t="s">
        <v>14</v>
      </c>
      <c r="W9" s="698">
        <f t="shared" si="2"/>
        <v>100</v>
      </c>
      <c r="X9" s="699"/>
      <c r="Y9" s="3652" t="s">
        <v>1687</v>
      </c>
      <c r="Z9" s="52" t="str">
        <f t="shared" ref="Z9:Z15" si="7">Q9</f>
        <v>用途</v>
      </c>
      <c r="AA9" s="700">
        <f t="shared" si="3"/>
        <v>1</v>
      </c>
      <c r="AB9" s="700">
        <f t="shared" si="4"/>
        <v>1</v>
      </c>
      <c r="AC9" s="700">
        <f t="shared" si="5"/>
        <v>1</v>
      </c>
    </row>
    <row r="10" spans="1:29" s="375" customFormat="1" ht="27">
      <c r="A10" s="371"/>
      <c r="B10" s="372" t="s">
        <v>1688</v>
      </c>
      <c r="C10" s="3430"/>
      <c r="D10" s="124">
        <v>100</v>
      </c>
      <c r="E10" s="3431"/>
      <c r="F10" s="373">
        <f>SUMIF(65:65,E10,66:66)-SUMIF(65:65,C10,66:66)+100</f>
        <v>100</v>
      </c>
      <c r="G10" s="3430"/>
      <c r="H10" s="124">
        <f>SUMIF(65:65,G10,66:66)-SUMIF(65:65,C10,66:66)+100</f>
        <v>100</v>
      </c>
      <c r="I10" s="3430"/>
      <c r="J10" s="124">
        <f>SUMIF(65:65,I10,66:66)-SUMIF(65:65,C10,66:66)+100</f>
        <v>100</v>
      </c>
      <c r="K10" s="557"/>
      <c r="L10" s="2715"/>
      <c r="M10" s="2716"/>
      <c r="N10" s="2716"/>
      <c r="O10" s="2716"/>
      <c r="P10" s="3745"/>
      <c r="Q10" s="1339" t="str">
        <f t="shared" si="6"/>
        <v>土地使用年限（年）</v>
      </c>
      <c r="R10" s="697" t="s">
        <v>14</v>
      </c>
      <c r="S10" s="698">
        <f t="shared" si="0"/>
        <v>100</v>
      </c>
      <c r="T10" s="697" t="s">
        <v>14</v>
      </c>
      <c r="U10" s="698">
        <f t="shared" si="1"/>
        <v>100</v>
      </c>
      <c r="V10" s="697" t="s">
        <v>14</v>
      </c>
      <c r="W10" s="698">
        <f t="shared" si="2"/>
        <v>100</v>
      </c>
      <c r="X10" s="699"/>
      <c r="Y10" s="3652"/>
      <c r="Z10" s="52" t="str">
        <f t="shared" si="7"/>
        <v>土地使用年限（年）</v>
      </c>
      <c r="AA10" s="700">
        <f t="shared" si="3"/>
        <v>1</v>
      </c>
      <c r="AB10" s="700">
        <f t="shared" si="4"/>
        <v>1</v>
      </c>
      <c r="AC10" s="700">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7"/>
      <c r="M11" s="2712"/>
      <c r="N11" s="2712"/>
      <c r="O11" s="2712"/>
      <c r="P11" s="3745"/>
      <c r="Q11" s="1339" t="str">
        <f t="shared" si="6"/>
        <v>容积率</v>
      </c>
      <c r="R11" s="697" t="s">
        <v>14</v>
      </c>
      <c r="S11" s="698" t="e">
        <f t="shared" si="0"/>
        <v>#N/A</v>
      </c>
      <c r="T11" s="697" t="s">
        <v>14</v>
      </c>
      <c r="U11" s="698" t="e">
        <f t="shared" si="1"/>
        <v>#N/A</v>
      </c>
      <c r="V11" s="697" t="s">
        <v>14</v>
      </c>
      <c r="W11" s="698" t="e">
        <f t="shared" si="2"/>
        <v>#N/A</v>
      </c>
      <c r="X11" s="699"/>
      <c r="Y11" s="3652"/>
      <c r="Z11" s="52" t="str">
        <f t="shared" si="7"/>
        <v>容积率</v>
      </c>
      <c r="AA11" s="700" t="e">
        <f t="shared" si="3"/>
        <v>#N/A</v>
      </c>
      <c r="AB11" s="700" t="e">
        <f t="shared" si="4"/>
        <v>#N/A</v>
      </c>
      <c r="AC11" s="700" t="e">
        <f t="shared" si="5"/>
        <v>#N/A</v>
      </c>
    </row>
    <row r="12" spans="1:29" s="108" customFormat="1" ht="15">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13"/>
      <c r="M12" s="2714"/>
      <c r="N12" s="2714"/>
      <c r="O12" s="2714"/>
      <c r="P12" s="3745"/>
      <c r="Q12" s="1339">
        <f t="shared" si="6"/>
        <v>111</v>
      </c>
      <c r="R12" s="697" t="s">
        <v>14</v>
      </c>
      <c r="S12" s="698">
        <f t="shared" si="0"/>
        <v>100</v>
      </c>
      <c r="T12" s="697" t="s">
        <v>14</v>
      </c>
      <c r="U12" s="698">
        <f t="shared" si="1"/>
        <v>100</v>
      </c>
      <c r="V12" s="697" t="s">
        <v>14</v>
      </c>
      <c r="W12" s="698">
        <f t="shared" si="2"/>
        <v>100</v>
      </c>
      <c r="X12" s="699"/>
      <c r="Y12" s="3652"/>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8"/>
      <c r="M13" s="2712"/>
      <c r="N13" s="2712"/>
      <c r="O13" s="2712"/>
      <c r="P13" s="3745"/>
      <c r="Q13" s="1339">
        <f t="shared" si="6"/>
        <v>111</v>
      </c>
      <c r="R13" s="697" t="s">
        <v>14</v>
      </c>
      <c r="S13" s="698">
        <f t="shared" si="0"/>
        <v>100</v>
      </c>
      <c r="T13" s="697" t="s">
        <v>14</v>
      </c>
      <c r="U13" s="698">
        <f t="shared" si="1"/>
        <v>100</v>
      </c>
      <c r="V13" s="697" t="s">
        <v>14</v>
      </c>
      <c r="W13" s="698">
        <f t="shared" si="2"/>
        <v>100</v>
      </c>
      <c r="X13" s="699"/>
      <c r="Y13" s="3652"/>
      <c r="Z13" s="52">
        <f t="shared" si="7"/>
        <v>111</v>
      </c>
      <c r="AA13" s="700">
        <f t="shared" si="3"/>
        <v>1</v>
      </c>
      <c r="AB13" s="700">
        <f t="shared" si="4"/>
        <v>1</v>
      </c>
      <c r="AC13" s="700">
        <f t="shared" si="5"/>
        <v>1</v>
      </c>
    </row>
    <row r="14" spans="1:29" ht="15.75"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8"/>
      <c r="M14" s="2712"/>
      <c r="N14" s="2712"/>
      <c r="O14" s="2712"/>
      <c r="P14" s="3745"/>
      <c r="Q14" s="1339">
        <f t="shared" si="6"/>
        <v>111</v>
      </c>
      <c r="R14" s="697" t="s">
        <v>14</v>
      </c>
      <c r="S14" s="698">
        <f t="shared" si="0"/>
        <v>100</v>
      </c>
      <c r="T14" s="697" t="s">
        <v>14</v>
      </c>
      <c r="U14" s="698">
        <f t="shared" si="1"/>
        <v>100</v>
      </c>
      <c r="V14" s="697" t="s">
        <v>14</v>
      </c>
      <c r="W14" s="698">
        <f t="shared" si="2"/>
        <v>100</v>
      </c>
      <c r="X14" s="699"/>
      <c r="Y14" s="3652"/>
      <c r="Z14" s="52">
        <f t="shared" si="7"/>
        <v>111</v>
      </c>
      <c r="AA14" s="700">
        <f t="shared" si="3"/>
        <v>1</v>
      </c>
      <c r="AB14" s="700">
        <f t="shared" si="4"/>
        <v>1</v>
      </c>
      <c r="AC14" s="700">
        <f t="shared" si="5"/>
        <v>1</v>
      </c>
    </row>
    <row r="15" spans="1:29" ht="71.25">
      <c r="A15" s="388" t="s">
        <v>1690</v>
      </c>
      <c r="B15" s="61" t="s">
        <v>1777</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8"/>
      <c r="M15" s="2712"/>
      <c r="N15" s="2712"/>
      <c r="O15" s="2712"/>
      <c r="P15" s="3751" t="s">
        <v>1691</v>
      </c>
      <c r="Q15" s="1348" t="str">
        <f t="shared" si="6"/>
        <v>商业繁华度</v>
      </c>
      <c r="R15" s="701" t="s">
        <v>14</v>
      </c>
      <c r="S15" s="702">
        <f t="shared" si="0"/>
        <v>100</v>
      </c>
      <c r="T15" s="701" t="s">
        <v>14</v>
      </c>
      <c r="U15" s="702">
        <f t="shared" si="1"/>
        <v>100</v>
      </c>
      <c r="V15" s="701" t="s">
        <v>14</v>
      </c>
      <c r="W15" s="702">
        <f t="shared" si="2"/>
        <v>100</v>
      </c>
      <c r="X15" s="1351"/>
      <c r="Y15" s="3753"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8"/>
      <c r="M16" s="2712"/>
      <c r="N16" s="2712"/>
      <c r="O16" s="2712"/>
      <c r="P16" s="3752"/>
      <c r="Q16" s="1348"/>
      <c r="R16" s="701"/>
      <c r="S16" s="702"/>
      <c r="T16" s="701"/>
      <c r="U16" s="702"/>
      <c r="V16" s="701"/>
      <c r="W16" s="702"/>
      <c r="X16" s="1351"/>
      <c r="Y16" s="3754"/>
      <c r="Z16" s="1352"/>
      <c r="AA16" s="1349">
        <v>1</v>
      </c>
      <c r="AB16" s="1349">
        <v>1</v>
      </c>
      <c r="AC16" s="1349">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8"/>
      <c r="M17" s="2712"/>
      <c r="N17" s="2712"/>
      <c r="O17" s="2712"/>
      <c r="P17" s="3752"/>
      <c r="Q17" s="1348" t="str">
        <f>B17</f>
        <v>交通便捷度</v>
      </c>
      <c r="R17" s="701" t="s">
        <v>14</v>
      </c>
      <c r="S17" s="702">
        <f>F17</f>
        <v>100</v>
      </c>
      <c r="T17" s="701" t="s">
        <v>14</v>
      </c>
      <c r="U17" s="702">
        <f>H17</f>
        <v>100</v>
      </c>
      <c r="V17" s="701" t="s">
        <v>14</v>
      </c>
      <c r="W17" s="702">
        <f>J17</f>
        <v>100</v>
      </c>
      <c r="X17" s="1351"/>
      <c r="Y17" s="3754"/>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2718"/>
      <c r="M18" s="2712"/>
      <c r="N18" s="2712"/>
      <c r="O18" s="2712"/>
      <c r="P18" s="3752"/>
      <c r="Q18" s="1348"/>
      <c r="R18" s="701"/>
      <c r="S18" s="702"/>
      <c r="T18" s="701"/>
      <c r="U18" s="702"/>
      <c r="V18" s="701"/>
      <c r="W18" s="702"/>
      <c r="X18" s="1351"/>
      <c r="Y18" s="3754"/>
      <c r="Z18" s="1352"/>
      <c r="AA18" s="1349">
        <v>1</v>
      </c>
      <c r="AB18" s="1349">
        <v>1</v>
      </c>
      <c r="AC18" s="1349">
        <v>1</v>
      </c>
    </row>
    <row r="19" spans="1:29" ht="42.75">
      <c r="A19" s="376"/>
      <c r="B19" s="399" t="s">
        <v>1778</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8"/>
      <c r="M19" s="2712"/>
      <c r="N19" s="2712"/>
      <c r="O19" s="2712"/>
      <c r="P19" s="3752"/>
      <c r="Q19" s="1348" t="str">
        <f>B19</f>
        <v>公共配套设施</v>
      </c>
      <c r="R19" s="701" t="s">
        <v>14</v>
      </c>
      <c r="S19" s="702">
        <f>F19</f>
        <v>100</v>
      </c>
      <c r="T19" s="701" t="s">
        <v>14</v>
      </c>
      <c r="U19" s="702">
        <f>H19</f>
        <v>100</v>
      </c>
      <c r="V19" s="701" t="s">
        <v>14</v>
      </c>
      <c r="W19" s="702">
        <f>J19</f>
        <v>100</v>
      </c>
      <c r="X19" s="1351"/>
      <c r="Y19" s="3754"/>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2718"/>
      <c r="M20" s="2712"/>
      <c r="N20" s="2712"/>
      <c r="O20" s="2712"/>
      <c r="P20" s="3752"/>
      <c r="Q20" s="1348"/>
      <c r="R20" s="701"/>
      <c r="S20" s="702"/>
      <c r="T20" s="701"/>
      <c r="U20" s="702"/>
      <c r="V20" s="701"/>
      <c r="W20" s="702"/>
      <c r="X20" s="1351"/>
      <c r="Y20" s="3754"/>
      <c r="Z20" s="1352"/>
      <c r="AA20" s="1349">
        <v>1</v>
      </c>
      <c r="AB20" s="1349">
        <v>1</v>
      </c>
      <c r="AC20" s="1349">
        <v>1</v>
      </c>
    </row>
    <row r="21" spans="1:29" ht="28.5">
      <c r="A21" s="376"/>
      <c r="B21" s="1127" t="s">
        <v>1779</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8"/>
      <c r="M21" s="2712"/>
      <c r="N21" s="2712"/>
      <c r="O21" s="2712"/>
      <c r="P21" s="3752"/>
      <c r="Q21" s="1348" t="str">
        <f>B21</f>
        <v>基础设施水平</v>
      </c>
      <c r="R21" s="701" t="s">
        <v>14</v>
      </c>
      <c r="S21" s="702">
        <f>F21</f>
        <v>100</v>
      </c>
      <c r="T21" s="701" t="s">
        <v>14</v>
      </c>
      <c r="U21" s="702">
        <f>H21</f>
        <v>100</v>
      </c>
      <c r="V21" s="701" t="s">
        <v>14</v>
      </c>
      <c r="W21" s="702">
        <f>J21</f>
        <v>100</v>
      </c>
      <c r="X21" s="1351"/>
      <c r="Y21" s="3754"/>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2718"/>
      <c r="M22" s="2712"/>
      <c r="N22" s="2712"/>
      <c r="O22" s="2712"/>
      <c r="P22" s="3752"/>
      <c r="Q22" s="1348"/>
      <c r="R22" s="701"/>
      <c r="S22" s="702"/>
      <c r="T22" s="701"/>
      <c r="U22" s="702"/>
      <c r="V22" s="701"/>
      <c r="W22" s="702"/>
      <c r="X22" s="1351"/>
      <c r="Y22" s="3754"/>
      <c r="Z22" s="1352"/>
      <c r="AA22" s="1349">
        <v>1</v>
      </c>
      <c r="AB22" s="1349">
        <v>1</v>
      </c>
      <c r="AC22" s="1349">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8"/>
      <c r="M23" s="2712"/>
      <c r="N23" s="2712"/>
      <c r="O23" s="2712"/>
      <c r="P23" s="3752"/>
      <c r="Q23" s="1348" t="str">
        <f>B23</f>
        <v>自然及人文环境</v>
      </c>
      <c r="R23" s="701" t="s">
        <v>14</v>
      </c>
      <c r="S23" s="702">
        <f>F23</f>
        <v>100</v>
      </c>
      <c r="T23" s="701" t="s">
        <v>14</v>
      </c>
      <c r="U23" s="702">
        <f>H23</f>
        <v>100</v>
      </c>
      <c r="V23" s="701" t="s">
        <v>14</v>
      </c>
      <c r="W23" s="702">
        <f>J23</f>
        <v>100</v>
      </c>
      <c r="X23" s="1351"/>
      <c r="Y23" s="3754"/>
      <c r="Z23" s="1352" t="str">
        <f>Q23</f>
        <v>自然及人文环境</v>
      </c>
      <c r="AA23" s="1349">
        <f t="shared" si="3"/>
        <v>1</v>
      </c>
      <c r="AB23" s="1349">
        <f t="shared" si="4"/>
        <v>1</v>
      </c>
      <c r="AC23" s="1349">
        <f t="shared" si="5"/>
        <v>1</v>
      </c>
    </row>
    <row r="24" spans="1:29" ht="15">
      <c r="A24" s="376"/>
      <c r="B24" s="404"/>
      <c r="C24" s="395"/>
      <c r="D24" s="396"/>
      <c r="E24" s="1894"/>
      <c r="F24" s="397"/>
      <c r="G24" s="1893"/>
      <c r="H24" s="396"/>
      <c r="I24" s="1894"/>
      <c r="J24" s="396"/>
      <c r="K24" s="561"/>
      <c r="L24" s="2718"/>
      <c r="M24" s="2712"/>
      <c r="N24" s="2712"/>
      <c r="O24" s="2712"/>
      <c r="P24" s="3752"/>
      <c r="Q24" s="1348"/>
      <c r="R24" s="701"/>
      <c r="S24" s="702"/>
      <c r="T24" s="701"/>
      <c r="U24" s="702"/>
      <c r="V24" s="701"/>
      <c r="W24" s="702"/>
      <c r="X24" s="1351"/>
      <c r="Y24" s="3754"/>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8"/>
      <c r="M25" s="2712"/>
      <c r="N25" s="2712"/>
      <c r="O25" s="2712"/>
      <c r="P25" s="3752"/>
      <c r="Q25" s="1348" t="str">
        <f t="shared" ref="Q25:Q46" si="11">B25</f>
        <v>临街状况</v>
      </c>
      <c r="R25" s="701" t="s">
        <v>14</v>
      </c>
      <c r="S25" s="702">
        <f>F25</f>
        <v>100</v>
      </c>
      <c r="T25" s="701" t="s">
        <v>14</v>
      </c>
      <c r="U25" s="702">
        <f>H25</f>
        <v>100</v>
      </c>
      <c r="V25" s="701" t="s">
        <v>14</v>
      </c>
      <c r="W25" s="702">
        <f>J25</f>
        <v>100</v>
      </c>
      <c r="X25" s="1351"/>
      <c r="Y25" s="3754"/>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8"/>
      <c r="M26" s="2712"/>
      <c r="N26" s="2712"/>
      <c r="O26" s="2712"/>
      <c r="P26" s="3752"/>
      <c r="Q26" s="1348" t="str">
        <f t="shared" si="11"/>
        <v>平面位置/可视性</v>
      </c>
      <c r="R26" s="701" t="s">
        <v>14</v>
      </c>
      <c r="S26" s="702">
        <f>F26</f>
        <v>100</v>
      </c>
      <c r="T26" s="701" t="s">
        <v>14</v>
      </c>
      <c r="U26" s="702">
        <f>H26</f>
        <v>100</v>
      </c>
      <c r="V26" s="701" t="s">
        <v>14</v>
      </c>
      <c r="W26" s="702">
        <f>J26</f>
        <v>100</v>
      </c>
      <c r="X26" s="1351"/>
      <c r="Y26" s="3754"/>
      <c r="Z26" s="1352" t="str">
        <f>Q26</f>
        <v>平面位置/可视性</v>
      </c>
      <c r="AA26" s="1349">
        <f t="shared" si="3"/>
        <v>1</v>
      </c>
      <c r="AB26" s="1349">
        <f t="shared" si="4"/>
        <v>1</v>
      </c>
      <c r="AC26" s="1349">
        <f t="shared" si="5"/>
        <v>1</v>
      </c>
    </row>
    <row r="27" spans="1:29" s="108" customFormat="1" ht="15">
      <c r="A27" s="379"/>
      <c r="B27" s="399" t="s">
        <v>1782</v>
      </c>
      <c r="C27" s="1952"/>
      <c r="D27" s="410">
        <v>100</v>
      </c>
      <c r="E27" s="1952"/>
      <c r="F27" s="412">
        <f>SUMIF(90:90,E27,91:91)-SUMIF(90:90,C27,91:91)+100</f>
        <v>100</v>
      </c>
      <c r="G27" s="1952"/>
      <c r="H27" s="410">
        <f>SUMIF(90:90,G27,91:91)-SUMIF(90:90,C27,91:91)+100</f>
        <v>100</v>
      </c>
      <c r="I27" s="1952"/>
      <c r="J27" s="410">
        <f>SUMIF(90:90,I27,91:91)-SUMIF(90:90,C27,91:91)+100</f>
        <v>100</v>
      </c>
      <c r="K27" s="558"/>
      <c r="L27" s="2713"/>
      <c r="M27" s="2714"/>
      <c r="N27" s="2714"/>
      <c r="O27" s="2714"/>
      <c r="P27" s="3752"/>
      <c r="Q27" s="1339" t="str">
        <f t="shared" si="11"/>
        <v>人流量</v>
      </c>
      <c r="R27" s="697" t="s">
        <v>14</v>
      </c>
      <c r="S27" s="698">
        <f>F27</f>
        <v>100</v>
      </c>
      <c r="T27" s="697" t="s">
        <v>14</v>
      </c>
      <c r="U27" s="698">
        <f>H27</f>
        <v>100</v>
      </c>
      <c r="V27" s="697" t="s">
        <v>14</v>
      </c>
      <c r="W27" s="698">
        <f>J27</f>
        <v>100</v>
      </c>
      <c r="X27" s="699"/>
      <c r="Y27" s="3754"/>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8"/>
      <c r="M28" s="2712"/>
      <c r="N28" s="2712"/>
      <c r="O28" s="2712"/>
      <c r="P28" s="3752"/>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54"/>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8"/>
      <c r="M29" s="2712"/>
      <c r="N29" s="2712"/>
      <c r="O29" s="2712"/>
      <c r="P29" s="3752"/>
      <c r="Q29" s="1348">
        <f t="shared" si="11"/>
        <v>111</v>
      </c>
      <c r="R29" s="701" t="s">
        <v>14</v>
      </c>
      <c r="S29" s="702">
        <f t="shared" si="12"/>
        <v>100</v>
      </c>
      <c r="T29" s="701" t="s">
        <v>14</v>
      </c>
      <c r="U29" s="702">
        <f t="shared" si="13"/>
        <v>100</v>
      </c>
      <c r="V29" s="701" t="s">
        <v>14</v>
      </c>
      <c r="W29" s="702">
        <f t="shared" si="14"/>
        <v>100</v>
      </c>
      <c r="X29" s="1351"/>
      <c r="Y29" s="3754"/>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8"/>
      <c r="M30" s="2712"/>
      <c r="N30" s="2712"/>
      <c r="O30" s="2712"/>
      <c r="P30" s="3752"/>
      <c r="Q30" s="1348">
        <f t="shared" si="11"/>
        <v>111</v>
      </c>
      <c r="R30" s="701" t="s">
        <v>14</v>
      </c>
      <c r="S30" s="702">
        <f t="shared" si="12"/>
        <v>100</v>
      </c>
      <c r="T30" s="701" t="s">
        <v>14</v>
      </c>
      <c r="U30" s="702">
        <f t="shared" si="13"/>
        <v>100</v>
      </c>
      <c r="V30" s="701" t="s">
        <v>14</v>
      </c>
      <c r="W30" s="702">
        <f t="shared" si="14"/>
        <v>100</v>
      </c>
      <c r="X30" s="1351"/>
      <c r="Y30" s="3754"/>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8"/>
      <c r="M31" s="2712"/>
      <c r="N31" s="2712"/>
      <c r="O31" s="2712"/>
      <c r="P31" s="3752"/>
      <c r="Q31" s="1348">
        <f t="shared" si="11"/>
        <v>111</v>
      </c>
      <c r="R31" s="701" t="s">
        <v>14</v>
      </c>
      <c r="S31" s="702">
        <f t="shared" si="12"/>
        <v>100</v>
      </c>
      <c r="T31" s="701" t="s">
        <v>14</v>
      </c>
      <c r="U31" s="702">
        <f t="shared" si="13"/>
        <v>100</v>
      </c>
      <c r="V31" s="701" t="s">
        <v>14</v>
      </c>
      <c r="W31" s="702">
        <f t="shared" si="14"/>
        <v>100</v>
      </c>
      <c r="X31" s="1351"/>
      <c r="Y31" s="3754"/>
      <c r="Z31" s="1352">
        <f t="shared" si="15"/>
        <v>111</v>
      </c>
      <c r="AA31" s="1349">
        <f t="shared" si="3"/>
        <v>1</v>
      </c>
      <c r="AB31" s="1349">
        <f t="shared" si="4"/>
        <v>1</v>
      </c>
      <c r="AC31" s="1349">
        <f t="shared" si="5"/>
        <v>1</v>
      </c>
    </row>
    <row r="32" spans="1:29" ht="15">
      <c r="A32" s="388" t="s">
        <v>1694</v>
      </c>
      <c r="B32" s="63" t="s">
        <v>1784</v>
      </c>
      <c r="C32" s="1906"/>
      <c r="D32" s="415">
        <v>100</v>
      </c>
      <c r="E32" s="1906"/>
      <c r="F32" s="409">
        <f>SUMIF(100:100,E32,101:101)-SUMIF(100:100,C32,101:101)+100</f>
        <v>100</v>
      </c>
      <c r="G32" s="1906"/>
      <c r="H32" s="383">
        <f>SUMIF(100:100,G32,101:101)-SUMIF(100:100,C32,101:101)+100</f>
        <v>100</v>
      </c>
      <c r="I32" s="1906"/>
      <c r="J32" s="415">
        <f>SUMIF(100:100,I32,101:101)-SUMIF(100:100,C32,101:101)+100</f>
        <v>100</v>
      </c>
      <c r="K32" s="558"/>
      <c r="L32" s="2718"/>
      <c r="M32" s="2712"/>
      <c r="N32" s="2712"/>
      <c r="O32" s="2712"/>
      <c r="P32" s="3755" t="s">
        <v>1696</v>
      </c>
      <c r="Q32" s="1348" t="str">
        <f t="shared" si="11"/>
        <v>商业类型</v>
      </c>
      <c r="R32" s="701" t="s">
        <v>14</v>
      </c>
      <c r="S32" s="702">
        <f t="shared" si="12"/>
        <v>100</v>
      </c>
      <c r="T32" s="701" t="s">
        <v>14</v>
      </c>
      <c r="U32" s="702">
        <f t="shared" si="13"/>
        <v>100</v>
      </c>
      <c r="V32" s="701" t="s">
        <v>14</v>
      </c>
      <c r="W32" s="702">
        <f t="shared" si="14"/>
        <v>100</v>
      </c>
      <c r="X32" s="1351"/>
      <c r="Y32" s="3758" t="s">
        <v>1696</v>
      </c>
      <c r="Z32" s="1352" t="str">
        <f t="shared" si="15"/>
        <v>商业类型</v>
      </c>
      <c r="AA32" s="1349">
        <f t="shared" si="3"/>
        <v>1</v>
      </c>
      <c r="AB32" s="1349">
        <f t="shared" si="4"/>
        <v>1</v>
      </c>
      <c r="AC32" s="1349">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7"/>
      <c r="M33" s="2719"/>
      <c r="N33" s="2719"/>
      <c r="O33" s="2719"/>
      <c r="P33" s="3756"/>
      <c r="Q33" s="703" t="str">
        <f t="shared" si="11"/>
        <v>项目建筑规模</v>
      </c>
      <c r="R33" s="704" t="s">
        <v>14</v>
      </c>
      <c r="S33" s="705" t="e">
        <f t="shared" si="12"/>
        <v>#N/A</v>
      </c>
      <c r="T33" s="704" t="s">
        <v>14</v>
      </c>
      <c r="U33" s="705" t="e">
        <f t="shared" si="13"/>
        <v>#N/A</v>
      </c>
      <c r="V33" s="704" t="s">
        <v>14</v>
      </c>
      <c r="W33" s="705" t="e">
        <f t="shared" si="14"/>
        <v>#N/A</v>
      </c>
      <c r="X33" s="706"/>
      <c r="Y33" s="3758"/>
      <c r="Z33" s="707" t="str">
        <f t="shared" si="15"/>
        <v>项目建筑规模</v>
      </c>
      <c r="AA33" s="1349" t="e">
        <f t="shared" si="3"/>
        <v>#N/A</v>
      </c>
      <c r="AB33" s="1349" t="e">
        <f t="shared" si="4"/>
        <v>#N/A</v>
      </c>
      <c r="AC33" s="1349" t="e">
        <f t="shared" si="5"/>
        <v>#N/A</v>
      </c>
    </row>
    <row r="34" spans="1:29" ht="15">
      <c r="A34" s="420"/>
      <c r="B34" s="372" t="s">
        <v>1698</v>
      </c>
      <c r="C34" s="1908"/>
      <c r="D34" s="383">
        <v>100</v>
      </c>
      <c r="E34" s="1908"/>
      <c r="F34" s="409">
        <f>SUMIF(105:105,E34,106:106)-SUMIF(105:105,C34,106:106)+100</f>
        <v>100</v>
      </c>
      <c r="G34" s="1908"/>
      <c r="H34" s="383">
        <f>SUMIF(105:105,G34,106:106)-SUMIF(105:105,C34,106:106)+100</f>
        <v>100</v>
      </c>
      <c r="I34" s="1908"/>
      <c r="J34" s="383">
        <f>SUMIF(105:105,I34,106:106)-SUMIF(105:105,C34,106:106)+100</f>
        <v>100</v>
      </c>
      <c r="K34" s="558"/>
      <c r="L34" s="2718"/>
      <c r="M34" s="2712"/>
      <c r="N34" s="2712"/>
      <c r="O34" s="2712"/>
      <c r="P34" s="3756"/>
      <c r="Q34" s="1348" t="str">
        <f t="shared" si="11"/>
        <v>建筑结构</v>
      </c>
      <c r="R34" s="701" t="s">
        <v>14</v>
      </c>
      <c r="S34" s="702">
        <f t="shared" si="12"/>
        <v>100</v>
      </c>
      <c r="T34" s="701" t="s">
        <v>14</v>
      </c>
      <c r="U34" s="702">
        <f t="shared" si="13"/>
        <v>100</v>
      </c>
      <c r="V34" s="701" t="s">
        <v>14</v>
      </c>
      <c r="W34" s="702">
        <f t="shared" si="14"/>
        <v>100</v>
      </c>
      <c r="X34" s="1351"/>
      <c r="Y34" s="3758"/>
      <c r="Z34" s="1352" t="str">
        <f t="shared" si="15"/>
        <v>建筑结构</v>
      </c>
      <c r="AA34" s="1349">
        <f t="shared" si="3"/>
        <v>1</v>
      </c>
      <c r="AB34" s="1349">
        <f t="shared" si="4"/>
        <v>1</v>
      </c>
      <c r="AC34" s="1349">
        <f t="shared" si="5"/>
        <v>1</v>
      </c>
    </row>
    <row r="35" spans="1:29" ht="15">
      <c r="A35" s="420"/>
      <c r="B35" s="372" t="s">
        <v>1785</v>
      </c>
      <c r="C35" s="1902"/>
      <c r="D35" s="383">
        <v>100</v>
      </c>
      <c r="E35" s="1902"/>
      <c r="F35" s="409">
        <f>SUMIF(107:107,E35,108:108)-SUMIF(107:107,C35,108:108)+100</f>
        <v>100</v>
      </c>
      <c r="G35" s="1902"/>
      <c r="H35" s="383">
        <f>SUMIF(107:107,G35,108:108)-SUMIF(107:107,C35,108:108)+100</f>
        <v>100</v>
      </c>
      <c r="I35" s="1902"/>
      <c r="J35" s="383">
        <f>SUMIF(107:107,I35,108:108)-SUMIF(107:107,C35,108:108)+100</f>
        <v>100</v>
      </c>
      <c r="K35" s="558"/>
      <c r="L35" s="2718"/>
      <c r="M35" s="2712"/>
      <c r="N35" s="2712"/>
      <c r="O35" s="2712"/>
      <c r="P35" s="3756"/>
      <c r="Q35" s="1348" t="str">
        <f t="shared" si="11"/>
        <v>公共部分装修</v>
      </c>
      <c r="R35" s="701" t="s">
        <v>14</v>
      </c>
      <c r="S35" s="702">
        <f t="shared" si="12"/>
        <v>100</v>
      </c>
      <c r="T35" s="701" t="s">
        <v>14</v>
      </c>
      <c r="U35" s="702">
        <f t="shared" si="13"/>
        <v>100</v>
      </c>
      <c r="V35" s="701" t="s">
        <v>14</v>
      </c>
      <c r="W35" s="702">
        <f t="shared" si="14"/>
        <v>100</v>
      </c>
      <c r="X35" s="1351"/>
      <c r="Y35" s="3758"/>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8"/>
      <c r="M36" s="2712"/>
      <c r="N36" s="2712"/>
      <c r="O36" s="2712"/>
      <c r="P36" s="3756"/>
      <c r="Q36" s="1348" t="str">
        <f t="shared" si="11"/>
        <v>成新度</v>
      </c>
      <c r="R36" s="701" t="s">
        <v>14</v>
      </c>
      <c r="S36" s="702" t="e">
        <f t="shared" si="12"/>
        <v>#N/A</v>
      </c>
      <c r="T36" s="701" t="s">
        <v>14</v>
      </c>
      <c r="U36" s="702" t="e">
        <f t="shared" si="13"/>
        <v>#N/A</v>
      </c>
      <c r="V36" s="701" t="s">
        <v>14</v>
      </c>
      <c r="W36" s="702" t="e">
        <f t="shared" si="14"/>
        <v>#N/A</v>
      </c>
      <c r="X36" s="1351"/>
      <c r="Y36" s="3758"/>
      <c r="Z36" s="1352" t="str">
        <f t="shared" si="15"/>
        <v>成新度</v>
      </c>
      <c r="AA36" s="1349" t="e">
        <f t="shared" si="3"/>
        <v>#N/A</v>
      </c>
      <c r="AB36" s="1349" t="e">
        <f t="shared" si="4"/>
        <v>#N/A</v>
      </c>
      <c r="AC36" s="1349" t="e">
        <f t="shared" si="5"/>
        <v>#N/A</v>
      </c>
    </row>
    <row r="37" spans="1:29" s="108" customFormat="1" ht="15">
      <c r="A37" s="421"/>
      <c r="B37" s="372" t="s">
        <v>1787</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13"/>
      <c r="M37" s="2714"/>
      <c r="N37" s="2714"/>
      <c r="O37" s="2714"/>
      <c r="P37" s="3756"/>
      <c r="Q37" s="1339" t="str">
        <f t="shared" si="11"/>
        <v>市政基础设施</v>
      </c>
      <c r="R37" s="697" t="s">
        <v>14</v>
      </c>
      <c r="S37" s="698">
        <f t="shared" si="12"/>
        <v>100</v>
      </c>
      <c r="T37" s="697" t="s">
        <v>14</v>
      </c>
      <c r="U37" s="698">
        <f t="shared" si="13"/>
        <v>100</v>
      </c>
      <c r="V37" s="697" t="s">
        <v>14</v>
      </c>
      <c r="W37" s="698">
        <f t="shared" si="14"/>
        <v>100</v>
      </c>
      <c r="X37" s="699"/>
      <c r="Y37" s="3758"/>
      <c r="Z37" s="52" t="str">
        <f t="shared" si="15"/>
        <v>市政基础设施</v>
      </c>
      <c r="AA37" s="700">
        <f t="shared" si="3"/>
        <v>1</v>
      </c>
      <c r="AB37" s="700">
        <f t="shared" si="4"/>
        <v>1</v>
      </c>
      <c r="AC37" s="700">
        <f t="shared" si="5"/>
        <v>1</v>
      </c>
    </row>
    <row r="38" spans="1:29" ht="15">
      <c r="A38" s="420"/>
      <c r="B38" s="372" t="s">
        <v>1788</v>
      </c>
      <c r="C38" s="1902"/>
      <c r="D38" s="383">
        <v>100</v>
      </c>
      <c r="E38" s="1902"/>
      <c r="F38" s="409">
        <f>SUMIF(114:114,E38,115:115)-SUMIF(114:114,C38,115:115)+100</f>
        <v>100</v>
      </c>
      <c r="G38" s="1902"/>
      <c r="H38" s="383">
        <f>SUMIF(114:114,G38,115:115)-SUMIF(114:114,C38,115:115)+100</f>
        <v>100</v>
      </c>
      <c r="I38" s="1902"/>
      <c r="J38" s="383">
        <f>SUMIF(114:114,I38,115:115)-SUMIF(114:114,C38,115:115)+100</f>
        <v>100</v>
      </c>
      <c r="K38" s="558"/>
      <c r="L38" s="2718"/>
      <c r="M38" s="2712"/>
      <c r="N38" s="2712"/>
      <c r="O38" s="2712"/>
      <c r="P38" s="3756" t="s">
        <v>1696</v>
      </c>
      <c r="Q38" s="1348" t="str">
        <f t="shared" si="11"/>
        <v>业态</v>
      </c>
      <c r="R38" s="701" t="s">
        <v>14</v>
      </c>
      <c r="S38" s="702">
        <f t="shared" si="12"/>
        <v>100</v>
      </c>
      <c r="T38" s="701" t="s">
        <v>14</v>
      </c>
      <c r="U38" s="702">
        <f t="shared" si="13"/>
        <v>100</v>
      </c>
      <c r="V38" s="701" t="s">
        <v>14</v>
      </c>
      <c r="W38" s="702">
        <f t="shared" si="14"/>
        <v>100</v>
      </c>
      <c r="X38" s="1351"/>
      <c r="Y38" s="3758" t="s">
        <v>1696</v>
      </c>
      <c r="Z38" s="1352" t="str">
        <f t="shared" si="15"/>
        <v>业态</v>
      </c>
      <c r="AA38" s="1349">
        <f t="shared" si="3"/>
        <v>1</v>
      </c>
      <c r="AB38" s="1349">
        <f t="shared" si="4"/>
        <v>1</v>
      </c>
      <c r="AC38" s="1349">
        <f t="shared" si="5"/>
        <v>1</v>
      </c>
    </row>
    <row r="39" spans="1:29" ht="15">
      <c r="A39" s="420"/>
      <c r="B39" s="372" t="s">
        <v>1789</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8"/>
      <c r="M39" s="2712"/>
      <c r="N39" s="2712"/>
      <c r="O39" s="2712"/>
      <c r="P39" s="3756"/>
      <c r="Q39" s="1348" t="str">
        <f t="shared" si="11"/>
        <v>层高</v>
      </c>
      <c r="R39" s="701" t="s">
        <v>14</v>
      </c>
      <c r="S39" s="702">
        <f t="shared" si="12"/>
        <v>100</v>
      </c>
      <c r="T39" s="701" t="s">
        <v>14</v>
      </c>
      <c r="U39" s="702">
        <f t="shared" si="13"/>
        <v>100</v>
      </c>
      <c r="V39" s="701" t="s">
        <v>14</v>
      </c>
      <c r="W39" s="702">
        <f t="shared" si="14"/>
        <v>100</v>
      </c>
      <c r="X39" s="1351"/>
      <c r="Y39" s="3758"/>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8"/>
      <c r="M40" s="2712"/>
      <c r="N40" s="2712"/>
      <c r="O40" s="2712"/>
      <c r="P40" s="3756"/>
      <c r="Q40" s="1348" t="str">
        <f t="shared" si="11"/>
        <v>单套建筑面积</v>
      </c>
      <c r="R40" s="701" t="s">
        <v>14</v>
      </c>
      <c r="S40" s="702">
        <f t="shared" si="12"/>
        <v>100</v>
      </c>
      <c r="T40" s="701" t="s">
        <v>14</v>
      </c>
      <c r="U40" s="702">
        <f t="shared" si="13"/>
        <v>100</v>
      </c>
      <c r="V40" s="701" t="s">
        <v>14</v>
      </c>
      <c r="W40" s="702">
        <f t="shared" si="14"/>
        <v>100</v>
      </c>
      <c r="X40" s="1351"/>
      <c r="Y40" s="3758"/>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7"/>
      <c r="M41" s="2719"/>
      <c r="N41" s="2719"/>
      <c r="O41" s="2719"/>
      <c r="P41" s="3756"/>
      <c r="Q41" s="703" t="str">
        <f t="shared" si="11"/>
        <v>进深比</v>
      </c>
      <c r="R41" s="704" t="s">
        <v>14</v>
      </c>
      <c r="S41" s="705">
        <f t="shared" si="12"/>
        <v>100</v>
      </c>
      <c r="T41" s="704" t="s">
        <v>14</v>
      </c>
      <c r="U41" s="705">
        <f t="shared" si="13"/>
        <v>100</v>
      </c>
      <c r="V41" s="704" t="s">
        <v>14</v>
      </c>
      <c r="W41" s="705">
        <f t="shared" si="14"/>
        <v>100</v>
      </c>
      <c r="X41" s="706"/>
      <c r="Y41" s="3758"/>
      <c r="Z41" s="707" t="str">
        <f t="shared" si="15"/>
        <v>进深比</v>
      </c>
      <c r="AA41" s="1349">
        <f t="shared" si="3"/>
        <v>1</v>
      </c>
      <c r="AB41" s="1349">
        <f t="shared" si="4"/>
        <v>1</v>
      </c>
      <c r="AC41" s="1349">
        <f t="shared" si="5"/>
        <v>1</v>
      </c>
    </row>
    <row r="42" spans="1:29" ht="15">
      <c r="A42" s="420"/>
      <c r="B42" s="372" t="s">
        <v>1792</v>
      </c>
      <c r="C42" s="1902"/>
      <c r="D42" s="383">
        <v>100</v>
      </c>
      <c r="E42" s="1902"/>
      <c r="F42" s="409">
        <f>SUMIF(122:122,E42,123:123)-SUMIF(122:122,C42,123:123)+100</f>
        <v>100</v>
      </c>
      <c r="G42" s="1902"/>
      <c r="H42" s="383">
        <f>SUMIF(122:122,G42,123:123)-SUMIF(122:122,C42,123:123)+100</f>
        <v>100</v>
      </c>
      <c r="I42" s="1902"/>
      <c r="J42" s="383">
        <f>SUMIF(122:122,I42,123:123)-SUMIF(122:122,C42,123:123)+100</f>
        <v>100</v>
      </c>
      <c r="K42" s="558"/>
      <c r="L42" s="2718"/>
      <c r="M42" s="2712"/>
      <c r="N42" s="2712"/>
      <c r="O42" s="2712"/>
      <c r="P42" s="3756"/>
      <c r="Q42" s="1348" t="str">
        <f t="shared" si="11"/>
        <v>内部装修</v>
      </c>
      <c r="R42" s="701" t="s">
        <v>14</v>
      </c>
      <c r="S42" s="702">
        <f t="shared" si="12"/>
        <v>100</v>
      </c>
      <c r="T42" s="701" t="s">
        <v>14</v>
      </c>
      <c r="U42" s="702">
        <f t="shared" si="13"/>
        <v>100</v>
      </c>
      <c r="V42" s="701" t="s">
        <v>14</v>
      </c>
      <c r="W42" s="702">
        <f t="shared" si="14"/>
        <v>100</v>
      </c>
      <c r="X42" s="1351"/>
      <c r="Y42" s="3758"/>
      <c r="Z42" s="1352" t="str">
        <f t="shared" si="15"/>
        <v>内部装修</v>
      </c>
      <c r="AA42" s="1349">
        <f t="shared" si="3"/>
        <v>1</v>
      </c>
      <c r="AB42" s="1349">
        <f t="shared" si="4"/>
        <v>1</v>
      </c>
      <c r="AC42" s="1349">
        <f t="shared" si="5"/>
        <v>1</v>
      </c>
    </row>
    <row r="43" spans="1:29" ht="15">
      <c r="A43" s="420"/>
      <c r="B43" s="372" t="s">
        <v>1707</v>
      </c>
      <c r="C43" s="1902"/>
      <c r="D43" s="383">
        <v>100</v>
      </c>
      <c r="E43" s="1902"/>
      <c r="F43" s="409">
        <f>SUMIF(124:124,E43,125:125)-SUMIF(124:124,C43,125:125)+100</f>
        <v>100</v>
      </c>
      <c r="G43" s="1902"/>
      <c r="H43" s="383">
        <f>SUMIF(124:124,G43,125:125)-SUMIF(124:124,C43,125:125)+100</f>
        <v>100</v>
      </c>
      <c r="I43" s="1902"/>
      <c r="J43" s="383">
        <f>SUMIF(124:124,I43,125:125)-SUMIF(124:124,C43,125:125)+100</f>
        <v>100</v>
      </c>
      <c r="K43" s="558"/>
      <c r="L43" s="2718"/>
      <c r="M43" s="2712"/>
      <c r="N43" s="2712"/>
      <c r="O43" s="2712"/>
      <c r="P43" s="3756"/>
      <c r="Q43" s="1348" t="str">
        <f t="shared" si="11"/>
        <v>内部装修维护情况</v>
      </c>
      <c r="R43" s="701" t="s">
        <v>14</v>
      </c>
      <c r="S43" s="702">
        <f t="shared" si="12"/>
        <v>100</v>
      </c>
      <c r="T43" s="701" t="s">
        <v>14</v>
      </c>
      <c r="U43" s="702">
        <f t="shared" si="13"/>
        <v>100</v>
      </c>
      <c r="V43" s="701" t="s">
        <v>14</v>
      </c>
      <c r="W43" s="702">
        <f t="shared" si="14"/>
        <v>100</v>
      </c>
      <c r="X43" s="1351"/>
      <c r="Y43" s="3758"/>
      <c r="Z43" s="1352" t="str">
        <f t="shared" si="15"/>
        <v>内部装修维护情况</v>
      </c>
      <c r="AA43" s="1349">
        <f t="shared" si="3"/>
        <v>1</v>
      </c>
      <c r="AB43" s="1349">
        <f t="shared" si="4"/>
        <v>1</v>
      </c>
      <c r="AC43" s="1349">
        <f t="shared" si="5"/>
        <v>1</v>
      </c>
    </row>
    <row r="44" spans="1:29" s="108" customFormat="1" ht="15">
      <c r="A44" s="421"/>
      <c r="B44" s="1129">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3"/>
      <c r="M44" s="2714"/>
      <c r="N44" s="2714"/>
      <c r="O44" s="2714"/>
      <c r="P44" s="3756"/>
      <c r="Q44" s="1339">
        <f t="shared" si="11"/>
        <v>111</v>
      </c>
      <c r="R44" s="697" t="s">
        <v>14</v>
      </c>
      <c r="S44" s="698">
        <f t="shared" si="12"/>
        <v>100</v>
      </c>
      <c r="T44" s="697" t="s">
        <v>14</v>
      </c>
      <c r="U44" s="698">
        <f t="shared" si="13"/>
        <v>100</v>
      </c>
      <c r="V44" s="697" t="s">
        <v>14</v>
      </c>
      <c r="W44" s="698">
        <f t="shared" si="14"/>
        <v>100</v>
      </c>
      <c r="X44" s="699"/>
      <c r="Y44" s="3758"/>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8"/>
      <c r="M45" s="2712"/>
      <c r="N45" s="2712"/>
      <c r="O45" s="2712"/>
      <c r="P45" s="3756"/>
      <c r="Q45" s="1348">
        <f t="shared" si="11"/>
        <v>111</v>
      </c>
      <c r="R45" s="701" t="s">
        <v>14</v>
      </c>
      <c r="S45" s="702">
        <f t="shared" si="12"/>
        <v>100</v>
      </c>
      <c r="T45" s="701" t="s">
        <v>14</v>
      </c>
      <c r="U45" s="702">
        <f t="shared" si="13"/>
        <v>100</v>
      </c>
      <c r="V45" s="701" t="s">
        <v>14</v>
      </c>
      <c r="W45" s="702">
        <f t="shared" si="14"/>
        <v>100</v>
      </c>
      <c r="X45" s="1351"/>
      <c r="Y45" s="3758"/>
      <c r="Z45" s="1352">
        <f t="shared" si="15"/>
        <v>111</v>
      </c>
      <c r="AA45" s="1349">
        <f t="shared" si="3"/>
        <v>1</v>
      </c>
      <c r="AB45" s="1349">
        <f t="shared" si="4"/>
        <v>1</v>
      </c>
      <c r="AC45" s="1349">
        <f t="shared" si="5"/>
        <v>1</v>
      </c>
    </row>
    <row r="46" spans="1:29" ht="15.75" thickBot="1">
      <c r="A46" s="426"/>
      <c r="B46" s="1891">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8"/>
      <c r="M46" s="2712"/>
      <c r="N46" s="2712"/>
      <c r="O46" s="2712"/>
      <c r="P46" s="3757"/>
      <c r="Q46" s="1348">
        <f t="shared" si="11"/>
        <v>111</v>
      </c>
      <c r="R46" s="701" t="s">
        <v>14</v>
      </c>
      <c r="S46" s="702">
        <f t="shared" si="12"/>
        <v>100</v>
      </c>
      <c r="T46" s="701" t="s">
        <v>14</v>
      </c>
      <c r="U46" s="702">
        <f t="shared" si="13"/>
        <v>100</v>
      </c>
      <c r="V46" s="701" t="s">
        <v>14</v>
      </c>
      <c r="W46" s="702">
        <f t="shared" si="14"/>
        <v>100</v>
      </c>
      <c r="X46" s="1351"/>
      <c r="Y46" s="3759"/>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20"/>
      <c r="M47" s="2721"/>
      <c r="N47" s="2712"/>
      <c r="O47" s="2721"/>
      <c r="P47" s="3746" t="str">
        <f>A47</f>
        <v>成交单价（元/平方米）</v>
      </c>
      <c r="Q47" s="3746"/>
      <c r="R47" s="3780">
        <f>E47</f>
        <v>0</v>
      </c>
      <c r="S47" s="3780"/>
      <c r="T47" s="3780">
        <f>G47</f>
        <v>0</v>
      </c>
      <c r="U47" s="3780"/>
      <c r="V47" s="3780">
        <f>I47</f>
        <v>0</v>
      </c>
      <c r="W47" s="3780"/>
      <c r="X47" s="686"/>
      <c r="Y47" s="708"/>
      <c r="Z47" s="686"/>
      <c r="AA47" s="686"/>
      <c r="AB47" s="686"/>
      <c r="AC47" s="686"/>
    </row>
    <row r="48" spans="1:29" ht="15.75" thickBot="1">
      <c r="A48" s="434" t="s">
        <v>1793</v>
      </c>
      <c r="B48" s="435"/>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20"/>
      <c r="M49" s="2721"/>
      <c r="N49" s="2712"/>
      <c r="O49" s="2721"/>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8" customFormat="1" ht="13.5" customHeight="1">
      <c r="A54" s="2724"/>
      <c r="B54" s="2724"/>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8"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0" t="s">
        <v>1798</v>
      </c>
      <c r="B57" s="686"/>
      <c r="C57" s="691"/>
      <c r="D57" s="691"/>
      <c r="E57" s="691"/>
      <c r="F57" s="692"/>
      <c r="G57" s="692"/>
      <c r="H57" s="691"/>
      <c r="I57" s="691"/>
      <c r="J57" s="691"/>
      <c r="K57" s="693"/>
      <c r="L57" s="938"/>
      <c r="M57" s="936"/>
      <c r="N57" s="936"/>
      <c r="O57" s="936"/>
      <c r="P57" s="2734"/>
      <c r="Q57" s="2735"/>
      <c r="R57" s="2721"/>
      <c r="S57" s="2721"/>
      <c r="T57" s="2721"/>
      <c r="U57" s="2721"/>
      <c r="V57" s="2721"/>
      <c r="W57" s="2721"/>
      <c r="X57" s="2721"/>
      <c r="Y57" s="2721"/>
      <c r="Z57" s="2721"/>
      <c r="AA57" s="2721"/>
      <c r="AB57" s="2721"/>
      <c r="AC57" s="2721"/>
    </row>
    <row r="58" spans="1:29" s="454" customFormat="1" ht="15">
      <c r="A58" s="451" t="s">
        <v>1679</v>
      </c>
      <c r="B58" s="452"/>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6"/>
      <c r="Q58" s="2737"/>
      <c r="R58" s="2737"/>
      <c r="S58" s="2737"/>
      <c r="T58" s="2737"/>
      <c r="U58" s="2737"/>
      <c r="V58" s="2737"/>
      <c r="W58" s="2737"/>
      <c r="X58" s="2737"/>
      <c r="Y58" s="2737"/>
      <c r="Z58" s="2737"/>
      <c r="AA58" s="2737"/>
      <c r="AB58" s="2737"/>
      <c r="AC58" s="2737"/>
    </row>
    <row r="59" spans="1:29" s="108" customFormat="1" ht="15">
      <c r="A59" s="455"/>
      <c r="B59" s="456"/>
      <c r="C59" s="1179">
        <v>100</v>
      </c>
      <c r="D59" s="458"/>
      <c r="E59" s="458"/>
      <c r="F59" s="458"/>
      <c r="G59" s="458"/>
      <c r="H59" s="458"/>
      <c r="I59" s="458"/>
      <c r="J59" s="458"/>
      <c r="K59" s="458"/>
      <c r="L59" s="458"/>
      <c r="M59" s="459"/>
      <c r="N59" s="458"/>
      <c r="O59" s="459"/>
      <c r="P59" s="2738"/>
      <c r="Q59" s="2657"/>
      <c r="R59" s="2657"/>
      <c r="S59" s="2657"/>
      <c r="T59" s="2657"/>
      <c r="U59" s="2657"/>
      <c r="V59" s="2657"/>
      <c r="W59" s="2657"/>
      <c r="X59" s="2657"/>
      <c r="Y59" s="2657"/>
      <c r="Z59" s="2657"/>
      <c r="AA59" s="2657"/>
      <c r="AB59" s="2657"/>
      <c r="AC59" s="2657"/>
    </row>
    <row r="60" spans="1:29" s="108" customFormat="1" ht="15.75" thickBot="1">
      <c r="A60" s="461" t="s">
        <v>1716</v>
      </c>
      <c r="B60" s="462"/>
      <c r="C60" s="463"/>
      <c r="D60" s="464"/>
      <c r="E60" s="464"/>
      <c r="F60" s="464"/>
      <c r="G60" s="464"/>
      <c r="H60" s="464"/>
      <c r="I60" s="464"/>
      <c r="J60" s="464"/>
      <c r="K60" s="464"/>
      <c r="L60" s="464"/>
      <c r="M60" s="465"/>
      <c r="N60" s="464"/>
      <c r="O60" s="465"/>
      <c r="P60" s="2738"/>
      <c r="Q60" s="2735"/>
      <c r="R60" s="2657"/>
      <c r="S60" s="2657"/>
      <c r="T60" s="2657"/>
      <c r="U60" s="2657"/>
      <c r="V60" s="2657"/>
      <c r="W60" s="2657"/>
      <c r="X60" s="2657"/>
      <c r="Y60" s="2657"/>
      <c r="Z60" s="2657"/>
      <c r="AA60" s="2657"/>
      <c r="AB60" s="2657"/>
      <c r="AC60" s="2657"/>
    </row>
    <row r="61" spans="1:29" s="108" customFormat="1" ht="15">
      <c r="A61" s="467" t="s">
        <v>1681</v>
      </c>
      <c r="B61" s="456"/>
      <c r="C61" s="468" t="s">
        <v>1776</v>
      </c>
      <c r="D61" s="469"/>
      <c r="E61" s="469"/>
      <c r="F61" s="469"/>
      <c r="G61" s="469"/>
      <c r="H61" s="469"/>
      <c r="I61" s="469"/>
      <c r="J61" s="469"/>
      <c r="K61" s="469"/>
      <c r="L61" s="470"/>
      <c r="M61" s="471"/>
      <c r="N61" s="2748"/>
      <c r="O61" s="2748"/>
      <c r="P61" s="2739"/>
      <c r="Q61" s="2735"/>
      <c r="R61" s="2657"/>
      <c r="S61" s="2657"/>
      <c r="T61" s="2657"/>
      <c r="U61" s="2657"/>
      <c r="V61" s="2657"/>
      <c r="W61" s="2657"/>
      <c r="X61" s="2657"/>
      <c r="Y61" s="2657"/>
      <c r="Z61" s="2657"/>
      <c r="AA61" s="2657"/>
      <c r="AB61" s="2657"/>
      <c r="AC61" s="2657"/>
    </row>
    <row r="62" spans="1:29" s="108" customFormat="1" ht="15.75" thickBot="1">
      <c r="A62" s="467"/>
      <c r="B62" s="456"/>
      <c r="C62" s="457">
        <v>100</v>
      </c>
      <c r="D62" s="458"/>
      <c r="E62" s="458"/>
      <c r="F62" s="458"/>
      <c r="G62" s="458"/>
      <c r="H62" s="458"/>
      <c r="I62" s="458"/>
      <c r="J62" s="458"/>
      <c r="K62" s="458"/>
      <c r="L62" s="458"/>
      <c r="M62" s="460"/>
      <c r="N62" s="2748"/>
      <c r="O62" s="2748"/>
      <c r="P62" s="2738"/>
      <c r="Q62" s="2735"/>
      <c r="R62" s="2657"/>
      <c r="S62" s="2657"/>
      <c r="T62" s="2657"/>
      <c r="U62" s="2657"/>
      <c r="V62" s="2657"/>
      <c r="W62" s="2657"/>
      <c r="X62" s="2657"/>
      <c r="Y62" s="2657"/>
      <c r="Z62" s="2657"/>
      <c r="AA62" s="2657"/>
      <c r="AB62" s="2657"/>
      <c r="AC62" s="2657"/>
    </row>
    <row r="63" spans="1:29">
      <c r="A63" s="473" t="s">
        <v>1719</v>
      </c>
      <c r="B63" s="474" t="s">
        <v>1685</v>
      </c>
      <c r="C63" s="475">
        <f>C9</f>
        <v>0</v>
      </c>
      <c r="D63" s="476"/>
      <c r="E63" s="476"/>
      <c r="F63" s="476"/>
      <c r="G63" s="476"/>
      <c r="H63" s="476"/>
      <c r="I63" s="476"/>
      <c r="J63" s="476"/>
      <c r="K63" s="477"/>
      <c r="L63" s="478"/>
      <c r="M63" s="479"/>
      <c r="N63" s="2749"/>
      <c r="O63" s="2749"/>
      <c r="P63" s="2740"/>
      <c r="Q63" s="2735"/>
      <c r="R63" s="2721"/>
      <c r="S63" s="2721"/>
      <c r="T63" s="2721"/>
      <c r="U63" s="2721"/>
      <c r="V63" s="2721"/>
      <c r="W63" s="2721"/>
      <c r="X63" s="2721"/>
      <c r="Y63" s="2721"/>
      <c r="Z63" s="2721"/>
      <c r="AA63" s="2721"/>
      <c r="AB63" s="2721"/>
      <c r="AC63" s="2721"/>
    </row>
    <row r="64" spans="1:29" ht="15.75" thickBot="1">
      <c r="A64" s="480"/>
      <c r="B64" s="481"/>
      <c r="C64" s="482">
        <v>100</v>
      </c>
      <c r="D64" s="482"/>
      <c r="E64" s="482"/>
      <c r="F64" s="482"/>
      <c r="G64" s="482"/>
      <c r="H64" s="482"/>
      <c r="I64" s="482"/>
      <c r="J64" s="482"/>
      <c r="K64" s="482"/>
      <c r="L64" s="482"/>
      <c r="M64" s="483"/>
      <c r="N64" s="2750"/>
      <c r="O64" s="2750"/>
      <c r="P64" s="2740"/>
      <c r="Q64" s="2735"/>
      <c r="R64" s="2721"/>
      <c r="S64" s="2721"/>
      <c r="T64" s="2721"/>
      <c r="U64" s="2721"/>
      <c r="V64" s="2721"/>
      <c r="W64" s="2721"/>
      <c r="X64" s="2721"/>
      <c r="Y64" s="2721"/>
      <c r="Z64" s="2721"/>
      <c r="AA64" s="2721"/>
      <c r="AB64" s="2721"/>
      <c r="AC64" s="2721"/>
    </row>
    <row r="65" spans="1:29" ht="27.75" thickTop="1">
      <c r="A65" s="480"/>
      <c r="B65" s="484" t="s">
        <v>1688</v>
      </c>
      <c r="C65" s="529"/>
      <c r="D65" s="529"/>
      <c r="E65" s="529"/>
      <c r="F65" s="529"/>
      <c r="G65" s="529"/>
      <c r="H65" s="529"/>
      <c r="I65" s="529"/>
      <c r="J65" s="529"/>
      <c r="K65" s="530"/>
      <c r="L65" s="531"/>
      <c r="M65" s="532"/>
      <c r="N65" s="2749"/>
      <c r="O65" s="2749"/>
      <c r="P65" s="2740"/>
      <c r="Q65" s="2735"/>
      <c r="R65" s="2721"/>
      <c r="S65" s="2721"/>
      <c r="T65" s="2721"/>
      <c r="U65" s="2721"/>
      <c r="V65" s="2721"/>
      <c r="W65" s="2721"/>
      <c r="X65" s="2721"/>
      <c r="Y65" s="2721"/>
      <c r="Z65" s="2721"/>
      <c r="AA65" s="2721"/>
      <c r="AB65" s="2721"/>
      <c r="AC65" s="2721"/>
    </row>
    <row r="66" spans="1:29" ht="15.75" thickBot="1">
      <c r="A66" s="480"/>
      <c r="B66" s="489"/>
      <c r="C66" s="482"/>
      <c r="D66" s="482"/>
      <c r="E66" s="482"/>
      <c r="F66" s="482"/>
      <c r="G66" s="482"/>
      <c r="H66" s="482"/>
      <c r="I66" s="482"/>
      <c r="J66" s="482"/>
      <c r="K66" s="482"/>
      <c r="L66" s="482"/>
      <c r="M66" s="483"/>
      <c r="N66" s="2750"/>
      <c r="O66" s="2750"/>
      <c r="P66" s="2740"/>
      <c r="Q66" s="2735"/>
      <c r="R66" s="2721"/>
      <c r="S66" s="2721"/>
      <c r="T66" s="2721"/>
      <c r="U66" s="2721"/>
      <c r="V66" s="2721"/>
      <c r="W66" s="2721"/>
      <c r="X66" s="2721"/>
      <c r="Y66" s="2721"/>
      <c r="Z66" s="2721"/>
      <c r="AA66" s="2721"/>
      <c r="AB66" s="2721"/>
      <c r="AC66" s="2721"/>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0"/>
      <c r="B68" s="494"/>
      <c r="C68" s="495"/>
      <c r="D68" s="495"/>
      <c r="E68" s="495"/>
      <c r="F68" s="495"/>
      <c r="G68" s="495"/>
      <c r="H68" s="495"/>
      <c r="I68" s="495"/>
      <c r="J68" s="495"/>
      <c r="K68" s="496"/>
      <c r="L68" s="497"/>
      <c r="M68" s="498"/>
      <c r="N68" s="2749"/>
      <c r="O68" s="2749"/>
      <c r="P68" s="2740"/>
      <c r="Q68" s="2735"/>
      <c r="R68" s="2721"/>
      <c r="S68" s="2721"/>
      <c r="T68" s="2721"/>
      <c r="U68" s="2721"/>
      <c r="V68" s="2721"/>
      <c r="W68" s="2721"/>
      <c r="X68" s="2721"/>
      <c r="Y68" s="2721"/>
      <c r="Z68" s="2721"/>
      <c r="AA68" s="2721"/>
      <c r="AB68" s="2721"/>
      <c r="AC68" s="2721"/>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50"/>
      <c r="O69" s="2750"/>
      <c r="P69" s="2740"/>
      <c r="Q69" s="2735"/>
      <c r="R69" s="2721"/>
      <c r="S69" s="2721"/>
      <c r="T69" s="2721"/>
      <c r="U69" s="2721"/>
      <c r="V69" s="2721"/>
      <c r="W69" s="2721"/>
      <c r="X69" s="2721"/>
      <c r="Y69" s="2721"/>
      <c r="Z69" s="2721"/>
      <c r="AA69" s="2721"/>
      <c r="AB69" s="2721"/>
      <c r="AC69" s="2721"/>
    </row>
    <row r="70" spans="1:29" s="419" customFormat="1" ht="15.75" thickTop="1">
      <c r="A70" s="499"/>
      <c r="B70" s="484">
        <f>B12</f>
        <v>111</v>
      </c>
      <c r="C70" s="500"/>
      <c r="D70" s="500"/>
      <c r="E70" s="500"/>
      <c r="F70" s="500"/>
      <c r="G70" s="500"/>
      <c r="H70" s="501"/>
      <c r="I70" s="501"/>
      <c r="J70" s="501"/>
      <c r="K70" s="501"/>
      <c r="L70" s="502"/>
      <c r="M70" s="503"/>
      <c r="N70" s="2751"/>
      <c r="O70" s="2751"/>
      <c r="P70" s="2741"/>
      <c r="Q70" s="2742"/>
      <c r="R70" s="2743"/>
      <c r="S70" s="2743"/>
      <c r="T70" s="2743"/>
      <c r="U70" s="2743"/>
      <c r="V70" s="2743"/>
      <c r="W70" s="2743"/>
      <c r="X70" s="2743"/>
      <c r="Y70" s="2743"/>
      <c r="Z70" s="2743"/>
      <c r="AA70" s="2743"/>
      <c r="AB70" s="2743"/>
      <c r="AC70" s="2743"/>
    </row>
    <row r="71" spans="1:29" s="419" customFormat="1" ht="15.75" thickBot="1">
      <c r="A71" s="499"/>
      <c r="B71" s="489"/>
      <c r="C71" s="506"/>
      <c r="D71" s="482"/>
      <c r="E71" s="482"/>
      <c r="F71" s="482"/>
      <c r="G71" s="482"/>
      <c r="H71" s="482"/>
      <c r="I71" s="482"/>
      <c r="J71" s="482"/>
      <c r="K71" s="482"/>
      <c r="L71" s="482"/>
      <c r="M71" s="483"/>
      <c r="N71" s="2750"/>
      <c r="O71" s="2750"/>
      <c r="P71" s="2741"/>
      <c r="Q71" s="2742"/>
      <c r="R71" s="2743"/>
      <c r="S71" s="2743"/>
      <c r="T71" s="2743"/>
      <c r="U71" s="2743"/>
      <c r="V71" s="2743"/>
      <c r="W71" s="2743"/>
      <c r="X71" s="2743"/>
      <c r="Y71" s="2743"/>
      <c r="Z71" s="2743"/>
      <c r="AA71" s="2743"/>
      <c r="AB71" s="2743"/>
      <c r="AC71" s="2743"/>
    </row>
    <row r="72" spans="1:29" s="419" customFormat="1" ht="15.75" thickTop="1">
      <c r="A72" s="499"/>
      <c r="B72" s="484">
        <f>B13</f>
        <v>111</v>
      </c>
      <c r="C72" s="500"/>
      <c r="D72" s="500"/>
      <c r="E72" s="500"/>
      <c r="F72" s="500"/>
      <c r="G72" s="500"/>
      <c r="H72" s="501"/>
      <c r="I72" s="501"/>
      <c r="J72" s="501"/>
      <c r="K72" s="501"/>
      <c r="L72" s="502"/>
      <c r="M72" s="503"/>
      <c r="N72" s="2751"/>
      <c r="O72" s="2751"/>
      <c r="P72" s="2744"/>
      <c r="Q72" s="2745"/>
      <c r="R72" s="2743"/>
      <c r="S72" s="2743"/>
      <c r="T72" s="2743"/>
      <c r="U72" s="2743"/>
      <c r="V72" s="2743"/>
      <c r="W72" s="2743"/>
      <c r="X72" s="2743"/>
      <c r="Y72" s="2743"/>
      <c r="Z72" s="2743"/>
      <c r="AA72" s="2743"/>
      <c r="AB72" s="2743"/>
      <c r="AC72" s="2743"/>
    </row>
    <row r="73" spans="1:29" s="419" customFormat="1" ht="15.75" thickBot="1">
      <c r="A73" s="499"/>
      <c r="B73" s="489"/>
      <c r="C73" s="506"/>
      <c r="D73" s="482"/>
      <c r="E73" s="482"/>
      <c r="F73" s="482"/>
      <c r="G73" s="506"/>
      <c r="H73" s="508"/>
      <c r="I73" s="508"/>
      <c r="J73" s="508"/>
      <c r="K73" s="508"/>
      <c r="L73" s="508"/>
      <c r="M73" s="509"/>
      <c r="N73" s="2751"/>
      <c r="O73" s="2751"/>
      <c r="P73" s="2741"/>
      <c r="Q73" s="2742"/>
      <c r="R73" s="2743"/>
      <c r="S73" s="2743"/>
      <c r="T73" s="2743"/>
      <c r="U73" s="2743"/>
      <c r="V73" s="2743"/>
      <c r="W73" s="2743"/>
      <c r="X73" s="2743"/>
      <c r="Y73" s="2743"/>
      <c r="Z73" s="2743"/>
      <c r="AA73" s="2743"/>
      <c r="AB73" s="2743"/>
      <c r="AC73" s="2743"/>
    </row>
    <row r="74" spans="1:29" s="419" customFormat="1" ht="15.75" thickTop="1">
      <c r="A74" s="499"/>
      <c r="B74" s="492">
        <f>B14</f>
        <v>111</v>
      </c>
      <c r="C74" s="500"/>
      <c r="D74" s="500"/>
      <c r="E74" s="500"/>
      <c r="F74" s="500"/>
      <c r="G74" s="469"/>
      <c r="H74" s="510"/>
      <c r="I74" s="510"/>
      <c r="J74" s="510"/>
      <c r="K74" s="510"/>
      <c r="L74" s="511"/>
      <c r="M74" s="512"/>
      <c r="N74" s="2751"/>
      <c r="O74" s="2751"/>
      <c r="P74" s="2746"/>
      <c r="Q74" s="2742"/>
      <c r="R74" s="2743"/>
      <c r="S74" s="2743"/>
      <c r="T74" s="2743"/>
      <c r="U74" s="2743"/>
      <c r="V74" s="2743"/>
      <c r="W74" s="2743"/>
      <c r="X74" s="2743"/>
      <c r="Y74" s="2743"/>
      <c r="Z74" s="2743"/>
      <c r="AA74" s="2743"/>
      <c r="AB74" s="2743"/>
      <c r="AC74" s="2743"/>
    </row>
    <row r="75" spans="1:29" s="419" customFormat="1" ht="15.75" thickBot="1">
      <c r="A75" s="514"/>
      <c r="B75" s="515"/>
      <c r="C75" s="516"/>
      <c r="D75" s="516"/>
      <c r="E75" s="516"/>
      <c r="F75" s="516"/>
      <c r="G75" s="516"/>
      <c r="H75" s="517"/>
      <c r="I75" s="517"/>
      <c r="J75" s="517"/>
      <c r="K75" s="517"/>
      <c r="L75" s="517"/>
      <c r="M75" s="518"/>
      <c r="N75" s="2751"/>
      <c r="O75" s="2751"/>
      <c r="P75" s="2741"/>
      <c r="Q75" s="2742"/>
      <c r="R75" s="2743"/>
      <c r="S75" s="2743"/>
      <c r="T75" s="2743"/>
      <c r="U75" s="2743"/>
      <c r="V75" s="2743"/>
      <c r="W75" s="2743"/>
      <c r="X75" s="2743"/>
      <c r="Y75" s="2743"/>
      <c r="Z75" s="2743"/>
      <c r="AA75" s="2743"/>
      <c r="AB75" s="2743"/>
      <c r="AC75" s="2743"/>
    </row>
    <row r="76" spans="1:29">
      <c r="A76" s="473" t="s">
        <v>1690</v>
      </c>
      <c r="B76" s="474" t="s">
        <v>1720</v>
      </c>
      <c r="C76" s="519" t="s">
        <v>1721</v>
      </c>
      <c r="D76" s="519" t="s">
        <v>1722</v>
      </c>
      <c r="E76" s="519" t="s">
        <v>1723</v>
      </c>
      <c r="F76" s="519" t="s">
        <v>1724</v>
      </c>
      <c r="G76" s="519" t="s">
        <v>1725</v>
      </c>
      <c r="H76" s="475"/>
      <c r="I76" s="475"/>
      <c r="J76" s="475"/>
      <c r="K76" s="520"/>
      <c r="L76" s="521"/>
      <c r="M76" s="522"/>
      <c r="N76" s="2749"/>
      <c r="O76" s="2749"/>
      <c r="P76" s="2747"/>
      <c r="Q76" s="2735"/>
      <c r="R76" s="2721"/>
      <c r="S76" s="2721"/>
      <c r="T76" s="2721"/>
      <c r="U76" s="2721"/>
      <c r="V76" s="2721"/>
      <c r="W76" s="2721"/>
      <c r="X76" s="2721"/>
      <c r="Y76" s="2721"/>
      <c r="Z76" s="2721"/>
      <c r="AA76" s="2721"/>
      <c r="AB76" s="2721"/>
      <c r="AC76" s="2721"/>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50"/>
      <c r="O77" s="2750"/>
      <c r="P77" s="2740"/>
      <c r="Q77" s="2735"/>
      <c r="R77" s="2721"/>
      <c r="S77" s="2721"/>
      <c r="T77" s="2721"/>
      <c r="U77" s="2721"/>
      <c r="V77" s="2721"/>
      <c r="W77" s="2721"/>
      <c r="X77" s="2721"/>
      <c r="Y77" s="2721"/>
      <c r="Z77" s="2721"/>
      <c r="AA77" s="2721"/>
      <c r="AB77" s="2721"/>
      <c r="AC77" s="2721"/>
    </row>
    <row r="78" spans="1:29" ht="15.75" thickTop="1">
      <c r="A78" s="480"/>
      <c r="B78" s="484" t="s">
        <v>1726</v>
      </c>
      <c r="C78" s="524" t="s">
        <v>1721</v>
      </c>
      <c r="D78" s="524" t="s">
        <v>1722</v>
      </c>
      <c r="E78" s="524" t="s">
        <v>1723</v>
      </c>
      <c r="F78" s="524" t="s">
        <v>1724</v>
      </c>
      <c r="G78" s="524" t="s">
        <v>1725</v>
      </c>
      <c r="H78" s="485"/>
      <c r="I78" s="485"/>
      <c r="J78" s="485"/>
      <c r="K78" s="486"/>
      <c r="L78" s="487"/>
      <c r="M78" s="488"/>
      <c r="N78" s="2749"/>
      <c r="O78" s="2749"/>
      <c r="P78" s="2740"/>
      <c r="Q78" s="2735"/>
      <c r="R78" s="2721"/>
      <c r="S78" s="2721"/>
      <c r="T78" s="2721"/>
      <c r="U78" s="2721"/>
      <c r="V78" s="2721"/>
      <c r="W78" s="2721"/>
      <c r="X78" s="2721"/>
      <c r="Y78" s="2721"/>
      <c r="Z78" s="2721"/>
      <c r="AA78" s="2721"/>
      <c r="AB78" s="2721"/>
      <c r="AC78" s="2721"/>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50"/>
      <c r="O79" s="2750"/>
      <c r="P79" s="2740"/>
      <c r="Q79" s="2735"/>
      <c r="R79" s="2721"/>
      <c r="S79" s="2721"/>
      <c r="T79" s="2721"/>
      <c r="U79" s="2721"/>
      <c r="V79" s="2721"/>
      <c r="W79" s="2721"/>
      <c r="X79" s="2721"/>
      <c r="Y79" s="2721"/>
      <c r="Z79" s="2721"/>
      <c r="AA79" s="2721"/>
      <c r="AB79" s="2721"/>
      <c r="AC79" s="2721"/>
    </row>
    <row r="80" spans="1:29" ht="15.75" thickTop="1">
      <c r="A80" s="480"/>
      <c r="B80" s="484" t="s">
        <v>1727</v>
      </c>
      <c r="C80" s="524" t="s">
        <v>1721</v>
      </c>
      <c r="D80" s="524" t="s">
        <v>1722</v>
      </c>
      <c r="E80" s="524" t="s">
        <v>1723</v>
      </c>
      <c r="F80" s="524" t="s">
        <v>1724</v>
      </c>
      <c r="G80" s="524" t="s">
        <v>1725</v>
      </c>
      <c r="H80" s="485"/>
      <c r="I80" s="485"/>
      <c r="J80" s="485"/>
      <c r="K80" s="486"/>
      <c r="L80" s="487"/>
      <c r="M80" s="488"/>
      <c r="N80" s="2749"/>
      <c r="O80" s="2749"/>
      <c r="P80" s="2740"/>
      <c r="Q80" s="2735"/>
      <c r="R80" s="2721"/>
      <c r="S80" s="2721"/>
      <c r="T80" s="2721"/>
      <c r="U80" s="2721"/>
      <c r="V80" s="2721"/>
      <c r="W80" s="2721"/>
      <c r="X80" s="2721"/>
      <c r="Y80" s="2721"/>
      <c r="Z80" s="2721"/>
      <c r="AA80" s="2721"/>
      <c r="AB80" s="2721"/>
      <c r="AC80" s="2721"/>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50"/>
      <c r="O81" s="2750"/>
      <c r="P81" s="2740"/>
      <c r="Q81" s="2735"/>
      <c r="R81" s="2721"/>
      <c r="S81" s="2721"/>
      <c r="T81" s="2721"/>
      <c r="U81" s="2721"/>
      <c r="V81" s="2721"/>
      <c r="W81" s="2721"/>
      <c r="X81" s="2721"/>
      <c r="Y81" s="2721"/>
      <c r="Z81" s="2721"/>
      <c r="AA81" s="2721"/>
      <c r="AB81" s="2721"/>
      <c r="AC81" s="2721"/>
    </row>
    <row r="82" spans="1:29" ht="15.75" thickTop="1">
      <c r="A82" s="480"/>
      <c r="B82" s="492" t="s">
        <v>1779</v>
      </c>
      <c r="C82" s="605" t="s">
        <v>1799</v>
      </c>
      <c r="D82" s="605" t="s">
        <v>1800</v>
      </c>
      <c r="E82" s="605" t="s">
        <v>1801</v>
      </c>
      <c r="F82" s="605" t="s">
        <v>1802</v>
      </c>
      <c r="G82" s="605" t="s">
        <v>1803</v>
      </c>
      <c r="H82" s="485"/>
      <c r="I82" s="485"/>
      <c r="J82" s="485"/>
      <c r="K82" s="485"/>
      <c r="L82" s="485"/>
      <c r="M82" s="1125"/>
      <c r="N82" s="2750"/>
      <c r="O82" s="2750"/>
      <c r="P82" s="2740"/>
      <c r="Q82" s="2735"/>
      <c r="R82" s="2721"/>
      <c r="S82" s="2721"/>
      <c r="T82" s="2721"/>
      <c r="U82" s="2721"/>
      <c r="V82" s="2721"/>
      <c r="W82" s="2721"/>
      <c r="X82" s="2721"/>
      <c r="Y82" s="2721"/>
      <c r="Z82" s="2721"/>
      <c r="AA82" s="2721"/>
      <c r="AB82" s="2721"/>
      <c r="AC82" s="2721"/>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50"/>
      <c r="O83" s="2750"/>
      <c r="P83" s="2740"/>
      <c r="Q83" s="2735"/>
      <c r="R83" s="2721"/>
      <c r="S83" s="2721"/>
      <c r="T83" s="2721"/>
      <c r="U83" s="2721"/>
      <c r="V83" s="2721"/>
      <c r="W83" s="2721"/>
      <c r="X83" s="2721"/>
      <c r="Y83" s="2721"/>
      <c r="Z83" s="2721"/>
      <c r="AA83" s="2721"/>
      <c r="AB83" s="2721"/>
      <c r="AC83" s="2721"/>
    </row>
    <row r="84" spans="1:29" ht="15.75" thickTop="1">
      <c r="A84" s="480"/>
      <c r="B84" s="484" t="s">
        <v>1733</v>
      </c>
      <c r="C84" s="524" t="s">
        <v>1721</v>
      </c>
      <c r="D84" s="524" t="s">
        <v>1722</v>
      </c>
      <c r="E84" s="524" t="s">
        <v>1723</v>
      </c>
      <c r="F84" s="524" t="s">
        <v>1724</v>
      </c>
      <c r="G84" s="524" t="s">
        <v>1725</v>
      </c>
      <c r="H84" s="485"/>
      <c r="I84" s="485"/>
      <c r="J84" s="485"/>
      <c r="K84" s="486"/>
      <c r="L84" s="487"/>
      <c r="M84" s="488"/>
      <c r="N84" s="2749"/>
      <c r="O84" s="2749"/>
      <c r="P84" s="2740"/>
      <c r="Q84" s="2735"/>
      <c r="R84" s="2721"/>
      <c r="S84" s="2721"/>
      <c r="T84" s="2721"/>
      <c r="U84" s="2721"/>
      <c r="V84" s="2721"/>
      <c r="W84" s="2721"/>
      <c r="X84" s="2721"/>
      <c r="Y84" s="2721"/>
      <c r="Z84" s="2721"/>
      <c r="AA84" s="2721"/>
      <c r="AB84" s="2721"/>
      <c r="AC84" s="2721"/>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50"/>
      <c r="O85" s="2750"/>
      <c r="P85" s="2740"/>
      <c r="Q85" s="2735"/>
      <c r="R85" s="2721"/>
      <c r="S85" s="2721"/>
      <c r="T85" s="2721"/>
      <c r="U85" s="2721"/>
      <c r="V85" s="2721"/>
      <c r="W85" s="2721"/>
      <c r="X85" s="2721"/>
      <c r="Y85" s="2721"/>
      <c r="Z85" s="2721"/>
      <c r="AA85" s="2721"/>
      <c r="AB85" s="2721"/>
      <c r="AC85" s="2721"/>
    </row>
    <row r="86" spans="1:29" s="108" customFormat="1" ht="15.75" thickTop="1">
      <c r="A86" s="525"/>
      <c r="B86" s="484" t="s">
        <v>1804</v>
      </c>
      <c r="C86" s="500"/>
      <c r="D86" s="500"/>
      <c r="E86" s="500"/>
      <c r="F86" s="500"/>
      <c r="G86" s="500"/>
      <c r="H86" s="500"/>
      <c r="I86" s="500"/>
      <c r="J86" s="500"/>
      <c r="K86" s="500"/>
      <c r="L86" s="526"/>
      <c r="M86" s="527"/>
      <c r="N86" s="2748"/>
      <c r="O86" s="2748"/>
      <c r="P86" s="2740"/>
      <c r="Q86" s="2735"/>
      <c r="R86" s="2657"/>
      <c r="S86" s="2657"/>
      <c r="T86" s="2657"/>
      <c r="U86" s="2657"/>
      <c r="V86" s="2657"/>
      <c r="W86" s="2657"/>
      <c r="X86" s="2657"/>
      <c r="Y86" s="2657"/>
      <c r="Z86" s="2657"/>
      <c r="AA86" s="2657"/>
      <c r="AB86" s="2657"/>
      <c r="AC86" s="2657"/>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5"/>
      <c r="B88" s="484" t="str">
        <f>B26</f>
        <v>平面位置/可视性</v>
      </c>
      <c r="C88" s="500"/>
      <c r="D88" s="500"/>
      <c r="E88" s="500"/>
      <c r="F88" s="1923"/>
      <c r="G88" s="500"/>
      <c r="H88" s="500"/>
      <c r="I88" s="500"/>
      <c r="J88" s="500"/>
      <c r="K88" s="500"/>
      <c r="L88" s="500"/>
      <c r="M88" s="527"/>
      <c r="N88" s="2748"/>
      <c r="O88" s="2748"/>
      <c r="P88" s="2740"/>
      <c r="Q88" s="2735"/>
      <c r="R88" s="2657"/>
      <c r="S88" s="2657"/>
      <c r="T88" s="2657"/>
      <c r="U88" s="2657"/>
      <c r="V88" s="2657"/>
      <c r="W88" s="2657"/>
      <c r="X88" s="2657"/>
      <c r="Y88" s="2657"/>
      <c r="Z88" s="2657"/>
      <c r="AA88" s="2657"/>
      <c r="AB88" s="2657"/>
      <c r="AC88" s="2657"/>
    </row>
    <row r="89" spans="1:29" s="108" customFormat="1" ht="15.75" thickBot="1">
      <c r="A89" s="525"/>
      <c r="B89" s="489"/>
      <c r="C89" s="506"/>
      <c r="D89" s="482"/>
      <c r="E89" s="482"/>
      <c r="F89" s="482"/>
      <c r="G89" s="482"/>
      <c r="H89" s="482"/>
      <c r="I89" s="482"/>
      <c r="J89" s="482"/>
      <c r="K89" s="482"/>
      <c r="L89" s="482"/>
      <c r="M89" s="482"/>
      <c r="N89" s="2750"/>
      <c r="O89" s="2750"/>
      <c r="P89" s="2740"/>
      <c r="Q89" s="2735"/>
      <c r="R89" s="2657"/>
      <c r="S89" s="2657"/>
      <c r="T89" s="2657"/>
      <c r="U89" s="2657"/>
      <c r="V89" s="2657"/>
      <c r="W89" s="2657"/>
      <c r="X89" s="2657"/>
      <c r="Y89" s="2657"/>
      <c r="Z89" s="2657"/>
      <c r="AA89" s="2657"/>
      <c r="AB89" s="2657"/>
      <c r="AC89" s="2657"/>
    </row>
    <row r="90" spans="1:29" s="419" customFormat="1" ht="15.75" thickTop="1">
      <c r="A90" s="499"/>
      <c r="B90" s="484" t="str">
        <f>B27</f>
        <v>人流量</v>
      </c>
      <c r="C90" s="500"/>
      <c r="D90" s="500"/>
      <c r="E90" s="500"/>
      <c r="F90" s="500"/>
      <c r="G90" s="500"/>
      <c r="H90" s="501"/>
      <c r="I90" s="501"/>
      <c r="J90" s="501"/>
      <c r="K90" s="501"/>
      <c r="L90" s="502"/>
      <c r="M90" s="503"/>
      <c r="N90" s="2751"/>
      <c r="O90" s="2751"/>
      <c r="P90" s="2741"/>
      <c r="Q90" s="2742"/>
      <c r="R90" s="2743"/>
      <c r="S90" s="2743"/>
      <c r="T90" s="2743"/>
      <c r="U90" s="2743"/>
      <c r="V90" s="2743"/>
      <c r="W90" s="2743"/>
      <c r="X90" s="2743"/>
      <c r="Y90" s="2743"/>
      <c r="Z90" s="2743"/>
      <c r="AA90" s="2743"/>
      <c r="AB90" s="2743"/>
      <c r="AC90" s="2743"/>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0"/>
      <c r="B92" s="484" t="str">
        <f>B28</f>
        <v>楼层</v>
      </c>
      <c r="C92" s="500"/>
      <c r="D92" s="500"/>
      <c r="E92" s="500"/>
      <c r="F92" s="500"/>
      <c r="G92" s="500"/>
      <c r="H92" s="500"/>
      <c r="I92" s="500"/>
      <c r="J92" s="500"/>
      <c r="K92" s="500"/>
      <c r="L92" s="526"/>
      <c r="M92" s="527"/>
      <c r="N92" s="2749"/>
      <c r="O92" s="2749"/>
      <c r="P92" s="2740"/>
      <c r="Q92" s="2735"/>
      <c r="R92" s="2721"/>
      <c r="S92" s="2721"/>
      <c r="T92" s="2721"/>
      <c r="U92" s="2721"/>
      <c r="V92" s="2721"/>
      <c r="W92" s="2721"/>
      <c r="X92" s="2721"/>
      <c r="Y92" s="2721"/>
      <c r="Z92" s="2721"/>
      <c r="AA92" s="2721"/>
      <c r="AB92" s="2721"/>
      <c r="AC92" s="2721"/>
    </row>
    <row r="93" spans="1:29" ht="15.75" thickBot="1">
      <c r="A93" s="480"/>
      <c r="B93" s="489"/>
      <c r="C93" s="482"/>
      <c r="D93" s="482"/>
      <c r="E93" s="482"/>
      <c r="F93" s="482"/>
      <c r="G93" s="482"/>
      <c r="H93" s="482"/>
      <c r="I93" s="482"/>
      <c r="J93" s="482"/>
      <c r="K93" s="482"/>
      <c r="L93" s="482"/>
      <c r="M93" s="483"/>
      <c r="N93" s="2750"/>
      <c r="O93" s="2750"/>
      <c r="P93" s="2740"/>
      <c r="Q93" s="2735"/>
      <c r="R93" s="2721"/>
      <c r="S93" s="2721"/>
      <c r="T93" s="2721"/>
      <c r="U93" s="2721"/>
      <c r="V93" s="2721"/>
      <c r="W93" s="2721"/>
      <c r="X93" s="2721"/>
      <c r="Y93" s="2721"/>
      <c r="Z93" s="2721"/>
      <c r="AA93" s="2721"/>
      <c r="AB93" s="2721"/>
      <c r="AC93" s="2721"/>
    </row>
    <row r="94" spans="1:29" ht="15.75" thickTop="1">
      <c r="A94" s="480"/>
      <c r="B94" s="484">
        <f>B29</f>
        <v>111</v>
      </c>
      <c r="C94" s="500"/>
      <c r="D94" s="500"/>
      <c r="E94" s="500"/>
      <c r="F94" s="500"/>
      <c r="G94" s="529"/>
      <c r="H94" s="529"/>
      <c r="I94" s="529"/>
      <c r="J94" s="529"/>
      <c r="K94" s="530"/>
      <c r="L94" s="531"/>
      <c r="M94" s="532"/>
      <c r="N94" s="2749"/>
      <c r="O94" s="2749"/>
      <c r="P94" s="2740"/>
      <c r="Q94" s="2735"/>
      <c r="R94" s="2721"/>
      <c r="S94" s="2721"/>
      <c r="T94" s="2721"/>
      <c r="U94" s="2721"/>
      <c r="V94" s="2721"/>
      <c r="W94" s="2721"/>
      <c r="X94" s="2721"/>
      <c r="Y94" s="2721"/>
      <c r="Z94" s="2721"/>
      <c r="AA94" s="2721"/>
      <c r="AB94" s="2721"/>
      <c r="AC94" s="2721"/>
    </row>
    <row r="95" spans="1:29" ht="15.75" thickBot="1">
      <c r="A95" s="480"/>
      <c r="B95" s="489"/>
      <c r="C95" s="506"/>
      <c r="D95" s="482"/>
      <c r="E95" s="482"/>
      <c r="F95" s="482"/>
      <c r="G95" s="482"/>
      <c r="H95" s="482"/>
      <c r="I95" s="482"/>
      <c r="J95" s="482"/>
      <c r="K95" s="482"/>
      <c r="L95" s="482"/>
      <c r="M95" s="483"/>
      <c r="N95" s="2750"/>
      <c r="O95" s="2750"/>
      <c r="P95" s="2740"/>
      <c r="Q95" s="2735"/>
      <c r="R95" s="2721"/>
      <c r="S95" s="2721"/>
      <c r="T95" s="2721"/>
      <c r="U95" s="2721"/>
      <c r="V95" s="2721"/>
      <c r="W95" s="2721"/>
      <c r="X95" s="2721"/>
      <c r="Y95" s="2721"/>
      <c r="Z95" s="2721"/>
      <c r="AA95" s="2721"/>
      <c r="AB95" s="2721"/>
      <c r="AC95" s="2721"/>
    </row>
    <row r="96" spans="1:29" ht="15.75" thickTop="1">
      <c r="A96" s="480"/>
      <c r="B96" s="484">
        <f>B30</f>
        <v>111</v>
      </c>
      <c r="C96" s="500"/>
      <c r="D96" s="500"/>
      <c r="E96" s="500"/>
      <c r="F96" s="500"/>
      <c r="G96" s="529"/>
      <c r="H96" s="529"/>
      <c r="I96" s="529"/>
      <c r="J96" s="529"/>
      <c r="K96" s="530"/>
      <c r="L96" s="531"/>
      <c r="M96" s="532"/>
      <c r="N96" s="2749"/>
      <c r="O96" s="2749"/>
      <c r="P96" s="2740"/>
      <c r="Q96" s="2735"/>
      <c r="R96" s="2721"/>
      <c r="S96" s="2721"/>
      <c r="T96" s="2721"/>
      <c r="U96" s="2721"/>
      <c r="V96" s="2721"/>
      <c r="W96" s="2721"/>
      <c r="X96" s="2721"/>
      <c r="Y96" s="2721"/>
      <c r="Z96" s="2721"/>
      <c r="AA96" s="2721"/>
      <c r="AB96" s="2721"/>
      <c r="AC96" s="2721"/>
    </row>
    <row r="97" spans="1:29" ht="15.75" thickBot="1">
      <c r="A97" s="480"/>
      <c r="B97" s="489"/>
      <c r="C97" s="506"/>
      <c r="D97" s="482"/>
      <c r="E97" s="482"/>
      <c r="F97" s="482"/>
      <c r="G97" s="482"/>
      <c r="H97" s="482"/>
      <c r="I97" s="482"/>
      <c r="J97" s="482"/>
      <c r="K97" s="482"/>
      <c r="L97" s="482"/>
      <c r="M97" s="483"/>
      <c r="N97" s="2750"/>
      <c r="O97" s="2750"/>
      <c r="P97" s="2740"/>
      <c r="Q97" s="2735"/>
      <c r="R97" s="2721"/>
      <c r="S97" s="2721"/>
      <c r="T97" s="2721"/>
      <c r="U97" s="2721"/>
      <c r="V97" s="2721"/>
      <c r="W97" s="2721"/>
      <c r="X97" s="2721"/>
      <c r="Y97" s="2721"/>
      <c r="Z97" s="2721"/>
      <c r="AA97" s="2721"/>
      <c r="AB97" s="2721"/>
      <c r="AC97" s="2721"/>
    </row>
    <row r="98" spans="1:29" ht="15.75" thickTop="1">
      <c r="A98" s="480"/>
      <c r="B98" s="492">
        <f>B31</f>
        <v>111</v>
      </c>
      <c r="C98" s="500"/>
      <c r="D98" s="500"/>
      <c r="E98" s="500"/>
      <c r="F98" s="500"/>
      <c r="G98" s="533"/>
      <c r="H98" s="533"/>
      <c r="I98" s="533"/>
      <c r="J98" s="533"/>
      <c r="K98" s="534"/>
      <c r="L98" s="535"/>
      <c r="M98" s="536"/>
      <c r="N98" s="2749"/>
      <c r="O98" s="2749"/>
      <c r="P98" s="2740"/>
      <c r="Q98" s="2735"/>
      <c r="R98" s="2721"/>
      <c r="S98" s="2721"/>
      <c r="T98" s="2721"/>
      <c r="U98" s="2721"/>
      <c r="V98" s="2721"/>
      <c r="W98" s="2721"/>
      <c r="X98" s="2721"/>
      <c r="Y98" s="2721"/>
      <c r="Z98" s="2721"/>
      <c r="AA98" s="2721"/>
      <c r="AB98" s="2721"/>
      <c r="AC98" s="2721"/>
    </row>
    <row r="99" spans="1:29" ht="15.75" thickBot="1">
      <c r="A99" s="1924"/>
      <c r="B99" s="515"/>
      <c r="C99" s="516"/>
      <c r="D99" s="516"/>
      <c r="E99" s="516"/>
      <c r="F99" s="516"/>
      <c r="G99" s="537"/>
      <c r="H99" s="537"/>
      <c r="I99" s="537"/>
      <c r="J99" s="537"/>
      <c r="K99" s="537"/>
      <c r="L99" s="537"/>
      <c r="M99" s="538"/>
      <c r="N99" s="2750"/>
      <c r="O99" s="2750"/>
      <c r="P99" s="2740"/>
      <c r="Q99" s="2735"/>
      <c r="R99" s="2721"/>
      <c r="S99" s="2721"/>
      <c r="T99" s="2721"/>
      <c r="U99" s="2721"/>
      <c r="V99" s="2721"/>
      <c r="W99" s="2721"/>
      <c r="X99" s="2721"/>
      <c r="Y99" s="2721"/>
      <c r="Z99" s="2721"/>
      <c r="AA99" s="2721"/>
      <c r="AB99" s="2721"/>
      <c r="AC99" s="2721"/>
    </row>
    <row r="100" spans="1:29">
      <c r="A100" s="473" t="s">
        <v>1694</v>
      </c>
      <c r="B100" s="474" t="s">
        <v>1805</v>
      </c>
      <c r="C100" s="476"/>
      <c r="D100" s="476"/>
      <c r="E100" s="476"/>
      <c r="F100" s="476"/>
      <c r="G100" s="476"/>
      <c r="H100" s="476"/>
      <c r="I100" s="476"/>
      <c r="J100" s="476"/>
      <c r="K100" s="477"/>
      <c r="L100" s="478"/>
      <c r="M100" s="479"/>
      <c r="N100" s="2749"/>
      <c r="O100" s="2749"/>
      <c r="P100" s="2740"/>
      <c r="Q100" s="2735"/>
      <c r="R100" s="2721"/>
      <c r="S100" s="2721"/>
      <c r="T100" s="2721"/>
      <c r="U100" s="2721"/>
      <c r="V100" s="2721"/>
      <c r="W100" s="2721"/>
      <c r="X100" s="2721"/>
      <c r="Y100" s="2721"/>
      <c r="Z100" s="2721"/>
      <c r="AA100" s="2721"/>
      <c r="AB100" s="2721"/>
      <c r="AC100" s="2721"/>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19" customFormat="1">
      <c r="A103" s="539"/>
      <c r="B103" s="540"/>
      <c r="C103" s="541"/>
      <c r="D103" s="541"/>
      <c r="E103" s="541"/>
      <c r="F103" s="541"/>
      <c r="G103" s="541"/>
      <c r="H103" s="541"/>
      <c r="I103" s="541"/>
      <c r="J103" s="542"/>
      <c r="K103" s="542"/>
      <c r="L103" s="543"/>
      <c r="M103" s="544"/>
      <c r="N103" s="2751"/>
      <c r="O103" s="2751"/>
      <c r="P103" s="2741"/>
      <c r="Q103" s="2742"/>
      <c r="R103" s="2743"/>
      <c r="S103" s="2743"/>
      <c r="T103" s="2743"/>
      <c r="U103" s="2743"/>
      <c r="V103" s="2743"/>
      <c r="W103" s="2743"/>
      <c r="X103" s="2743"/>
      <c r="Y103" s="2743"/>
      <c r="Z103" s="2743"/>
      <c r="AA103" s="2743"/>
      <c r="AB103" s="2743"/>
      <c r="AC103" s="2743"/>
    </row>
    <row r="104" spans="1:29" s="419" customFormat="1" ht="15.75" thickBot="1">
      <c r="A104" s="499"/>
      <c r="B104" s="489"/>
      <c r="C104" s="506"/>
      <c r="D104" s="482"/>
      <c r="E104" s="482"/>
      <c r="F104" s="482"/>
      <c r="G104" s="482"/>
      <c r="H104" s="482"/>
      <c r="I104" s="482"/>
      <c r="J104" s="482"/>
      <c r="K104" s="482"/>
      <c r="L104" s="482"/>
      <c r="M104" s="483"/>
      <c r="N104" s="2750"/>
      <c r="O104" s="2750"/>
      <c r="P104" s="2741"/>
      <c r="Q104" s="2742"/>
      <c r="R104" s="2743"/>
      <c r="S104" s="2743"/>
      <c r="T104" s="2743"/>
      <c r="U104" s="2743"/>
      <c r="V104" s="2743"/>
      <c r="W104" s="2743"/>
      <c r="X104" s="2743"/>
      <c r="Y104" s="2743"/>
      <c r="Z104" s="2743"/>
      <c r="AA104" s="2743"/>
      <c r="AB104" s="2743"/>
      <c r="AC104" s="2743"/>
    </row>
    <row r="105" spans="1:29" ht="15" thickTop="1">
      <c r="A105" s="545"/>
      <c r="B105" s="484" t="s">
        <v>1738</v>
      </c>
      <c r="C105" s="500"/>
      <c r="D105" s="500"/>
      <c r="E105" s="529"/>
      <c r="F105" s="529"/>
      <c r="G105" s="529"/>
      <c r="H105" s="529"/>
      <c r="I105" s="529"/>
      <c r="J105" s="529"/>
      <c r="K105" s="530"/>
      <c r="L105" s="531"/>
      <c r="M105" s="532"/>
      <c r="N105" s="2749"/>
      <c r="O105" s="2749"/>
      <c r="P105" s="2740"/>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5"/>
      <c r="B107" s="484" t="s">
        <v>1740</v>
      </c>
      <c r="C107" s="500"/>
      <c r="D107" s="500"/>
      <c r="E107" s="500"/>
      <c r="F107" s="529"/>
      <c r="G107" s="529"/>
      <c r="H107" s="529"/>
      <c r="I107" s="529"/>
      <c r="J107" s="529"/>
      <c r="K107" s="530"/>
      <c r="L107" s="531"/>
      <c r="M107" s="532"/>
      <c r="N107" s="2749"/>
      <c r="O107" s="2749"/>
      <c r="P107" s="2740"/>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9"/>
      <c r="O109" s="2749"/>
      <c r="P109" s="2740"/>
      <c r="Q109" s="2735"/>
      <c r="R109" s="2721"/>
      <c r="S109" s="2721"/>
      <c r="T109" s="2721"/>
      <c r="U109" s="2721"/>
      <c r="V109" s="2721"/>
      <c r="W109" s="2721"/>
      <c r="X109" s="2721"/>
      <c r="Y109" s="2721"/>
      <c r="Z109" s="2721"/>
      <c r="AA109" s="2721"/>
      <c r="AB109" s="2721"/>
      <c r="AC109" s="2721"/>
    </row>
    <row r="110" spans="1:29">
      <c r="A110" s="545"/>
      <c r="B110" s="492"/>
      <c r="C110" s="549">
        <v>0.5</v>
      </c>
      <c r="D110" s="549">
        <v>0.6</v>
      </c>
      <c r="E110" s="549">
        <v>0.7</v>
      </c>
      <c r="F110" s="549">
        <v>0.8</v>
      </c>
      <c r="G110" s="549">
        <v>0.9</v>
      </c>
      <c r="H110" s="549">
        <v>1.0001</v>
      </c>
      <c r="I110" s="568"/>
      <c r="J110" s="568"/>
      <c r="K110" s="569"/>
      <c r="L110" s="570"/>
      <c r="M110" s="571"/>
      <c r="N110" s="2749"/>
      <c r="O110" s="2749"/>
      <c r="P110" s="2740"/>
      <c r="Q110" s="2735"/>
      <c r="R110" s="2721"/>
      <c r="S110" s="2721"/>
      <c r="T110" s="2721"/>
      <c r="U110" s="2721"/>
      <c r="V110" s="2721"/>
      <c r="W110" s="2721"/>
      <c r="X110" s="2721"/>
      <c r="Y110" s="2721"/>
      <c r="Z110" s="2721"/>
      <c r="AA110" s="2721"/>
      <c r="AB110" s="2721"/>
      <c r="AC110" s="2721"/>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50"/>
      <c r="O111" s="2750"/>
      <c r="P111" s="2740"/>
      <c r="Q111" s="2735"/>
      <c r="R111" s="2721"/>
      <c r="S111" s="2721"/>
      <c r="T111" s="2721"/>
      <c r="U111" s="2721"/>
      <c r="V111" s="2721"/>
      <c r="W111" s="2721"/>
      <c r="X111" s="2721"/>
      <c r="Y111" s="2721"/>
      <c r="Z111" s="2721"/>
      <c r="AA111" s="2721"/>
      <c r="AB111" s="2721"/>
      <c r="AC111" s="2721"/>
    </row>
    <row r="112" spans="1:29" s="419" customFormat="1" ht="15" thickTop="1">
      <c r="A112" s="539"/>
      <c r="B112" s="484" t="s">
        <v>1742</v>
      </c>
      <c r="C112" s="500"/>
      <c r="D112" s="500"/>
      <c r="E112" s="500"/>
      <c r="F112" s="500"/>
      <c r="G112" s="500"/>
      <c r="H112" s="529"/>
      <c r="I112" s="529"/>
      <c r="J112" s="529"/>
      <c r="K112" s="530"/>
      <c r="L112" s="531"/>
      <c r="M112" s="532"/>
      <c r="N112" s="2751"/>
      <c r="O112" s="2751"/>
      <c r="P112" s="2741"/>
      <c r="Q112" s="2742"/>
      <c r="R112" s="2743"/>
      <c r="S112" s="2743"/>
      <c r="T112" s="2743"/>
      <c r="U112" s="2743"/>
      <c r="V112" s="2743"/>
      <c r="W112" s="2743"/>
      <c r="X112" s="2743"/>
      <c r="Y112" s="2743"/>
      <c r="Z112" s="2743"/>
      <c r="AA112" s="2743"/>
      <c r="AB112" s="2743"/>
      <c r="AC112" s="2743"/>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5"/>
      <c r="B114" s="484" t="s">
        <v>1806</v>
      </c>
      <c r="C114" s="500"/>
      <c r="D114" s="500"/>
      <c r="E114" s="529"/>
      <c r="F114" s="529"/>
      <c r="G114" s="529"/>
      <c r="H114" s="529"/>
      <c r="I114" s="529"/>
      <c r="J114" s="529"/>
      <c r="K114" s="530"/>
      <c r="L114" s="531"/>
      <c r="M114" s="532"/>
      <c r="N114" s="2749"/>
      <c r="O114" s="2749"/>
      <c r="P114" s="2740"/>
      <c r="Q114" s="2735"/>
      <c r="R114" s="2721"/>
      <c r="S114" s="2721"/>
      <c r="T114" s="2721"/>
      <c r="U114" s="2721"/>
      <c r="V114" s="2721"/>
      <c r="W114" s="2721"/>
      <c r="X114" s="2721"/>
      <c r="Y114" s="2721"/>
      <c r="Z114" s="2721"/>
      <c r="AA114" s="2721"/>
      <c r="AB114" s="2721"/>
      <c r="AC114" s="2721"/>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5"/>
      <c r="B116" s="484" t="s">
        <v>1807</v>
      </c>
      <c r="C116" s="500"/>
      <c r="D116" s="500"/>
      <c r="E116" s="500"/>
      <c r="F116" s="500"/>
      <c r="G116" s="500"/>
      <c r="H116" s="529"/>
      <c r="I116" s="529"/>
      <c r="J116" s="529"/>
      <c r="K116" s="530"/>
      <c r="L116" s="531"/>
      <c r="M116" s="532"/>
      <c r="N116" s="2749"/>
      <c r="O116" s="2749"/>
      <c r="P116" s="2740"/>
      <c r="Q116" s="2735"/>
      <c r="R116" s="2721"/>
      <c r="S116" s="2721"/>
      <c r="T116" s="2721"/>
      <c r="U116" s="2721"/>
      <c r="V116" s="2721"/>
      <c r="W116" s="2721"/>
      <c r="X116" s="2721"/>
      <c r="Y116" s="2721"/>
      <c r="Z116" s="2721"/>
      <c r="AA116" s="2721"/>
      <c r="AB116" s="2721"/>
      <c r="AC116" s="2721"/>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50"/>
      <c r="O117" s="2750"/>
      <c r="P117" s="2740"/>
      <c r="Q117" s="2735"/>
      <c r="R117" s="2721"/>
      <c r="S117" s="2721"/>
      <c r="T117" s="2721"/>
      <c r="U117" s="2721"/>
      <c r="V117" s="2721"/>
      <c r="W117" s="2721"/>
      <c r="X117" s="2721"/>
      <c r="Y117" s="2721"/>
      <c r="Z117" s="2721"/>
      <c r="AA117" s="2721"/>
      <c r="AB117" s="2721"/>
      <c r="AC117" s="2721"/>
    </row>
    <row r="118" spans="1:29" ht="15" thickTop="1">
      <c r="A118" s="545"/>
      <c r="B118" s="484" t="s">
        <v>1808</v>
      </c>
      <c r="C118" s="572"/>
      <c r="D118" s="572"/>
      <c r="E118" s="572"/>
      <c r="F118" s="572"/>
      <c r="G118" s="572"/>
      <c r="H118" s="501"/>
      <c r="I118" s="501"/>
      <c r="J118" s="501"/>
      <c r="K118" s="501"/>
      <c r="L118" s="502"/>
      <c r="M118" s="503"/>
      <c r="N118" s="2749"/>
      <c r="O118" s="2749"/>
      <c r="P118" s="2740"/>
      <c r="Q118" s="2735"/>
      <c r="R118" s="2721"/>
      <c r="S118" s="2721"/>
      <c r="T118" s="2721"/>
      <c r="U118" s="2721"/>
      <c r="V118" s="2721"/>
      <c r="W118" s="2721"/>
      <c r="X118" s="2721"/>
      <c r="Y118" s="2721"/>
      <c r="Z118" s="2721"/>
      <c r="AA118" s="2721"/>
      <c r="AB118" s="2721"/>
      <c r="AC118" s="2721"/>
    </row>
    <row r="119" spans="1:29" ht="15.75" thickBot="1">
      <c r="A119" s="480"/>
      <c r="B119" s="489"/>
      <c r="C119" s="506"/>
      <c r="D119" s="482"/>
      <c r="E119" s="482"/>
      <c r="F119" s="482"/>
      <c r="G119" s="482"/>
      <c r="H119" s="482"/>
      <c r="I119" s="482"/>
      <c r="J119" s="482"/>
      <c r="K119" s="482"/>
      <c r="L119" s="482"/>
      <c r="M119" s="483"/>
      <c r="N119" s="2750"/>
      <c r="O119" s="2750"/>
      <c r="P119" s="2740"/>
      <c r="Q119" s="2735"/>
      <c r="R119" s="2721"/>
      <c r="S119" s="2721"/>
      <c r="T119" s="2721"/>
      <c r="U119" s="2721"/>
      <c r="V119" s="2721"/>
      <c r="W119" s="2721"/>
      <c r="X119" s="2721"/>
      <c r="Y119" s="2721"/>
      <c r="Z119" s="2721"/>
      <c r="AA119" s="2721"/>
      <c r="AB119" s="2721"/>
      <c r="AC119" s="2721"/>
    </row>
    <row r="120" spans="1:29" s="419" customFormat="1" ht="15" thickTop="1">
      <c r="A120" s="539"/>
      <c r="B120" s="484" t="s">
        <v>1809</v>
      </c>
      <c r="C120" s="529"/>
      <c r="D120" s="529"/>
      <c r="E120" s="529"/>
      <c r="F120" s="529"/>
      <c r="G120" s="501"/>
      <c r="H120" s="501"/>
      <c r="I120" s="501"/>
      <c r="J120" s="501"/>
      <c r="K120" s="501"/>
      <c r="L120" s="502"/>
      <c r="M120" s="503"/>
      <c r="N120" s="2751"/>
      <c r="O120" s="2751"/>
      <c r="P120" s="2741"/>
      <c r="Q120" s="2742"/>
      <c r="R120" s="2743"/>
      <c r="S120" s="2743"/>
      <c r="T120" s="2743"/>
      <c r="U120" s="2743"/>
      <c r="V120" s="2743"/>
      <c r="W120" s="2743"/>
      <c r="X120" s="2743"/>
      <c r="Y120" s="2743"/>
      <c r="Z120" s="2743"/>
      <c r="AA120" s="2743"/>
      <c r="AB120" s="2743"/>
      <c r="AC120" s="2743"/>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5"/>
      <c r="B122" s="484" t="s">
        <v>1744</v>
      </c>
      <c r="C122" s="500"/>
      <c r="D122" s="500"/>
      <c r="E122" s="500"/>
      <c r="F122" s="529"/>
      <c r="G122" s="529"/>
      <c r="H122" s="529"/>
      <c r="I122" s="529"/>
      <c r="J122" s="529"/>
      <c r="K122" s="530"/>
      <c r="L122" s="531"/>
      <c r="M122" s="532"/>
      <c r="N122" s="2749"/>
      <c r="O122" s="2749"/>
      <c r="P122" s="2740"/>
      <c r="Q122" s="2735"/>
      <c r="R122" s="2721"/>
      <c r="S122" s="2721"/>
      <c r="T122" s="2721"/>
      <c r="U122" s="2721"/>
      <c r="V122" s="2721"/>
      <c r="W122" s="2721"/>
      <c r="X122" s="2721"/>
      <c r="Y122" s="2721"/>
      <c r="Z122" s="2721"/>
      <c r="AA122" s="2721"/>
      <c r="AB122" s="2721"/>
      <c r="AC122" s="2721"/>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9"/>
      <c r="O124" s="2749"/>
      <c r="P124" s="2741"/>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50"/>
      <c r="O125" s="2750"/>
      <c r="P125" s="2740"/>
      <c r="Q125" s="2735"/>
      <c r="R125" s="2721"/>
      <c r="S125" s="2721"/>
      <c r="T125" s="2721"/>
      <c r="U125" s="2721"/>
      <c r="V125" s="2721"/>
      <c r="W125" s="2721"/>
      <c r="X125" s="2721"/>
      <c r="Y125" s="2721"/>
      <c r="Z125" s="2721"/>
      <c r="AA125" s="2721"/>
      <c r="AB125" s="2721"/>
      <c r="AC125" s="2721"/>
    </row>
    <row r="126" spans="1:29" s="419" customFormat="1" ht="15" thickTop="1">
      <c r="A126" s="539"/>
      <c r="B126" s="484">
        <f>B44</f>
        <v>111</v>
      </c>
      <c r="C126" s="500"/>
      <c r="D126" s="500"/>
      <c r="E126" s="500"/>
      <c r="F126" s="500"/>
      <c r="G126" s="500"/>
      <c r="H126" s="501"/>
      <c r="I126" s="501"/>
      <c r="J126" s="501"/>
      <c r="K126" s="501"/>
      <c r="L126" s="502"/>
      <c r="M126" s="503"/>
      <c r="N126" s="2751"/>
      <c r="O126" s="2751"/>
      <c r="P126" s="2741"/>
      <c r="Q126" s="2742"/>
      <c r="R126" s="2743"/>
      <c r="S126" s="2743"/>
      <c r="T126" s="2743"/>
      <c r="U126" s="2743"/>
      <c r="V126" s="2743"/>
      <c r="W126" s="2743"/>
      <c r="X126" s="2743"/>
      <c r="Y126" s="2743"/>
      <c r="Z126" s="2743"/>
      <c r="AA126" s="2743"/>
      <c r="AB126" s="2743"/>
      <c r="AC126" s="2743"/>
    </row>
    <row r="127" spans="1:29" s="419" customFormat="1" ht="15.75" thickBot="1">
      <c r="A127" s="499"/>
      <c r="B127" s="489"/>
      <c r="C127" s="506"/>
      <c r="D127" s="482"/>
      <c r="E127" s="482"/>
      <c r="F127" s="482"/>
      <c r="G127" s="506"/>
      <c r="H127" s="508"/>
      <c r="I127" s="508"/>
      <c r="J127" s="508"/>
      <c r="K127" s="508"/>
      <c r="L127" s="508"/>
      <c r="M127" s="509"/>
      <c r="N127" s="2751"/>
      <c r="O127" s="2751"/>
      <c r="P127" s="2741"/>
      <c r="Q127" s="2742"/>
      <c r="R127" s="2743"/>
      <c r="S127" s="2743"/>
      <c r="T127" s="2743"/>
      <c r="U127" s="2743"/>
      <c r="V127" s="2743"/>
      <c r="W127" s="2743"/>
      <c r="X127" s="2743"/>
      <c r="Y127" s="2743"/>
      <c r="Z127" s="2743"/>
      <c r="AA127" s="2743"/>
      <c r="AB127" s="2743"/>
      <c r="AC127" s="2743"/>
    </row>
    <row r="128" spans="1:29" ht="15" thickTop="1">
      <c r="A128" s="545"/>
      <c r="B128" s="484">
        <f>B45</f>
        <v>111</v>
      </c>
      <c r="C128" s="500"/>
      <c r="D128" s="500"/>
      <c r="E128" s="500"/>
      <c r="F128" s="500"/>
      <c r="G128" s="529"/>
      <c r="H128" s="529"/>
      <c r="I128" s="529"/>
      <c r="J128" s="529"/>
      <c r="K128" s="530"/>
      <c r="L128" s="531"/>
      <c r="M128" s="532"/>
      <c r="N128" s="2749"/>
      <c r="O128" s="2749"/>
      <c r="P128" s="2740"/>
      <c r="Q128" s="2735"/>
      <c r="R128" s="2721"/>
      <c r="S128" s="2721"/>
      <c r="T128" s="2721"/>
      <c r="U128" s="2721"/>
      <c r="V128" s="2721"/>
      <c r="W128" s="2721"/>
      <c r="X128" s="2721"/>
      <c r="Y128" s="2721"/>
      <c r="Z128" s="2721"/>
      <c r="AA128" s="2721"/>
      <c r="AB128" s="2721"/>
      <c r="AC128" s="2721"/>
    </row>
    <row r="129" spans="1:29" ht="15.75" thickBot="1">
      <c r="A129" s="480"/>
      <c r="B129" s="489"/>
      <c r="C129" s="506"/>
      <c r="D129" s="482"/>
      <c r="E129" s="482"/>
      <c r="F129" s="482"/>
      <c r="G129" s="482"/>
      <c r="H129" s="482"/>
      <c r="I129" s="482"/>
      <c r="J129" s="482"/>
      <c r="K129" s="482"/>
      <c r="L129" s="482"/>
      <c r="M129" s="483"/>
      <c r="N129" s="2750"/>
      <c r="O129" s="2750"/>
      <c r="P129" s="2740"/>
      <c r="Q129" s="2735"/>
      <c r="R129" s="2721"/>
      <c r="S129" s="2721"/>
      <c r="T129" s="2721"/>
      <c r="U129" s="2721"/>
      <c r="V129" s="2721"/>
      <c r="W129" s="2721"/>
      <c r="X129" s="2721"/>
      <c r="Y129" s="2721"/>
      <c r="Z129" s="2721"/>
      <c r="AA129" s="2721"/>
      <c r="AB129" s="2721"/>
      <c r="AC129" s="2721"/>
    </row>
    <row r="130" spans="1:29" ht="15" thickTop="1">
      <c r="A130" s="545"/>
      <c r="B130" s="492">
        <f>B46</f>
        <v>111</v>
      </c>
      <c r="C130" s="500"/>
      <c r="D130" s="500"/>
      <c r="E130" s="500"/>
      <c r="F130" s="500"/>
      <c r="G130" s="533"/>
      <c r="H130" s="533"/>
      <c r="I130" s="533"/>
      <c r="J130" s="533"/>
      <c r="K130" s="469"/>
      <c r="L130" s="470"/>
      <c r="M130" s="536"/>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5"/>
      <c r="C131" s="516"/>
      <c r="D131" s="516"/>
      <c r="E131" s="516"/>
      <c r="F131" s="516"/>
      <c r="G131" s="537"/>
      <c r="H131" s="537"/>
      <c r="I131" s="537"/>
      <c r="J131" s="537"/>
      <c r="K131" s="537"/>
      <c r="L131" s="537"/>
      <c r="M131" s="538"/>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316967.99</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63" t="s">
        <v>1770</v>
      </c>
      <c r="D4" s="3764"/>
      <c r="E4" s="3765" t="s">
        <v>1771</v>
      </c>
      <c r="F4" s="3766"/>
      <c r="G4" s="3763" t="s">
        <v>1772</v>
      </c>
      <c r="H4" s="3764"/>
      <c r="I4" s="3763" t="s">
        <v>1773</v>
      </c>
      <c r="J4" s="3764"/>
      <c r="K4" s="556" t="s">
        <v>1774</v>
      </c>
      <c r="L4" s="909"/>
      <c r="M4" s="910"/>
      <c r="N4" s="910"/>
      <c r="O4" s="910"/>
      <c r="P4" s="3829" t="s">
        <v>1775</v>
      </c>
      <c r="Q4" s="3830"/>
      <c r="R4" s="3833" t="s">
        <v>1771</v>
      </c>
      <c r="S4" s="3834"/>
      <c r="T4" s="3833" t="s">
        <v>1772</v>
      </c>
      <c r="U4" s="3834"/>
      <c r="V4" s="3780" t="s">
        <v>1773</v>
      </c>
      <c r="W4" s="3780"/>
      <c r="X4" s="1351"/>
      <c r="Y4" s="3833" t="s">
        <v>1775</v>
      </c>
      <c r="Z4" s="3834"/>
      <c r="AA4" s="3828" t="s">
        <v>1771</v>
      </c>
      <c r="AB4" s="3792" t="s">
        <v>1772</v>
      </c>
      <c r="AC4" s="3828" t="s">
        <v>1773</v>
      </c>
    </row>
    <row r="5" spans="1:29" ht="15">
      <c r="A5" s="355"/>
      <c r="B5" s="356"/>
      <c r="C5" s="3783" t="s">
        <v>1673</v>
      </c>
      <c r="D5" s="3784"/>
      <c r="E5" s="3794" t="s">
        <v>1674</v>
      </c>
      <c r="F5" s="3795"/>
      <c r="G5" s="3783" t="s">
        <v>1675</v>
      </c>
      <c r="H5" s="3784"/>
      <c r="I5" s="3783" t="s">
        <v>1676</v>
      </c>
      <c r="J5" s="3784"/>
      <c r="K5" s="556"/>
      <c r="L5" s="909"/>
      <c r="M5" s="910"/>
      <c r="N5" s="910"/>
      <c r="O5" s="910"/>
      <c r="P5" s="3831"/>
      <c r="Q5" s="3770"/>
      <c r="R5" s="3775"/>
      <c r="S5" s="3776"/>
      <c r="T5" s="3775"/>
      <c r="U5" s="3776"/>
      <c r="V5" s="3780"/>
      <c r="W5" s="3780"/>
      <c r="X5" s="1351"/>
      <c r="Y5" s="3775"/>
      <c r="Z5" s="3776"/>
      <c r="AA5" s="3792"/>
      <c r="AB5" s="3792"/>
      <c r="AC5" s="3792"/>
    </row>
    <row r="6" spans="1:29" ht="15.75" thickBot="1">
      <c r="A6" s="357"/>
      <c r="B6" s="358"/>
      <c r="C6" s="3781" t="s">
        <v>1677</v>
      </c>
      <c r="D6" s="3782"/>
      <c r="E6" s="3789" t="s">
        <v>1677</v>
      </c>
      <c r="F6" s="3790"/>
      <c r="G6" s="3781" t="s">
        <v>1677</v>
      </c>
      <c r="H6" s="3782"/>
      <c r="I6" s="3781" t="s">
        <v>1677</v>
      </c>
      <c r="J6" s="3782"/>
      <c r="K6" s="556" t="s">
        <v>1678</v>
      </c>
      <c r="L6" s="909"/>
      <c r="M6" s="910"/>
      <c r="N6" s="910"/>
      <c r="O6" s="910"/>
      <c r="P6" s="3832"/>
      <c r="Q6" s="3772"/>
      <c r="R6" s="3775"/>
      <c r="S6" s="3776"/>
      <c r="T6" s="3777"/>
      <c r="U6" s="3778"/>
      <c r="V6" s="3780"/>
      <c r="W6" s="3780"/>
      <c r="X6" s="1351"/>
      <c r="Y6" s="3777"/>
      <c r="Z6" s="3778"/>
      <c r="AA6" s="3793"/>
      <c r="AB6" s="3793"/>
      <c r="AC6" s="3793"/>
    </row>
    <row r="7" spans="1:29" s="108" customFormat="1" ht="15.75" thickBot="1">
      <c r="A7" s="359" t="s">
        <v>1679</v>
      </c>
      <c r="B7" s="360"/>
      <c r="C7" s="361">
        <f>'数据-取费表'!B2</f>
        <v>45421</v>
      </c>
      <c r="D7" s="362">
        <v>100</v>
      </c>
      <c r="E7" s="363"/>
      <c r="F7" s="364">
        <f>SUMIF(52:52,YEAR(E7)&amp;"-"&amp;MONTH(E7),53:53)</f>
        <v>0</v>
      </c>
      <c r="G7" s="363"/>
      <c r="H7" s="362">
        <f>SUMIF(52:52,YEAR(G7)&amp;"-"&amp;MONTH(G7),53:53)</f>
        <v>0</v>
      </c>
      <c r="I7" s="363"/>
      <c r="J7" s="362">
        <f>SUMIF(52:52,YEAR(I7)&amp;"-"&amp;MONTH(I7),53:53)</f>
        <v>0</v>
      </c>
      <c r="K7" s="557"/>
      <c r="L7" s="911"/>
      <c r="M7" s="912"/>
      <c r="N7" s="912"/>
      <c r="O7" s="912"/>
      <c r="P7" s="3787" t="s">
        <v>1680</v>
      </c>
      <c r="Q7" s="3788"/>
      <c r="R7" s="697" t="s">
        <v>14</v>
      </c>
      <c r="S7" s="698">
        <f t="shared" ref="S7:S15" si="0">F7</f>
        <v>0</v>
      </c>
      <c r="T7" s="697" t="s">
        <v>14</v>
      </c>
      <c r="U7" s="698">
        <f t="shared" ref="U7:U15" si="1">H7</f>
        <v>0</v>
      </c>
      <c r="V7" s="697" t="s">
        <v>14</v>
      </c>
      <c r="W7" s="698">
        <f t="shared" ref="W7:W15" si="2">J7</f>
        <v>0</v>
      </c>
      <c r="X7" s="699"/>
      <c r="Y7" s="3787" t="s">
        <v>1680</v>
      </c>
      <c r="Z7" s="3786"/>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87" t="s">
        <v>1683</v>
      </c>
      <c r="Q8" s="3786"/>
      <c r="R8" s="697" t="s">
        <v>14</v>
      </c>
      <c r="S8" s="698">
        <f t="shared" si="0"/>
        <v>100</v>
      </c>
      <c r="T8" s="697" t="s">
        <v>14</v>
      </c>
      <c r="U8" s="698">
        <f t="shared" si="1"/>
        <v>100</v>
      </c>
      <c r="V8" s="697" t="s">
        <v>14</v>
      </c>
      <c r="W8" s="698">
        <f t="shared" si="2"/>
        <v>100</v>
      </c>
      <c r="X8" s="699"/>
      <c r="Y8" s="3787" t="s">
        <v>1683</v>
      </c>
      <c r="Z8" s="3786"/>
      <c r="AA8" s="700">
        <f t="shared" ref="AA8:AA40" si="3">D8/F8</f>
        <v>1</v>
      </c>
      <c r="AB8" s="700">
        <f t="shared" ref="AB8:AB40" si="4">D8/H8</f>
        <v>1</v>
      </c>
      <c r="AC8" s="700">
        <f t="shared" ref="AC8:AC40" si="5">D8/J8</f>
        <v>1</v>
      </c>
    </row>
    <row r="9" spans="1:29" s="108" customFormat="1">
      <c r="A9" s="366" t="s">
        <v>1684</v>
      </c>
      <c r="B9" s="63" t="s">
        <v>1685</v>
      </c>
      <c r="C9" s="367"/>
      <c r="D9" s="123">
        <v>100</v>
      </c>
      <c r="E9" s="370"/>
      <c r="F9" s="123">
        <f>SUMIF(57:57,E9,58:58)-SUMIF(57:57,C9,58:58)+100</f>
        <v>100</v>
      </c>
      <c r="G9" s="368"/>
      <c r="H9" s="123">
        <f>SUMIF(57:57,G9,58:58)-SUMIF(57:57,C9,58:58)+100</f>
        <v>100</v>
      </c>
      <c r="I9" s="368"/>
      <c r="J9" s="123">
        <f>SUMIF(57:57,I9,58:58)-SUMIF(57:57,C9,58:58)+100</f>
        <v>100</v>
      </c>
      <c r="K9" s="557"/>
      <c r="L9" s="911"/>
      <c r="M9" s="912"/>
      <c r="N9" s="912"/>
      <c r="O9" s="913"/>
      <c r="P9" s="3746" t="s">
        <v>1686</v>
      </c>
      <c r="Q9" s="1339" t="str">
        <f t="shared" ref="Q9:Q15" si="6">B9</f>
        <v>用途</v>
      </c>
      <c r="R9" s="697" t="s">
        <v>14</v>
      </c>
      <c r="S9" s="698">
        <f t="shared" si="0"/>
        <v>100</v>
      </c>
      <c r="T9" s="697" t="s">
        <v>14</v>
      </c>
      <c r="U9" s="698">
        <f t="shared" si="1"/>
        <v>100</v>
      </c>
      <c r="V9" s="697" t="s">
        <v>14</v>
      </c>
      <c r="W9" s="698">
        <f t="shared" si="2"/>
        <v>100</v>
      </c>
      <c r="X9" s="699"/>
      <c r="Y9" s="3652" t="s">
        <v>1687</v>
      </c>
      <c r="Z9" s="52" t="str">
        <f t="shared" ref="Z9:Z15" si="7">Q9</f>
        <v>用途</v>
      </c>
      <c r="AA9" s="700">
        <f t="shared" si="3"/>
        <v>1</v>
      </c>
      <c r="AB9" s="700">
        <f t="shared" si="4"/>
        <v>1</v>
      </c>
      <c r="AC9" s="700">
        <f t="shared" si="5"/>
        <v>1</v>
      </c>
    </row>
    <row r="10" spans="1:29" s="375" customFormat="1" ht="27">
      <c r="A10" s="371"/>
      <c r="B10" s="372" t="s">
        <v>1688</v>
      </c>
      <c r="C10" s="3430"/>
      <c r="D10" s="124">
        <v>100</v>
      </c>
      <c r="E10" s="3430"/>
      <c r="F10" s="124">
        <f>SUMIF(59:59,E10,60:60)-SUMIF(59:59,C10,60:60)+100</f>
        <v>100</v>
      </c>
      <c r="G10" s="3431"/>
      <c r="H10" s="124">
        <f>SUMIF(59:59,G10,60:60)-SUMIF(59:59,C10,60:60)+100</f>
        <v>100</v>
      </c>
      <c r="I10" s="3430"/>
      <c r="J10" s="124">
        <f>SUMIF(59:59,I10,60:60)-SUMIF(59:59,C10,60:60)+100</f>
        <v>100</v>
      </c>
      <c r="K10" s="557"/>
      <c r="L10" s="914"/>
      <c r="M10" s="915"/>
      <c r="N10" s="915"/>
      <c r="O10" s="916"/>
      <c r="P10" s="3746"/>
      <c r="Q10" s="1339" t="str">
        <f t="shared" si="6"/>
        <v>土地使用年限（年）</v>
      </c>
      <c r="R10" s="697" t="s">
        <v>14</v>
      </c>
      <c r="S10" s="698">
        <f t="shared" si="0"/>
        <v>100</v>
      </c>
      <c r="T10" s="697" t="s">
        <v>14</v>
      </c>
      <c r="U10" s="698">
        <f t="shared" si="1"/>
        <v>100</v>
      </c>
      <c r="V10" s="697" t="s">
        <v>14</v>
      </c>
      <c r="W10" s="698">
        <f t="shared" si="2"/>
        <v>100</v>
      </c>
      <c r="X10" s="699"/>
      <c r="Y10" s="3652"/>
      <c r="Z10" s="52" t="str">
        <f t="shared" si="7"/>
        <v>土地使用年限（年）</v>
      </c>
      <c r="AA10" s="700">
        <f t="shared" si="3"/>
        <v>1</v>
      </c>
      <c r="AB10" s="700">
        <f t="shared" si="4"/>
        <v>1</v>
      </c>
      <c r="AC10" s="700">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7"/>
      <c r="M11" s="910"/>
      <c r="N11" s="910"/>
      <c r="O11" s="918"/>
      <c r="P11" s="3746"/>
      <c r="Q11" s="1339" t="str">
        <f t="shared" si="6"/>
        <v>容积率</v>
      </c>
      <c r="R11" s="697" t="s">
        <v>14</v>
      </c>
      <c r="S11" s="698">
        <f t="shared" si="0"/>
        <v>100</v>
      </c>
      <c r="T11" s="697" t="s">
        <v>14</v>
      </c>
      <c r="U11" s="698">
        <f t="shared" si="1"/>
        <v>100</v>
      </c>
      <c r="V11" s="697" t="s">
        <v>14</v>
      </c>
      <c r="W11" s="698">
        <f t="shared" si="2"/>
        <v>100</v>
      </c>
      <c r="X11" s="699"/>
      <c r="Y11" s="3652"/>
      <c r="Z11" s="52" t="str">
        <f t="shared" si="7"/>
        <v>容积率</v>
      </c>
      <c r="AA11" s="700">
        <f t="shared" si="3"/>
        <v>1</v>
      </c>
      <c r="AB11" s="700">
        <f t="shared" si="4"/>
        <v>1</v>
      </c>
      <c r="AC11" s="700">
        <f t="shared" si="5"/>
        <v>1</v>
      </c>
    </row>
    <row r="12" spans="1:29" s="108" customFormat="1" ht="15">
      <c r="A12" s="379"/>
      <c r="B12" s="1889">
        <v>111</v>
      </c>
      <c r="C12" s="380"/>
      <c r="D12" s="381">
        <v>100</v>
      </c>
      <c r="E12" s="382"/>
      <c r="F12" s="124">
        <f>SUMIF(64:64,E12,65:65)-SUMIF(64:64,C12,65:65)+100</f>
        <v>100</v>
      </c>
      <c r="G12" s="1966"/>
      <c r="H12" s="124">
        <f>SUMIF(64:64,G12,65:65)-SUMIF(64:64,C12,65:65)+100</f>
        <v>100</v>
      </c>
      <c r="I12" s="417"/>
      <c r="J12" s="124">
        <f>SUMIF(64:64,I12,65:65)-SUMIF(64:64,C12,65:65)+100</f>
        <v>100</v>
      </c>
      <c r="K12" s="559"/>
      <c r="L12" s="911"/>
      <c r="M12" s="912"/>
      <c r="N12" s="912"/>
      <c r="O12" s="913"/>
      <c r="P12" s="3746"/>
      <c r="Q12" s="1339">
        <f t="shared" si="6"/>
        <v>111</v>
      </c>
      <c r="R12" s="697" t="s">
        <v>14</v>
      </c>
      <c r="S12" s="698">
        <f t="shared" si="0"/>
        <v>100</v>
      </c>
      <c r="T12" s="697" t="s">
        <v>14</v>
      </c>
      <c r="U12" s="698">
        <f t="shared" si="1"/>
        <v>100</v>
      </c>
      <c r="V12" s="697" t="s">
        <v>14</v>
      </c>
      <c r="W12" s="698">
        <f t="shared" si="2"/>
        <v>100</v>
      </c>
      <c r="X12" s="699"/>
      <c r="Y12" s="3652"/>
      <c r="Z12" s="52">
        <f t="shared" si="7"/>
        <v>111</v>
      </c>
      <c r="AA12" s="700">
        <f>D12/F12</f>
        <v>1</v>
      </c>
      <c r="AB12" s="700">
        <f>D12/H12</f>
        <v>1</v>
      </c>
      <c r="AC12" s="700">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19"/>
      <c r="M13" s="910"/>
      <c r="N13" s="910"/>
      <c r="O13" s="918"/>
      <c r="P13" s="3746"/>
      <c r="Q13" s="1339">
        <f t="shared" si="6"/>
        <v>111</v>
      </c>
      <c r="R13" s="697" t="s">
        <v>14</v>
      </c>
      <c r="S13" s="698">
        <f t="shared" si="0"/>
        <v>100</v>
      </c>
      <c r="T13" s="697" t="s">
        <v>14</v>
      </c>
      <c r="U13" s="698">
        <f t="shared" si="1"/>
        <v>100</v>
      </c>
      <c r="V13" s="697" t="s">
        <v>14</v>
      </c>
      <c r="W13" s="698">
        <f t="shared" si="2"/>
        <v>100</v>
      </c>
      <c r="X13" s="699"/>
      <c r="Y13" s="3652"/>
      <c r="Z13" s="52">
        <f t="shared" si="7"/>
        <v>111</v>
      </c>
      <c r="AA13" s="700">
        <f t="shared" si="3"/>
        <v>1</v>
      </c>
      <c r="AB13" s="700">
        <f t="shared" si="4"/>
        <v>1</v>
      </c>
      <c r="AC13" s="700">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19"/>
      <c r="M14" s="910"/>
      <c r="N14" s="910"/>
      <c r="O14" s="918"/>
      <c r="P14" s="3746"/>
      <c r="Q14" s="1339">
        <f t="shared" si="6"/>
        <v>111</v>
      </c>
      <c r="R14" s="697" t="s">
        <v>14</v>
      </c>
      <c r="S14" s="698">
        <f t="shared" si="0"/>
        <v>100</v>
      </c>
      <c r="T14" s="697" t="s">
        <v>14</v>
      </c>
      <c r="U14" s="698">
        <f t="shared" si="1"/>
        <v>100</v>
      </c>
      <c r="V14" s="697" t="s">
        <v>14</v>
      </c>
      <c r="W14" s="698">
        <f t="shared" si="2"/>
        <v>100</v>
      </c>
      <c r="X14" s="699"/>
      <c r="Y14" s="3652"/>
      <c r="Z14" s="52">
        <f t="shared" si="7"/>
        <v>111</v>
      </c>
      <c r="AA14" s="700">
        <f t="shared" si="3"/>
        <v>1</v>
      </c>
      <c r="AB14" s="700">
        <f t="shared" si="4"/>
        <v>1</v>
      </c>
      <c r="AC14" s="700">
        <f t="shared" si="5"/>
        <v>1</v>
      </c>
    </row>
    <row r="15" spans="1:29" ht="57">
      <c r="A15" s="388" t="s">
        <v>1690</v>
      </c>
      <c r="B15" s="61" t="s">
        <v>1827</v>
      </c>
      <c r="C15" s="1967"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53" t="s">
        <v>1691</v>
      </c>
      <c r="Q15" s="1348" t="str">
        <f t="shared" si="6"/>
        <v>产业集聚程度</v>
      </c>
      <c r="R15" s="701" t="s">
        <v>14</v>
      </c>
      <c r="S15" s="702">
        <f t="shared" si="0"/>
        <v>100</v>
      </c>
      <c r="T15" s="701" t="s">
        <v>14</v>
      </c>
      <c r="U15" s="702">
        <f t="shared" si="1"/>
        <v>100</v>
      </c>
      <c r="V15" s="701" t="s">
        <v>14</v>
      </c>
      <c r="W15" s="702">
        <f t="shared" si="2"/>
        <v>100</v>
      </c>
      <c r="X15" s="1351"/>
      <c r="Y15" s="3753"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54"/>
      <c r="Q16" s="1348"/>
      <c r="R16" s="701"/>
      <c r="S16" s="702"/>
      <c r="T16" s="701"/>
      <c r="U16" s="702"/>
      <c r="V16" s="701"/>
      <c r="W16" s="702"/>
      <c r="X16" s="1351"/>
      <c r="Y16" s="3754"/>
      <c r="Z16" s="1352"/>
      <c r="AA16" s="1349">
        <v>1</v>
      </c>
      <c r="AB16" s="1349">
        <v>1</v>
      </c>
      <c r="AC16" s="1349">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54"/>
      <c r="Q17" s="1348" t="str">
        <f>B17</f>
        <v>交通便捷度</v>
      </c>
      <c r="R17" s="701" t="s">
        <v>14</v>
      </c>
      <c r="S17" s="702">
        <f>F17</f>
        <v>100</v>
      </c>
      <c r="T17" s="701" t="s">
        <v>14</v>
      </c>
      <c r="U17" s="702">
        <f>H17</f>
        <v>100</v>
      </c>
      <c r="V17" s="701" t="s">
        <v>14</v>
      </c>
      <c r="W17" s="702">
        <f>J17</f>
        <v>100</v>
      </c>
      <c r="X17" s="1351"/>
      <c r="Y17" s="3754"/>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919"/>
      <c r="M18" s="910"/>
      <c r="N18" s="910"/>
      <c r="O18" s="918"/>
      <c r="P18" s="3754"/>
      <c r="Q18" s="1348"/>
      <c r="R18" s="701"/>
      <c r="S18" s="702"/>
      <c r="T18" s="701"/>
      <c r="U18" s="702"/>
      <c r="V18" s="701"/>
      <c r="W18" s="702"/>
      <c r="X18" s="1351"/>
      <c r="Y18" s="3754"/>
      <c r="Z18" s="1352"/>
      <c r="AA18" s="1349">
        <v>1</v>
      </c>
      <c r="AB18" s="1349">
        <v>1</v>
      </c>
      <c r="AC18" s="1349">
        <v>1</v>
      </c>
    </row>
    <row r="19" spans="1:29" ht="42.75">
      <c r="A19" s="376"/>
      <c r="B19" s="399" t="s">
        <v>1812</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54"/>
      <c r="Q19" s="1348" t="str">
        <f>B19</f>
        <v>公共配套设施</v>
      </c>
      <c r="R19" s="701" t="s">
        <v>14</v>
      </c>
      <c r="S19" s="702">
        <f>F19</f>
        <v>100</v>
      </c>
      <c r="T19" s="701" t="s">
        <v>14</v>
      </c>
      <c r="U19" s="702">
        <f>H19</f>
        <v>100</v>
      </c>
      <c r="V19" s="701" t="s">
        <v>14</v>
      </c>
      <c r="W19" s="702">
        <f>J19</f>
        <v>100</v>
      </c>
      <c r="X19" s="1351"/>
      <c r="Y19" s="3754"/>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919"/>
      <c r="M20" s="910"/>
      <c r="N20" s="910"/>
      <c r="O20" s="918"/>
      <c r="P20" s="3754"/>
      <c r="Q20" s="1348"/>
      <c r="R20" s="701"/>
      <c r="S20" s="702"/>
      <c r="T20" s="701"/>
      <c r="U20" s="702"/>
      <c r="V20" s="701"/>
      <c r="W20" s="702"/>
      <c r="X20" s="1351"/>
      <c r="Y20" s="3754"/>
      <c r="Z20" s="1352"/>
      <c r="AA20" s="1349">
        <v>1</v>
      </c>
      <c r="AB20" s="1349">
        <v>1</v>
      </c>
      <c r="AC20" s="1349">
        <v>1</v>
      </c>
    </row>
    <row r="21" spans="1:29" ht="28.5">
      <c r="A21" s="376"/>
      <c r="B21" s="1127" t="s">
        <v>1813</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54"/>
      <c r="Q21" s="1348" t="str">
        <f>B21</f>
        <v>基础设施水平</v>
      </c>
      <c r="R21" s="701" t="s">
        <v>14</v>
      </c>
      <c r="S21" s="702">
        <f>F21</f>
        <v>100</v>
      </c>
      <c r="T21" s="701" t="s">
        <v>14</v>
      </c>
      <c r="U21" s="702">
        <f>H21</f>
        <v>100</v>
      </c>
      <c r="V21" s="701" t="s">
        <v>14</v>
      </c>
      <c r="W21" s="702">
        <f>J21</f>
        <v>100</v>
      </c>
      <c r="X21" s="1351"/>
      <c r="Y21" s="3754"/>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919"/>
      <c r="M22" s="910"/>
      <c r="N22" s="910"/>
      <c r="O22" s="918"/>
      <c r="P22" s="3754"/>
      <c r="Q22" s="1348"/>
      <c r="R22" s="701"/>
      <c r="S22" s="702"/>
      <c r="T22" s="701"/>
      <c r="U22" s="702"/>
      <c r="V22" s="701"/>
      <c r="W22" s="702"/>
      <c r="X22" s="1351"/>
      <c r="Y22" s="3754"/>
      <c r="Z22" s="1352"/>
      <c r="AA22" s="1349">
        <v>1</v>
      </c>
      <c r="AB22" s="1349">
        <v>1</v>
      </c>
      <c r="AC22" s="1349">
        <v>1</v>
      </c>
    </row>
    <row r="23" spans="1:29" ht="71.25">
      <c r="A23" s="376"/>
      <c r="B23" s="399" t="s">
        <v>1814</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54"/>
      <c r="Q23" s="1348" t="str">
        <f>B23</f>
        <v>环境质量</v>
      </c>
      <c r="R23" s="701" t="s">
        <v>14</v>
      </c>
      <c r="S23" s="702">
        <f>F23</f>
        <v>100</v>
      </c>
      <c r="T23" s="701" t="s">
        <v>14</v>
      </c>
      <c r="U23" s="702">
        <f>H23</f>
        <v>100</v>
      </c>
      <c r="V23" s="701" t="s">
        <v>14</v>
      </c>
      <c r="W23" s="702">
        <f>J23</f>
        <v>100</v>
      </c>
      <c r="X23" s="1351"/>
      <c r="Y23" s="3754"/>
      <c r="Z23" s="1352" t="str">
        <f>Q23</f>
        <v>环境质量</v>
      </c>
      <c r="AA23" s="1349">
        <f t="shared" si="3"/>
        <v>1</v>
      </c>
      <c r="AB23" s="1349">
        <f t="shared" si="4"/>
        <v>1</v>
      </c>
      <c r="AC23" s="1349">
        <f t="shared" si="5"/>
        <v>1</v>
      </c>
    </row>
    <row r="24" spans="1:29" ht="15">
      <c r="A24" s="376"/>
      <c r="B24" s="1127"/>
      <c r="C24" s="395"/>
      <c r="D24" s="396"/>
      <c r="E24" s="1894"/>
      <c r="F24" s="397"/>
      <c r="G24" s="1893"/>
      <c r="H24" s="396"/>
      <c r="I24" s="1894"/>
      <c r="J24" s="396"/>
      <c r="K24" s="561"/>
      <c r="L24" s="919"/>
      <c r="M24" s="910"/>
      <c r="N24" s="910"/>
      <c r="O24" s="918"/>
      <c r="P24" s="3754"/>
      <c r="Q24" s="1348"/>
      <c r="R24" s="701"/>
      <c r="S24" s="702"/>
      <c r="T24" s="701"/>
      <c r="U24" s="702"/>
      <c r="V24" s="701"/>
      <c r="W24" s="702"/>
      <c r="X24" s="1351"/>
      <c r="Y24" s="3754"/>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54"/>
      <c r="Q25" s="1348">
        <f>B25</f>
        <v>111</v>
      </c>
      <c r="R25" s="701" t="s">
        <v>14</v>
      </c>
      <c r="S25" s="702">
        <f>F25</f>
        <v>100</v>
      </c>
      <c r="T25" s="701" t="s">
        <v>14</v>
      </c>
      <c r="U25" s="702">
        <f>H25</f>
        <v>100</v>
      </c>
      <c r="V25" s="701" t="s">
        <v>14</v>
      </c>
      <c r="W25" s="702">
        <f>J25</f>
        <v>100</v>
      </c>
      <c r="X25" s="1351"/>
      <c r="Y25" s="3754"/>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54"/>
      <c r="Q26" s="1348">
        <f t="shared" ref="Q26:Q40" si="11">B26</f>
        <v>111</v>
      </c>
      <c r="R26" s="701" t="s">
        <v>14</v>
      </c>
      <c r="S26" s="702">
        <f>F26</f>
        <v>100</v>
      </c>
      <c r="T26" s="701" t="s">
        <v>14</v>
      </c>
      <c r="U26" s="702">
        <f>H26</f>
        <v>100</v>
      </c>
      <c r="V26" s="701" t="s">
        <v>14</v>
      </c>
      <c r="W26" s="702">
        <f>J26</f>
        <v>100</v>
      </c>
      <c r="X26" s="1351"/>
      <c r="Y26" s="3754"/>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54"/>
      <c r="Q27" s="1339">
        <f t="shared" si="11"/>
        <v>111</v>
      </c>
      <c r="R27" s="697" t="s">
        <v>14</v>
      </c>
      <c r="S27" s="698">
        <f>F27</f>
        <v>100</v>
      </c>
      <c r="T27" s="697" t="s">
        <v>14</v>
      </c>
      <c r="U27" s="698">
        <f>H27</f>
        <v>100</v>
      </c>
      <c r="V27" s="697" t="s">
        <v>14</v>
      </c>
      <c r="W27" s="698">
        <f>J27</f>
        <v>100</v>
      </c>
      <c r="X27" s="699"/>
      <c r="Y27" s="3754"/>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54"/>
      <c r="Q28" s="1348">
        <f t="shared" si="11"/>
        <v>111</v>
      </c>
      <c r="R28" s="701" t="s">
        <v>14</v>
      </c>
      <c r="S28" s="702">
        <f t="shared" ref="S28:S40" si="12">F28</f>
        <v>100</v>
      </c>
      <c r="T28" s="701" t="s">
        <v>14</v>
      </c>
      <c r="U28" s="702">
        <f t="shared" ref="U28:U40" si="13">H28</f>
        <v>100</v>
      </c>
      <c r="V28" s="701" t="s">
        <v>14</v>
      </c>
      <c r="W28" s="702">
        <f t="shared" ref="W28:W40" si="14">J28</f>
        <v>100</v>
      </c>
      <c r="X28" s="1351"/>
      <c r="Y28" s="3754"/>
      <c r="Z28" s="1352">
        <f t="shared" ref="Z28:Z40" si="15">Q28</f>
        <v>111</v>
      </c>
      <c r="AA28" s="1349">
        <f t="shared" si="3"/>
        <v>1</v>
      </c>
      <c r="AB28" s="1349">
        <f t="shared" si="4"/>
        <v>1</v>
      </c>
      <c r="AC28" s="1349">
        <f t="shared" si="5"/>
        <v>1</v>
      </c>
    </row>
    <row r="29" spans="1:29" ht="28.5">
      <c r="A29" s="414" t="s">
        <v>1694</v>
      </c>
      <c r="B29" s="63" t="s">
        <v>1817</v>
      </c>
      <c r="C29" s="1963"/>
      <c r="D29" s="415">
        <v>100</v>
      </c>
      <c r="E29" s="1963"/>
      <c r="F29" s="409">
        <f>SUMIF(88:88,E29,89:89)-SUMIF(88:88,C29,89:89)+100</f>
        <v>100</v>
      </c>
      <c r="G29" s="1963"/>
      <c r="H29" s="383">
        <f>SUMIF(88:88,G29,89:89)-SUMIF(88:88,C29,89:89)+100</f>
        <v>100</v>
      </c>
      <c r="I29" s="1963"/>
      <c r="J29" s="415">
        <f>SUMIF(88:88,I29,89:89)-SUMIF(88:88,C29,89:89)+100</f>
        <v>100</v>
      </c>
      <c r="K29" s="558"/>
      <c r="L29" s="919"/>
      <c r="M29" s="910"/>
      <c r="N29" s="910"/>
      <c r="O29" s="918"/>
      <c r="P29" s="3835" t="s">
        <v>1696</v>
      </c>
      <c r="Q29" s="1348" t="str">
        <f t="shared" si="11"/>
        <v>建筑类型</v>
      </c>
      <c r="R29" s="701" t="s">
        <v>14</v>
      </c>
      <c r="S29" s="702">
        <f t="shared" si="12"/>
        <v>100</v>
      </c>
      <c r="T29" s="701" t="s">
        <v>14</v>
      </c>
      <c r="U29" s="702">
        <f t="shared" si="13"/>
        <v>100</v>
      </c>
      <c r="V29" s="701" t="s">
        <v>14</v>
      </c>
      <c r="W29" s="702">
        <f t="shared" si="14"/>
        <v>100</v>
      </c>
      <c r="X29" s="1351"/>
      <c r="Y29" s="3758" t="s">
        <v>1696</v>
      </c>
      <c r="Z29" s="1352" t="str">
        <f t="shared" si="15"/>
        <v>建筑类型</v>
      </c>
      <c r="AA29" s="1349">
        <f t="shared" si="3"/>
        <v>1</v>
      </c>
      <c r="AB29" s="1349">
        <f t="shared" si="4"/>
        <v>1</v>
      </c>
      <c r="AC29" s="1349">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7"/>
      <c r="M30" s="920"/>
      <c r="N30" s="920"/>
      <c r="O30" s="921"/>
      <c r="P30" s="3758"/>
      <c r="Q30" s="703" t="str">
        <f t="shared" si="11"/>
        <v>项目建筑规模</v>
      </c>
      <c r="R30" s="704" t="s">
        <v>14</v>
      </c>
      <c r="S30" s="705" t="e">
        <f t="shared" si="12"/>
        <v>#N/A</v>
      </c>
      <c r="T30" s="704" t="s">
        <v>14</v>
      </c>
      <c r="U30" s="705" t="e">
        <f t="shared" si="13"/>
        <v>#N/A</v>
      </c>
      <c r="V30" s="704" t="s">
        <v>14</v>
      </c>
      <c r="W30" s="705" t="e">
        <f t="shared" si="14"/>
        <v>#N/A</v>
      </c>
      <c r="X30" s="706"/>
      <c r="Y30" s="3758"/>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58"/>
      <c r="Q31" s="1348" t="str">
        <f t="shared" si="11"/>
        <v>建筑结构</v>
      </c>
      <c r="R31" s="701" t="s">
        <v>14</v>
      </c>
      <c r="S31" s="702">
        <f t="shared" si="12"/>
        <v>100</v>
      </c>
      <c r="T31" s="701" t="s">
        <v>14</v>
      </c>
      <c r="U31" s="702">
        <f t="shared" si="13"/>
        <v>100</v>
      </c>
      <c r="V31" s="701" t="s">
        <v>14</v>
      </c>
      <c r="W31" s="702">
        <f t="shared" si="14"/>
        <v>100</v>
      </c>
      <c r="X31" s="1351"/>
      <c r="Y31" s="3758"/>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58"/>
      <c r="Q32" s="1348" t="str">
        <f t="shared" si="11"/>
        <v>公共部分装修</v>
      </c>
      <c r="R32" s="701" t="s">
        <v>14</v>
      </c>
      <c r="S32" s="702">
        <f t="shared" si="12"/>
        <v>100</v>
      </c>
      <c r="T32" s="701" t="s">
        <v>14</v>
      </c>
      <c r="U32" s="702">
        <f t="shared" si="13"/>
        <v>100</v>
      </c>
      <c r="V32" s="701" t="s">
        <v>14</v>
      </c>
      <c r="W32" s="702">
        <f t="shared" si="14"/>
        <v>100</v>
      </c>
      <c r="X32" s="1351"/>
      <c r="Y32" s="3758"/>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58"/>
      <c r="Q33" s="1348" t="str">
        <f t="shared" si="11"/>
        <v>成新度</v>
      </c>
      <c r="R33" s="701" t="s">
        <v>14</v>
      </c>
      <c r="S33" s="702" t="e">
        <f t="shared" si="12"/>
        <v>#N/A</v>
      </c>
      <c r="T33" s="701" t="s">
        <v>14</v>
      </c>
      <c r="U33" s="702" t="e">
        <f t="shared" si="13"/>
        <v>#N/A</v>
      </c>
      <c r="V33" s="701" t="s">
        <v>14</v>
      </c>
      <c r="W33" s="702" t="e">
        <f t="shared" si="14"/>
        <v>#N/A</v>
      </c>
      <c r="X33" s="1351"/>
      <c r="Y33" s="3758"/>
      <c r="Z33" s="1352" t="str">
        <f t="shared" si="15"/>
        <v>成新度</v>
      </c>
      <c r="AA33" s="1349" t="e">
        <f t="shared" si="3"/>
        <v>#N/A</v>
      </c>
      <c r="AB33" s="1349" t="e">
        <f t="shared" si="4"/>
        <v>#N/A</v>
      </c>
      <c r="AC33" s="1349" t="e">
        <f t="shared" si="5"/>
        <v>#N/A</v>
      </c>
    </row>
    <row r="34" spans="1:29" s="108"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58"/>
      <c r="Q34" s="1339" t="str">
        <f t="shared" si="11"/>
        <v>物业管理</v>
      </c>
      <c r="R34" s="697" t="s">
        <v>14</v>
      </c>
      <c r="S34" s="698">
        <f t="shared" si="12"/>
        <v>100</v>
      </c>
      <c r="T34" s="697" t="s">
        <v>14</v>
      </c>
      <c r="U34" s="698">
        <f t="shared" si="13"/>
        <v>100</v>
      </c>
      <c r="V34" s="697" t="s">
        <v>14</v>
      </c>
      <c r="W34" s="698">
        <f t="shared" si="14"/>
        <v>100</v>
      </c>
      <c r="X34" s="699"/>
      <c r="Y34" s="3758"/>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58" t="s">
        <v>1696</v>
      </c>
      <c r="Q35" s="1348" t="str">
        <f t="shared" si="11"/>
        <v>市政基础设施</v>
      </c>
      <c r="R35" s="701" t="s">
        <v>14</v>
      </c>
      <c r="S35" s="702">
        <f t="shared" si="12"/>
        <v>100</v>
      </c>
      <c r="T35" s="701" t="s">
        <v>14</v>
      </c>
      <c r="U35" s="702">
        <f t="shared" si="13"/>
        <v>100</v>
      </c>
      <c r="V35" s="701" t="s">
        <v>14</v>
      </c>
      <c r="W35" s="702">
        <f t="shared" si="14"/>
        <v>100</v>
      </c>
      <c r="X35" s="1351"/>
      <c r="Y35" s="3758"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58"/>
      <c r="Q36" s="1348" t="str">
        <f t="shared" si="11"/>
        <v>内部装修</v>
      </c>
      <c r="R36" s="701" t="s">
        <v>14</v>
      </c>
      <c r="S36" s="702">
        <f t="shared" si="12"/>
        <v>100</v>
      </c>
      <c r="T36" s="701" t="s">
        <v>14</v>
      </c>
      <c r="U36" s="702">
        <f t="shared" si="13"/>
        <v>100</v>
      </c>
      <c r="V36" s="701" t="s">
        <v>14</v>
      </c>
      <c r="W36" s="702">
        <f t="shared" si="14"/>
        <v>100</v>
      </c>
      <c r="X36" s="1351"/>
      <c r="Y36" s="3758"/>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58"/>
      <c r="Q37" s="1348" t="str">
        <f t="shared" si="11"/>
        <v>内部装修状况</v>
      </c>
      <c r="R37" s="701" t="s">
        <v>14</v>
      </c>
      <c r="S37" s="702">
        <f t="shared" si="12"/>
        <v>100</v>
      </c>
      <c r="T37" s="701" t="s">
        <v>14</v>
      </c>
      <c r="U37" s="702">
        <f t="shared" si="13"/>
        <v>100</v>
      </c>
      <c r="V37" s="701" t="s">
        <v>14</v>
      </c>
      <c r="W37" s="702">
        <f t="shared" si="14"/>
        <v>100</v>
      </c>
      <c r="X37" s="1351"/>
      <c r="Y37" s="3758"/>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58"/>
      <c r="Q38" s="703">
        <f t="shared" si="11"/>
        <v>111</v>
      </c>
      <c r="R38" s="704" t="s">
        <v>14</v>
      </c>
      <c r="S38" s="705">
        <f t="shared" si="12"/>
        <v>100</v>
      </c>
      <c r="T38" s="704" t="s">
        <v>14</v>
      </c>
      <c r="U38" s="705">
        <f t="shared" si="13"/>
        <v>100</v>
      </c>
      <c r="V38" s="704" t="s">
        <v>14</v>
      </c>
      <c r="W38" s="705">
        <f t="shared" si="14"/>
        <v>100</v>
      </c>
      <c r="X38" s="706"/>
      <c r="Y38" s="3758"/>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58"/>
      <c r="Q39" s="1348">
        <f t="shared" si="11"/>
        <v>111</v>
      </c>
      <c r="R39" s="701" t="s">
        <v>14</v>
      </c>
      <c r="S39" s="702">
        <f t="shared" si="12"/>
        <v>100</v>
      </c>
      <c r="T39" s="701" t="s">
        <v>14</v>
      </c>
      <c r="U39" s="702">
        <f t="shared" si="13"/>
        <v>100</v>
      </c>
      <c r="V39" s="701" t="s">
        <v>14</v>
      </c>
      <c r="W39" s="702">
        <f t="shared" si="14"/>
        <v>100</v>
      </c>
      <c r="X39" s="1351"/>
      <c r="Y39" s="3758"/>
      <c r="Z39" s="1352">
        <f t="shared" si="15"/>
        <v>111</v>
      </c>
      <c r="AA39" s="1349">
        <f t="shared" si="3"/>
        <v>1</v>
      </c>
      <c r="AB39" s="1349">
        <f t="shared" si="4"/>
        <v>1</v>
      </c>
      <c r="AC39" s="1349">
        <f t="shared" si="5"/>
        <v>1</v>
      </c>
    </row>
    <row r="40" spans="1:29" ht="15.75" thickBot="1">
      <c r="A40" s="426"/>
      <c r="B40" s="1891">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59"/>
      <c r="Q40" s="1348">
        <f t="shared" si="11"/>
        <v>111</v>
      </c>
      <c r="R40" s="701" t="s">
        <v>14</v>
      </c>
      <c r="S40" s="702">
        <f t="shared" si="12"/>
        <v>100</v>
      </c>
      <c r="T40" s="701" t="s">
        <v>14</v>
      </c>
      <c r="U40" s="702">
        <f t="shared" si="13"/>
        <v>100</v>
      </c>
      <c r="V40" s="701" t="s">
        <v>14</v>
      </c>
      <c r="W40" s="702">
        <f t="shared" si="14"/>
        <v>100</v>
      </c>
      <c r="X40" s="1351"/>
      <c r="Y40" s="3759"/>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46" t="str">
        <f>A41</f>
        <v>成交单价（元/平方米）</v>
      </c>
      <c r="Q41" s="3746"/>
      <c r="R41" s="3747">
        <f>E41</f>
        <v>0</v>
      </c>
      <c r="S41" s="3747"/>
      <c r="T41" s="3747">
        <f>G41</f>
        <v>0</v>
      </c>
      <c r="U41" s="3747"/>
      <c r="V41" s="3747">
        <f>I41</f>
        <v>0</v>
      </c>
      <c r="W41" s="3747"/>
      <c r="X41" s="686"/>
      <c r="Y41" s="708"/>
      <c r="Z41" s="686"/>
      <c r="AA41" s="686"/>
      <c r="AB41" s="686"/>
      <c r="AC41" s="686"/>
    </row>
    <row r="42" spans="1:29" ht="15.75" thickBot="1">
      <c r="A42" s="434" t="s">
        <v>1793</v>
      </c>
      <c r="B42" s="435"/>
      <c r="C42" s="1156" t="e">
        <f>R43</f>
        <v>#DIV/0!</v>
      </c>
      <c r="D42" s="2313" t="s">
        <v>2138</v>
      </c>
      <c r="E42" s="1157" t="e">
        <f>R42</f>
        <v>#DIV/0!</v>
      </c>
      <c r="F42" s="2314"/>
      <c r="G42" s="1156" t="e">
        <f>T42</f>
        <v>#DIV/0!</v>
      </c>
      <c r="H42" s="2314"/>
      <c r="I42" s="1157" t="e">
        <f>V42</f>
        <v>#DIV/0!</v>
      </c>
      <c r="J42" s="2314"/>
      <c r="K42" s="2316">
        <f>F42+H42+J42</f>
        <v>0</v>
      </c>
      <c r="L42" s="922"/>
      <c r="M42" s="923"/>
      <c r="N42" s="910"/>
      <c r="O42" s="923"/>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825" t="str">
        <f>A43</f>
        <v>估价对象XX用房的比较价值（楼面单价，元/平方米）</v>
      </c>
      <c r="Q43" s="3826"/>
      <c r="R43" s="3827" t="e">
        <f>IF(F1="售价",ROUND(IF(D42="简单平均",AVERAGE(R42:V42),R42*F42+T42*H42+V42*J42),0),ROUND(IF(D42="简单平均",AVERAGE(R42:V42),R42*F42+T42*H42+V42*J42),1))</f>
        <v>#DIV/0!</v>
      </c>
      <c r="S43" s="3827"/>
      <c r="T43" s="3827"/>
      <c r="U43" s="3827"/>
      <c r="V43" s="3827"/>
      <c r="W43" s="3827"/>
      <c r="X43" s="686"/>
      <c r="Y43" s="686"/>
      <c r="Z43" s="686"/>
      <c r="AA43" s="686"/>
      <c r="AB43" s="686"/>
      <c r="AC43" s="686"/>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885"/>
      <c r="M46" s="923"/>
      <c r="N46" s="923"/>
      <c r="O46" s="923"/>
    </row>
    <row r="47" spans="1:29" ht="13.5" customHeight="1">
      <c r="A47" s="2721"/>
      <c r="B47" s="2721"/>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885"/>
      <c r="M47" s="923"/>
      <c r="N47" s="923"/>
      <c r="O47" s="923"/>
    </row>
    <row r="48" spans="1:29" s="448" customFormat="1" ht="13.5" customHeight="1">
      <c r="A48" s="2724"/>
      <c r="B48" s="2724"/>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926"/>
      <c r="M48" s="924"/>
      <c r="N48" s="924"/>
      <c r="O48" s="924"/>
    </row>
    <row r="49" spans="1:17" s="448"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6"/>
      <c r="O54" s="2767"/>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4"/>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4"/>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1831</v>
      </c>
      <c r="B1" s="1219" t="s">
        <v>3336</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5"/>
      <c r="R3" s="695"/>
      <c r="S3" s="695"/>
      <c r="T3" s="695"/>
      <c r="U3" s="695"/>
      <c r="V3" s="695"/>
      <c r="W3" s="695"/>
      <c r="X3" s="695"/>
      <c r="Y3" s="695"/>
      <c r="Z3" s="695"/>
      <c r="AA3" s="695"/>
      <c r="AB3" s="712"/>
      <c r="AC3" s="709"/>
    </row>
    <row r="4" spans="1:29" ht="15">
      <c r="A4" s="352" t="s">
        <v>1769</v>
      </c>
      <c r="B4" s="353"/>
      <c r="C4" s="3763" t="s">
        <v>1770</v>
      </c>
      <c r="D4" s="3764"/>
      <c r="E4" s="3765" t="s">
        <v>1771</v>
      </c>
      <c r="F4" s="3766"/>
      <c r="G4" s="3763" t="s">
        <v>1772</v>
      </c>
      <c r="H4" s="3764"/>
      <c r="I4" s="3763" t="s">
        <v>1773</v>
      </c>
      <c r="J4" s="3764"/>
      <c r="K4" s="556" t="s">
        <v>1774</v>
      </c>
      <c r="L4" s="2711"/>
      <c r="M4" s="2712"/>
      <c r="N4" s="2712"/>
      <c r="O4" s="2712"/>
      <c r="P4" s="3829" t="s">
        <v>1775</v>
      </c>
      <c r="Q4" s="3830"/>
      <c r="R4" s="3833" t="s">
        <v>1771</v>
      </c>
      <c r="S4" s="3834"/>
      <c r="T4" s="3833" t="s">
        <v>1772</v>
      </c>
      <c r="U4" s="3834"/>
      <c r="V4" s="3780" t="s">
        <v>1773</v>
      </c>
      <c r="W4" s="3780"/>
      <c r="X4" s="1351"/>
      <c r="Y4" s="3833" t="s">
        <v>1775</v>
      </c>
      <c r="Z4" s="3834"/>
      <c r="AA4" s="3828" t="s">
        <v>1771</v>
      </c>
      <c r="AB4" s="3792" t="s">
        <v>1772</v>
      </c>
      <c r="AC4" s="3828" t="s">
        <v>1773</v>
      </c>
    </row>
    <row r="5" spans="1:29" ht="15">
      <c r="A5" s="355"/>
      <c r="B5" s="356"/>
      <c r="C5" s="3783" t="s">
        <v>1673</v>
      </c>
      <c r="D5" s="3784"/>
      <c r="E5" s="3794" t="s">
        <v>1674</v>
      </c>
      <c r="F5" s="3795"/>
      <c r="G5" s="3783" t="s">
        <v>1675</v>
      </c>
      <c r="H5" s="3784"/>
      <c r="I5" s="3783" t="s">
        <v>1676</v>
      </c>
      <c r="J5" s="3784"/>
      <c r="K5" s="556"/>
      <c r="L5" s="2711"/>
      <c r="M5" s="2712"/>
      <c r="N5" s="2712"/>
      <c r="O5" s="2712"/>
      <c r="P5" s="3831"/>
      <c r="Q5" s="3770"/>
      <c r="R5" s="3775"/>
      <c r="S5" s="3776"/>
      <c r="T5" s="3775"/>
      <c r="U5" s="3776"/>
      <c r="V5" s="3780"/>
      <c r="W5" s="3780"/>
      <c r="X5" s="1351"/>
      <c r="Y5" s="3775"/>
      <c r="Z5" s="3776"/>
      <c r="AA5" s="3792"/>
      <c r="AB5" s="3792"/>
      <c r="AC5" s="3792"/>
    </row>
    <row r="6" spans="1:29" ht="15.75" thickBot="1">
      <c r="A6" s="357"/>
      <c r="B6" s="358"/>
      <c r="C6" s="3781" t="s">
        <v>1677</v>
      </c>
      <c r="D6" s="3782"/>
      <c r="E6" s="3789" t="s">
        <v>1677</v>
      </c>
      <c r="F6" s="3790"/>
      <c r="G6" s="3781" t="s">
        <v>1677</v>
      </c>
      <c r="H6" s="3782"/>
      <c r="I6" s="3781" t="s">
        <v>1677</v>
      </c>
      <c r="J6" s="3782"/>
      <c r="K6" s="556" t="s">
        <v>1678</v>
      </c>
      <c r="L6" s="2711"/>
      <c r="M6" s="2712"/>
      <c r="N6" s="2712"/>
      <c r="O6" s="2712"/>
      <c r="P6" s="3832"/>
      <c r="Q6" s="3772"/>
      <c r="R6" s="3775"/>
      <c r="S6" s="3776"/>
      <c r="T6" s="3777"/>
      <c r="U6" s="3778"/>
      <c r="V6" s="3780"/>
      <c r="W6" s="3780"/>
      <c r="X6" s="1351"/>
      <c r="Y6" s="3777"/>
      <c r="Z6" s="3778"/>
      <c r="AA6" s="3793"/>
      <c r="AB6" s="3793"/>
      <c r="AC6" s="3793"/>
    </row>
    <row r="7" spans="1:29" s="108" customFormat="1" ht="15.75" thickBot="1">
      <c r="A7" s="359" t="s">
        <v>1679</v>
      </c>
      <c r="B7" s="360"/>
      <c r="C7" s="361">
        <f>'数据-取费表'!B2</f>
        <v>45421</v>
      </c>
      <c r="D7" s="362">
        <v>100</v>
      </c>
      <c r="E7" s="363"/>
      <c r="F7" s="364">
        <f>SUMIF(48:48,YEAR(E7)&amp;"-"&amp;MONTH(E7),49:49)</f>
        <v>0</v>
      </c>
      <c r="G7" s="363"/>
      <c r="H7" s="362">
        <f>SUMIF(48:48,YEAR(G7)&amp;"-"&amp;MONTH(G7),49:49)</f>
        <v>0</v>
      </c>
      <c r="I7" s="363"/>
      <c r="J7" s="362">
        <f>SUMIF(48:48,YEAR(I7)&amp;"-"&amp;MONTH(I7),49:49)</f>
        <v>0</v>
      </c>
      <c r="K7" s="557"/>
      <c r="L7" s="2713"/>
      <c r="M7" s="2714"/>
      <c r="N7" s="2714"/>
      <c r="O7" s="2714"/>
      <c r="P7" s="3787" t="s">
        <v>1680</v>
      </c>
      <c r="Q7" s="3788"/>
      <c r="R7" s="697" t="s">
        <v>14</v>
      </c>
      <c r="S7" s="698">
        <f t="shared" ref="S7:S14" si="0">F7</f>
        <v>0</v>
      </c>
      <c r="T7" s="697" t="s">
        <v>14</v>
      </c>
      <c r="U7" s="698">
        <f t="shared" ref="U7:U14" si="1">H7</f>
        <v>0</v>
      </c>
      <c r="V7" s="697" t="s">
        <v>14</v>
      </c>
      <c r="W7" s="698">
        <f t="shared" ref="W7:W14" si="2">J7</f>
        <v>0</v>
      </c>
      <c r="X7" s="699"/>
      <c r="Y7" s="3787" t="s">
        <v>1680</v>
      </c>
      <c r="Z7" s="3786"/>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13"/>
      <c r="M8" s="2714"/>
      <c r="N8" s="2714"/>
      <c r="O8" s="2714"/>
      <c r="P8" s="3787" t="s">
        <v>1683</v>
      </c>
      <c r="Q8" s="3786"/>
      <c r="R8" s="697" t="s">
        <v>14</v>
      </c>
      <c r="S8" s="698">
        <f t="shared" si="0"/>
        <v>100</v>
      </c>
      <c r="T8" s="697" t="s">
        <v>14</v>
      </c>
      <c r="U8" s="698">
        <f t="shared" si="1"/>
        <v>100</v>
      </c>
      <c r="V8" s="697" t="s">
        <v>14</v>
      </c>
      <c r="W8" s="698">
        <f t="shared" si="2"/>
        <v>100</v>
      </c>
      <c r="X8" s="699"/>
      <c r="Y8" s="3787" t="s">
        <v>1683</v>
      </c>
      <c r="Z8" s="3786"/>
      <c r="AA8" s="700">
        <f t="shared" ref="AA8:AA36" si="3">D8/F8</f>
        <v>1</v>
      </c>
      <c r="AB8" s="700">
        <f t="shared" ref="AB8:AB36" si="4">D8/H8</f>
        <v>1</v>
      </c>
      <c r="AC8" s="700">
        <f t="shared" ref="AC8:AC36" si="5">D8/J8</f>
        <v>1</v>
      </c>
    </row>
    <row r="9" spans="1:29" s="108" customFormat="1">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13"/>
      <c r="M9" s="2714"/>
      <c r="N9" s="2714"/>
      <c r="O9" s="2714"/>
      <c r="P9" s="3746" t="s">
        <v>1686</v>
      </c>
      <c r="Q9" s="1339" t="str">
        <f t="shared" ref="Q9:Q14" si="6">B9</f>
        <v>用途</v>
      </c>
      <c r="R9" s="697" t="s">
        <v>14</v>
      </c>
      <c r="S9" s="698">
        <f t="shared" si="0"/>
        <v>100</v>
      </c>
      <c r="T9" s="697" t="s">
        <v>14</v>
      </c>
      <c r="U9" s="698">
        <f t="shared" si="1"/>
        <v>100</v>
      </c>
      <c r="V9" s="697" t="s">
        <v>14</v>
      </c>
      <c r="W9" s="698">
        <f t="shared" si="2"/>
        <v>100</v>
      </c>
      <c r="X9" s="699"/>
      <c r="Y9" s="3652" t="s">
        <v>1687</v>
      </c>
      <c r="Z9" s="52" t="str">
        <f t="shared" ref="Z9:Z14" si="7">Q9</f>
        <v>用途</v>
      </c>
      <c r="AA9" s="700">
        <f t="shared" si="3"/>
        <v>1</v>
      </c>
      <c r="AB9" s="700">
        <f t="shared" si="4"/>
        <v>1</v>
      </c>
      <c r="AC9" s="700">
        <f t="shared" si="5"/>
        <v>1</v>
      </c>
    </row>
    <row r="10" spans="1:29" s="375" customFormat="1" ht="27">
      <c r="A10" s="586"/>
      <c r="B10" s="587" t="s">
        <v>1688</v>
      </c>
      <c r="C10" s="3430"/>
      <c r="D10" s="124">
        <v>100</v>
      </c>
      <c r="E10" s="3430"/>
      <c r="F10" s="124">
        <f>SUMIF(55:55,E10,56:56)-SUMIF(55:55,C10,56:56)+100</f>
        <v>100</v>
      </c>
      <c r="G10" s="3431"/>
      <c r="H10" s="124">
        <f>SUMIF(55:55,G10,56:56)-SUMIF(55:55,C10,56:56)+100</f>
        <v>100</v>
      </c>
      <c r="I10" s="3430"/>
      <c r="J10" s="124">
        <f>SUMIF(55:55,I10,56:56)-SUMIF(55:55,C10,56:56)+100</f>
        <v>100</v>
      </c>
      <c r="K10" s="557"/>
      <c r="L10" s="2715"/>
      <c r="M10" s="2716"/>
      <c r="N10" s="2716"/>
      <c r="O10" s="2716"/>
      <c r="P10" s="3746"/>
      <c r="Q10" s="1339" t="str">
        <f t="shared" si="6"/>
        <v>土地使用年限（年）</v>
      </c>
      <c r="R10" s="697" t="s">
        <v>14</v>
      </c>
      <c r="S10" s="698">
        <f t="shared" si="0"/>
        <v>100</v>
      </c>
      <c r="T10" s="697" t="s">
        <v>14</v>
      </c>
      <c r="U10" s="698">
        <f t="shared" si="1"/>
        <v>100</v>
      </c>
      <c r="V10" s="697" t="s">
        <v>14</v>
      </c>
      <c r="W10" s="698">
        <f t="shared" si="2"/>
        <v>100</v>
      </c>
      <c r="X10" s="699"/>
      <c r="Y10" s="3652"/>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7"/>
      <c r="M11" s="2712"/>
      <c r="N11" s="2712"/>
      <c r="O11" s="2712"/>
      <c r="P11" s="3746"/>
      <c r="Q11" s="1339">
        <f t="shared" si="6"/>
        <v>111</v>
      </c>
      <c r="R11" s="697" t="s">
        <v>14</v>
      </c>
      <c r="S11" s="698">
        <f t="shared" si="0"/>
        <v>100</v>
      </c>
      <c r="T11" s="697" t="s">
        <v>14</v>
      </c>
      <c r="U11" s="698">
        <f t="shared" si="1"/>
        <v>100</v>
      </c>
      <c r="V11" s="697" t="s">
        <v>14</v>
      </c>
      <c r="W11" s="698">
        <f t="shared" si="2"/>
        <v>100</v>
      </c>
      <c r="X11" s="699"/>
      <c r="Y11" s="3652"/>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3"/>
      <c r="M12" s="2714"/>
      <c r="N12" s="2714"/>
      <c r="O12" s="2714"/>
      <c r="P12" s="3746"/>
      <c r="Q12" s="1339">
        <f t="shared" si="6"/>
        <v>111</v>
      </c>
      <c r="R12" s="697" t="s">
        <v>14</v>
      </c>
      <c r="S12" s="698">
        <f t="shared" si="0"/>
        <v>100</v>
      </c>
      <c r="T12" s="697" t="s">
        <v>14</v>
      </c>
      <c r="U12" s="698">
        <f t="shared" si="1"/>
        <v>100</v>
      </c>
      <c r="V12" s="697" t="s">
        <v>14</v>
      </c>
      <c r="W12" s="698">
        <f t="shared" si="2"/>
        <v>100</v>
      </c>
      <c r="X12" s="699"/>
      <c r="Y12" s="3652"/>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8"/>
      <c r="M13" s="2712"/>
      <c r="N13" s="2712"/>
      <c r="O13" s="2712"/>
      <c r="P13" s="3746"/>
      <c r="Q13" s="1339">
        <f t="shared" si="6"/>
        <v>111</v>
      </c>
      <c r="R13" s="697" t="s">
        <v>14</v>
      </c>
      <c r="S13" s="698">
        <f t="shared" si="0"/>
        <v>100</v>
      </c>
      <c r="T13" s="697" t="s">
        <v>14</v>
      </c>
      <c r="U13" s="698">
        <f t="shared" si="1"/>
        <v>100</v>
      </c>
      <c r="V13" s="697" t="s">
        <v>14</v>
      </c>
      <c r="W13" s="698">
        <f t="shared" si="2"/>
        <v>100</v>
      </c>
      <c r="X13" s="699"/>
      <c r="Y13" s="3652"/>
      <c r="Z13" s="52">
        <f t="shared" si="7"/>
        <v>111</v>
      </c>
      <c r="AA13" s="700">
        <f t="shared" si="3"/>
        <v>1</v>
      </c>
      <c r="AB13" s="700">
        <f t="shared" si="4"/>
        <v>1</v>
      </c>
      <c r="AC13" s="700">
        <f t="shared" si="5"/>
        <v>1</v>
      </c>
    </row>
    <row r="14" spans="1:29" ht="85.5">
      <c r="A14" s="352" t="s">
        <v>1690</v>
      </c>
      <c r="B14" s="574" t="s">
        <v>1833</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8"/>
      <c r="M14" s="2712"/>
      <c r="N14" s="2712"/>
      <c r="O14" s="2712"/>
      <c r="P14" s="3753" t="s">
        <v>1691</v>
      </c>
      <c r="Q14" s="1348" t="str">
        <f t="shared" si="6"/>
        <v>交通便捷度</v>
      </c>
      <c r="R14" s="701" t="s">
        <v>14</v>
      </c>
      <c r="S14" s="702">
        <f t="shared" si="0"/>
        <v>100</v>
      </c>
      <c r="T14" s="701" t="s">
        <v>14</v>
      </c>
      <c r="U14" s="702">
        <f t="shared" si="1"/>
        <v>100</v>
      </c>
      <c r="V14" s="701" t="s">
        <v>14</v>
      </c>
      <c r="W14" s="702">
        <f t="shared" si="2"/>
        <v>100</v>
      </c>
      <c r="X14" s="1351"/>
      <c r="Y14" s="3753"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8"/>
      <c r="M15" s="2712"/>
      <c r="N15" s="2712"/>
      <c r="O15" s="2712"/>
      <c r="P15" s="3754"/>
      <c r="Q15" s="1348"/>
      <c r="R15" s="701"/>
      <c r="S15" s="702"/>
      <c r="T15" s="701"/>
      <c r="U15" s="702"/>
      <c r="V15" s="701"/>
      <c r="W15" s="702"/>
      <c r="X15" s="1351"/>
      <c r="Y15" s="3754"/>
      <c r="Z15" s="1352"/>
      <c r="AA15" s="1349">
        <v>1</v>
      </c>
      <c r="AB15" s="1349">
        <v>1</v>
      </c>
      <c r="AC15" s="1349">
        <v>1</v>
      </c>
    </row>
    <row r="16" spans="1:29" ht="42.75">
      <c r="A16" s="355"/>
      <c r="B16" s="576" t="s">
        <v>1812</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8"/>
      <c r="M16" s="2712"/>
      <c r="N16" s="2712"/>
      <c r="O16" s="2712"/>
      <c r="P16" s="3754"/>
      <c r="Q16" s="1348" t="str">
        <f>B16</f>
        <v>公共配套设施</v>
      </c>
      <c r="R16" s="701" t="s">
        <v>14</v>
      </c>
      <c r="S16" s="702">
        <f>F16</f>
        <v>100</v>
      </c>
      <c r="T16" s="701" t="s">
        <v>14</v>
      </c>
      <c r="U16" s="702">
        <f>H16</f>
        <v>100</v>
      </c>
      <c r="V16" s="701" t="s">
        <v>14</v>
      </c>
      <c r="W16" s="702">
        <f>J16</f>
        <v>100</v>
      </c>
      <c r="X16" s="1351"/>
      <c r="Y16" s="3754"/>
      <c r="Z16" s="1352" t="str">
        <f>Q16</f>
        <v>公共配套设施</v>
      </c>
      <c r="AA16" s="1349">
        <f t="shared" si="3"/>
        <v>1</v>
      </c>
      <c r="AB16" s="1349">
        <f t="shared" si="4"/>
        <v>1</v>
      </c>
      <c r="AC16" s="1349">
        <f t="shared" si="5"/>
        <v>1</v>
      </c>
    </row>
    <row r="17" spans="1:29" ht="15">
      <c r="A17" s="355"/>
      <c r="B17" s="577"/>
      <c r="C17" s="1897"/>
      <c r="D17" s="396"/>
      <c r="E17" s="395"/>
      <c r="F17" s="397"/>
      <c r="G17" s="395"/>
      <c r="H17" s="396"/>
      <c r="I17" s="395"/>
      <c r="J17" s="396"/>
      <c r="K17" s="561"/>
      <c r="L17" s="2718"/>
      <c r="M17" s="2712"/>
      <c r="N17" s="2712"/>
      <c r="O17" s="2712"/>
      <c r="P17" s="3754"/>
      <c r="Q17" s="1348"/>
      <c r="R17" s="701"/>
      <c r="S17" s="702"/>
      <c r="T17" s="701"/>
      <c r="U17" s="702"/>
      <c r="V17" s="701"/>
      <c r="W17" s="702"/>
      <c r="X17" s="1351"/>
      <c r="Y17" s="3754"/>
      <c r="Z17" s="1352"/>
      <c r="AA17" s="1349">
        <v>1</v>
      </c>
      <c r="AB17" s="1349">
        <v>1</v>
      </c>
      <c r="AC17" s="1349">
        <v>1</v>
      </c>
    </row>
    <row r="18" spans="1:29" ht="28.5">
      <c r="A18" s="355"/>
      <c r="B18" s="578" t="s">
        <v>1813</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8"/>
      <c r="M18" s="2712"/>
      <c r="N18" s="2712"/>
      <c r="O18" s="2712"/>
      <c r="P18" s="3754"/>
      <c r="Q18" s="1348" t="str">
        <f>B18</f>
        <v>基础设施水平</v>
      </c>
      <c r="R18" s="701" t="s">
        <v>14</v>
      </c>
      <c r="S18" s="702">
        <f>F18</f>
        <v>100</v>
      </c>
      <c r="T18" s="701" t="s">
        <v>14</v>
      </c>
      <c r="U18" s="702">
        <f>H18</f>
        <v>100</v>
      </c>
      <c r="V18" s="701" t="s">
        <v>14</v>
      </c>
      <c r="W18" s="702">
        <f>J18</f>
        <v>100</v>
      </c>
      <c r="X18" s="1351"/>
      <c r="Y18" s="3754"/>
      <c r="Z18" s="1352" t="str">
        <f>Q18</f>
        <v>基础设施水平</v>
      </c>
      <c r="AA18" s="1349">
        <f t="shared" ref="AA18" si="8">D18/F18</f>
        <v>1</v>
      </c>
      <c r="AB18" s="1349">
        <f t="shared" ref="AB18" si="9">D18/H18</f>
        <v>1</v>
      </c>
      <c r="AC18" s="1349">
        <f t="shared" ref="AC18" si="10">D18/J18</f>
        <v>1</v>
      </c>
    </row>
    <row r="19" spans="1:29" ht="15">
      <c r="A19" s="355"/>
      <c r="B19" s="578"/>
      <c r="C19" s="1897"/>
      <c r="D19" s="398"/>
      <c r="E19" s="1897"/>
      <c r="F19" s="401"/>
      <c r="G19" s="1897"/>
      <c r="H19" s="396"/>
      <c r="I19" s="395"/>
      <c r="J19" s="396"/>
      <c r="K19" s="1126"/>
      <c r="L19" s="2718"/>
      <c r="M19" s="2712"/>
      <c r="N19" s="2712"/>
      <c r="O19" s="2712"/>
      <c r="P19" s="3754"/>
      <c r="Q19" s="1348"/>
      <c r="R19" s="701"/>
      <c r="S19" s="702"/>
      <c r="T19" s="701"/>
      <c r="U19" s="702"/>
      <c r="V19" s="701"/>
      <c r="W19" s="702"/>
      <c r="X19" s="1351"/>
      <c r="Y19" s="3754"/>
      <c r="Z19" s="1352"/>
      <c r="AA19" s="1349">
        <v>1</v>
      </c>
      <c r="AB19" s="1349">
        <v>1</v>
      </c>
      <c r="AC19" s="1349">
        <v>1</v>
      </c>
    </row>
    <row r="20" spans="1:29" ht="57">
      <c r="A20" s="355"/>
      <c r="B20" s="576" t="s">
        <v>1834</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8"/>
      <c r="M20" s="2712"/>
      <c r="N20" s="2712"/>
      <c r="O20" s="2712"/>
      <c r="P20" s="3754"/>
      <c r="Q20" s="1348" t="str">
        <f>B20</f>
        <v>自然及人文环境</v>
      </c>
      <c r="R20" s="701" t="s">
        <v>14</v>
      </c>
      <c r="S20" s="702">
        <f>F20</f>
        <v>100</v>
      </c>
      <c r="T20" s="701" t="s">
        <v>14</v>
      </c>
      <c r="U20" s="702">
        <f>H20</f>
        <v>100</v>
      </c>
      <c r="V20" s="701" t="s">
        <v>14</v>
      </c>
      <c r="W20" s="702">
        <f>J20</f>
        <v>100</v>
      </c>
      <c r="X20" s="1351"/>
      <c r="Y20" s="3754"/>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8"/>
      <c r="M21" s="2712"/>
      <c r="N21" s="2712"/>
      <c r="O21" s="2712"/>
      <c r="P21" s="3754"/>
      <c r="Q21" s="1348"/>
      <c r="R21" s="701"/>
      <c r="S21" s="702"/>
      <c r="T21" s="701"/>
      <c r="U21" s="702"/>
      <c r="V21" s="701"/>
      <c r="W21" s="702"/>
      <c r="X21" s="1351"/>
      <c r="Y21" s="3754"/>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8"/>
      <c r="M22" s="2712"/>
      <c r="N22" s="2712"/>
      <c r="O22" s="2712"/>
      <c r="P22" s="3754"/>
      <c r="Q22" s="1348" t="str">
        <f>B22</f>
        <v>楼层</v>
      </c>
      <c r="R22" s="701" t="s">
        <v>14</v>
      </c>
      <c r="S22" s="702">
        <f>F22</f>
        <v>100</v>
      </c>
      <c r="T22" s="701" t="s">
        <v>14</v>
      </c>
      <c r="U22" s="702">
        <f>H22</f>
        <v>100</v>
      </c>
      <c r="V22" s="701" t="s">
        <v>14</v>
      </c>
      <c r="W22" s="702">
        <f>J22</f>
        <v>100</v>
      </c>
      <c r="X22" s="1351"/>
      <c r="Y22" s="3754"/>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8"/>
      <c r="M23" s="2712"/>
      <c r="N23" s="2712"/>
      <c r="O23" s="2712"/>
      <c r="P23" s="3754"/>
      <c r="Q23" s="1348">
        <f>B23</f>
        <v>111</v>
      </c>
      <c r="R23" s="701" t="s">
        <v>14</v>
      </c>
      <c r="S23" s="702">
        <f>F23</f>
        <v>100</v>
      </c>
      <c r="T23" s="701" t="s">
        <v>14</v>
      </c>
      <c r="U23" s="702">
        <f>H23</f>
        <v>100</v>
      </c>
      <c r="V23" s="701" t="s">
        <v>14</v>
      </c>
      <c r="W23" s="702">
        <f>J23</f>
        <v>100</v>
      </c>
      <c r="X23" s="1351"/>
      <c r="Y23" s="3754"/>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8"/>
      <c r="M24" s="2712"/>
      <c r="N24" s="2712"/>
      <c r="O24" s="2712"/>
      <c r="P24" s="3754"/>
      <c r="Q24" s="1348">
        <f t="shared" ref="Q24:Q36" si="11">B24</f>
        <v>111</v>
      </c>
      <c r="R24" s="701" t="s">
        <v>14</v>
      </c>
      <c r="S24" s="702">
        <f>F24</f>
        <v>100</v>
      </c>
      <c r="T24" s="701" t="s">
        <v>14</v>
      </c>
      <c r="U24" s="702">
        <f>H24</f>
        <v>100</v>
      </c>
      <c r="V24" s="701" t="s">
        <v>14</v>
      </c>
      <c r="W24" s="702">
        <f>J24</f>
        <v>100</v>
      </c>
      <c r="X24" s="1351"/>
      <c r="Y24" s="3754"/>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3"/>
      <c r="M25" s="2714"/>
      <c r="N25" s="2714"/>
      <c r="O25" s="2714"/>
      <c r="P25" s="3754"/>
      <c r="Q25" s="1339">
        <f t="shared" si="11"/>
        <v>111</v>
      </c>
      <c r="R25" s="697" t="s">
        <v>14</v>
      </c>
      <c r="S25" s="698">
        <f>F25</f>
        <v>100</v>
      </c>
      <c r="T25" s="697" t="s">
        <v>14</v>
      </c>
      <c r="U25" s="698">
        <f>H25</f>
        <v>100</v>
      </c>
      <c r="V25" s="697" t="s">
        <v>14</v>
      </c>
      <c r="W25" s="698">
        <f>J25</f>
        <v>100</v>
      </c>
      <c r="X25" s="699"/>
      <c r="Y25" s="3754"/>
      <c r="Z25" s="52">
        <f>Q25</f>
        <v>111</v>
      </c>
      <c r="AA25" s="1349">
        <f>D25/F25</f>
        <v>1</v>
      </c>
      <c r="AB25" s="1349">
        <f>D25/H25</f>
        <v>1</v>
      </c>
      <c r="AC25" s="1349">
        <f>D25/J25</f>
        <v>1</v>
      </c>
    </row>
    <row r="26" spans="1:29" ht="28.5">
      <c r="A26" s="597" t="s">
        <v>1694</v>
      </c>
      <c r="B26" s="62" t="s">
        <v>1836</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8"/>
      <c r="M26" s="2712"/>
      <c r="N26" s="2712"/>
      <c r="O26" s="2712"/>
      <c r="P26" s="3835"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58"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7"/>
      <c r="M27" s="2719"/>
      <c r="N27" s="2719"/>
      <c r="O27" s="2719"/>
      <c r="P27" s="3758"/>
      <c r="Q27" s="703" t="str">
        <f t="shared" si="11"/>
        <v>项目停车位配比</v>
      </c>
      <c r="R27" s="704" t="s">
        <v>14</v>
      </c>
      <c r="S27" s="705">
        <f t="shared" si="12"/>
        <v>100</v>
      </c>
      <c r="T27" s="704" t="s">
        <v>14</v>
      </c>
      <c r="U27" s="705">
        <f t="shared" si="13"/>
        <v>100</v>
      </c>
      <c r="V27" s="704" t="s">
        <v>14</v>
      </c>
      <c r="W27" s="705">
        <f t="shared" si="14"/>
        <v>100</v>
      </c>
      <c r="X27" s="706"/>
      <c r="Y27" s="3758"/>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8"/>
      <c r="M28" s="2712"/>
      <c r="N28" s="2712"/>
      <c r="O28" s="2712"/>
      <c r="P28" s="3758"/>
      <c r="Q28" s="1348" t="str">
        <f t="shared" si="11"/>
        <v>公共部分装修</v>
      </c>
      <c r="R28" s="701" t="s">
        <v>14</v>
      </c>
      <c r="S28" s="702">
        <f t="shared" si="12"/>
        <v>100</v>
      </c>
      <c r="T28" s="701" t="s">
        <v>14</v>
      </c>
      <c r="U28" s="702">
        <f t="shared" si="13"/>
        <v>100</v>
      </c>
      <c r="V28" s="701" t="s">
        <v>14</v>
      </c>
      <c r="W28" s="702">
        <f t="shared" si="14"/>
        <v>100</v>
      </c>
      <c r="X28" s="1351"/>
      <c r="Y28" s="3758"/>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8"/>
      <c r="M29" s="2712"/>
      <c r="N29" s="2712"/>
      <c r="O29" s="2712"/>
      <c r="P29" s="3758"/>
      <c r="Q29" s="1348" t="str">
        <f t="shared" si="11"/>
        <v>成新率</v>
      </c>
      <c r="R29" s="701" t="s">
        <v>14</v>
      </c>
      <c r="S29" s="702" t="e">
        <f t="shared" si="12"/>
        <v>#N/A</v>
      </c>
      <c r="T29" s="701" t="s">
        <v>14</v>
      </c>
      <c r="U29" s="702" t="e">
        <f t="shared" si="13"/>
        <v>#N/A</v>
      </c>
      <c r="V29" s="701" t="s">
        <v>14</v>
      </c>
      <c r="W29" s="702" t="e">
        <f t="shared" si="14"/>
        <v>#N/A</v>
      </c>
      <c r="X29" s="1351"/>
      <c r="Y29" s="3758"/>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8"/>
      <c r="M30" s="2712"/>
      <c r="N30" s="2712"/>
      <c r="O30" s="2712"/>
      <c r="P30" s="3758"/>
      <c r="Q30" s="1348" t="str">
        <f t="shared" si="11"/>
        <v>物业等级</v>
      </c>
      <c r="R30" s="701" t="s">
        <v>14</v>
      </c>
      <c r="S30" s="702">
        <f t="shared" si="12"/>
        <v>100</v>
      </c>
      <c r="T30" s="701" t="s">
        <v>14</v>
      </c>
      <c r="U30" s="702">
        <f t="shared" si="13"/>
        <v>100</v>
      </c>
      <c r="V30" s="701" t="s">
        <v>14</v>
      </c>
      <c r="W30" s="702">
        <f t="shared" si="14"/>
        <v>100</v>
      </c>
      <c r="X30" s="1351"/>
      <c r="Y30" s="3758"/>
      <c r="Z30" s="1352" t="str">
        <f t="shared" si="15"/>
        <v>物业等级</v>
      </c>
      <c r="AA30" s="1349">
        <f t="shared" si="3"/>
        <v>1</v>
      </c>
      <c r="AB30" s="1349">
        <f t="shared" si="4"/>
        <v>1</v>
      </c>
      <c r="AC30" s="1349">
        <f t="shared" si="5"/>
        <v>1</v>
      </c>
    </row>
    <row r="31" spans="1:29" s="108"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3"/>
      <c r="M31" s="2714"/>
      <c r="N31" s="2714"/>
      <c r="O31" s="2714"/>
      <c r="P31" s="3758"/>
      <c r="Q31" s="1339" t="str">
        <f t="shared" si="11"/>
        <v>停车位面积</v>
      </c>
      <c r="R31" s="697" t="s">
        <v>14</v>
      </c>
      <c r="S31" s="698" t="e">
        <f t="shared" si="12"/>
        <v>#N/A</v>
      </c>
      <c r="T31" s="697" t="s">
        <v>14</v>
      </c>
      <c r="U31" s="698" t="e">
        <f t="shared" si="13"/>
        <v>#N/A</v>
      </c>
      <c r="V31" s="697" t="s">
        <v>14</v>
      </c>
      <c r="W31" s="698" t="e">
        <f t="shared" si="14"/>
        <v>#N/A</v>
      </c>
      <c r="X31" s="699"/>
      <c r="Y31" s="3758"/>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8"/>
      <c r="M32" s="2712"/>
      <c r="N32" s="2712"/>
      <c r="O32" s="2712"/>
      <c r="P32" s="3758" t="s">
        <v>1696</v>
      </c>
      <c r="Q32" s="1348" t="str">
        <f t="shared" si="11"/>
        <v>车位类型</v>
      </c>
      <c r="R32" s="701" t="s">
        <v>14</v>
      </c>
      <c r="S32" s="702">
        <f t="shared" si="12"/>
        <v>100</v>
      </c>
      <c r="T32" s="701" t="s">
        <v>14</v>
      </c>
      <c r="U32" s="702">
        <f t="shared" si="13"/>
        <v>100</v>
      </c>
      <c r="V32" s="701" t="s">
        <v>14</v>
      </c>
      <c r="W32" s="702">
        <f t="shared" si="14"/>
        <v>100</v>
      </c>
      <c r="X32" s="1351"/>
      <c r="Y32" s="3758"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8"/>
      <c r="M33" s="2712"/>
      <c r="N33" s="2712"/>
      <c r="O33" s="2712"/>
      <c r="P33" s="3758"/>
      <c r="Q33" s="1348" t="str">
        <f t="shared" si="11"/>
        <v>是否直接入户</v>
      </c>
      <c r="R33" s="701" t="s">
        <v>14</v>
      </c>
      <c r="S33" s="702">
        <f t="shared" si="12"/>
        <v>100</v>
      </c>
      <c r="T33" s="701" t="s">
        <v>14</v>
      </c>
      <c r="U33" s="702">
        <f t="shared" si="13"/>
        <v>100</v>
      </c>
      <c r="V33" s="701" t="s">
        <v>14</v>
      </c>
      <c r="W33" s="702">
        <f t="shared" si="14"/>
        <v>100</v>
      </c>
      <c r="X33" s="1351"/>
      <c r="Y33" s="3758"/>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8"/>
      <c r="M34" s="2712"/>
      <c r="N34" s="2712"/>
      <c r="O34" s="2712"/>
      <c r="P34" s="3758"/>
      <c r="Q34" s="1348">
        <f t="shared" si="11"/>
        <v>111</v>
      </c>
      <c r="R34" s="701" t="s">
        <v>14</v>
      </c>
      <c r="S34" s="702">
        <f t="shared" si="12"/>
        <v>100</v>
      </c>
      <c r="T34" s="701" t="s">
        <v>14</v>
      </c>
      <c r="U34" s="702">
        <f t="shared" si="13"/>
        <v>100</v>
      </c>
      <c r="V34" s="701" t="s">
        <v>14</v>
      </c>
      <c r="W34" s="702">
        <f t="shared" si="14"/>
        <v>100</v>
      </c>
      <c r="X34" s="1351"/>
      <c r="Y34" s="3758"/>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7"/>
      <c r="M35" s="2719"/>
      <c r="N35" s="2719"/>
      <c r="O35" s="2719"/>
      <c r="P35" s="3758"/>
      <c r="Q35" s="703">
        <f t="shared" si="11"/>
        <v>111</v>
      </c>
      <c r="R35" s="704" t="s">
        <v>14</v>
      </c>
      <c r="S35" s="705">
        <f t="shared" si="12"/>
        <v>100</v>
      </c>
      <c r="T35" s="704" t="s">
        <v>14</v>
      </c>
      <c r="U35" s="705">
        <f t="shared" si="13"/>
        <v>100</v>
      </c>
      <c r="V35" s="704" t="s">
        <v>14</v>
      </c>
      <c r="W35" s="705">
        <f t="shared" si="14"/>
        <v>100</v>
      </c>
      <c r="X35" s="706"/>
      <c r="Y35" s="3758"/>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8"/>
      <c r="M36" s="2712"/>
      <c r="N36" s="2712"/>
      <c r="O36" s="2712"/>
      <c r="P36" s="3758"/>
      <c r="Q36" s="1348">
        <f t="shared" si="11"/>
        <v>111</v>
      </c>
      <c r="R36" s="701" t="s">
        <v>14</v>
      </c>
      <c r="S36" s="702">
        <f t="shared" si="12"/>
        <v>100</v>
      </c>
      <c r="T36" s="701" t="s">
        <v>14</v>
      </c>
      <c r="U36" s="702">
        <f t="shared" si="13"/>
        <v>100</v>
      </c>
      <c r="V36" s="701" t="s">
        <v>14</v>
      </c>
      <c r="W36" s="702">
        <f t="shared" si="14"/>
        <v>100</v>
      </c>
      <c r="X36" s="1351"/>
      <c r="Y36" s="3758"/>
      <c r="Z36" s="1352">
        <f t="shared" si="15"/>
        <v>111</v>
      </c>
      <c r="AA36" s="1349">
        <f t="shared" si="3"/>
        <v>1</v>
      </c>
      <c r="AB36" s="1349">
        <f t="shared" si="4"/>
        <v>1</v>
      </c>
      <c r="AC36" s="1349">
        <f t="shared" si="5"/>
        <v>1</v>
      </c>
    </row>
    <row r="37" spans="1:29" ht="15">
      <c r="A37" s="427" t="s">
        <v>1844</v>
      </c>
      <c r="B37" s="1969" t="s">
        <v>3357</v>
      </c>
      <c r="C37" s="1150" t="s">
        <v>0</v>
      </c>
      <c r="D37" s="1151"/>
      <c r="E37" s="1152"/>
      <c r="F37" s="1153"/>
      <c r="G37" s="1154"/>
      <c r="H37" s="1155"/>
      <c r="I37" s="1152"/>
      <c r="J37" s="1155"/>
      <c r="K37" s="565"/>
      <c r="L37" s="2720"/>
      <c r="M37" s="2721"/>
      <c r="N37" s="2712"/>
      <c r="O37" s="2721"/>
      <c r="P37" s="3746" t="str">
        <f>A37</f>
        <v>成交单价</v>
      </c>
      <c r="Q37" s="3746"/>
      <c r="R37" s="3747">
        <f>E37</f>
        <v>0</v>
      </c>
      <c r="S37" s="3747"/>
      <c r="T37" s="3747">
        <f>G37</f>
        <v>0</v>
      </c>
      <c r="U37" s="3747"/>
      <c r="V37" s="3747">
        <f>I37</f>
        <v>0</v>
      </c>
      <c r="W37" s="3747"/>
      <c r="X37" s="686"/>
      <c r="Y37" s="708"/>
      <c r="Z37" s="686"/>
      <c r="AA37" s="686"/>
      <c r="AB37" s="686"/>
      <c r="AC37" s="686"/>
    </row>
    <row r="38" spans="1:29" ht="15.75" thickBot="1">
      <c r="A38" s="434" t="s">
        <v>1845</v>
      </c>
      <c r="B38" s="435"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20"/>
      <c r="M39" s="2721"/>
      <c r="N39" s="2721"/>
      <c r="O39" s="2721"/>
      <c r="P39" s="3825" t="str">
        <f>A39</f>
        <v>估价对象XX用房的比较价值（楼面单价，元/平方米）</v>
      </c>
      <c r="Q39" s="3826"/>
      <c r="R39" s="3836" t="e">
        <f>IF(F1="售价",ROUND(IF(D38="简单平均",AVERAGE(R38:W38),R38*F38+T38*H38+V38*J38),0),ROUND(IF(D38="简单平均",AVERAGE(R38:V38),R38*F38+T38*H38+V38*J38),1))</f>
        <v>#DIV/0!</v>
      </c>
      <c r="S39" s="3836"/>
      <c r="T39" s="3836"/>
      <c r="U39" s="3836"/>
      <c r="V39" s="3836"/>
      <c r="W39" s="3836"/>
      <c r="X39" s="686"/>
      <c r="Y39" s="686"/>
      <c r="Z39" s="686"/>
      <c r="AA39" s="686"/>
      <c r="AB39" s="686"/>
      <c r="AC39" s="686"/>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8" customFormat="1" ht="13.5" customHeight="1">
      <c r="A44" s="2724"/>
      <c r="B44" s="2724"/>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8"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4" customFormat="1" ht="15">
      <c r="A48" s="451" t="s">
        <v>1851</v>
      </c>
      <c r="B48" s="452"/>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5"/>
      <c r="Q48" s="2737"/>
      <c r="R48" s="2737"/>
      <c r="S48" s="2737"/>
      <c r="T48" s="2737"/>
      <c r="U48" s="2737"/>
      <c r="V48" s="2737"/>
      <c r="W48" s="2737"/>
      <c r="X48" s="2737"/>
      <c r="Y48" s="2737"/>
      <c r="Z48" s="2737"/>
      <c r="AA48" s="2737"/>
      <c r="AB48" s="2737"/>
      <c r="AC48" s="2737"/>
    </row>
    <row r="49" spans="1:29" s="108" customFormat="1" ht="15">
      <c r="A49" s="455"/>
      <c r="B49" s="456"/>
      <c r="C49" s="1173">
        <v>100</v>
      </c>
      <c r="D49" s="458"/>
      <c r="E49" s="458"/>
      <c r="F49" s="458"/>
      <c r="G49" s="458"/>
      <c r="H49" s="458"/>
      <c r="I49" s="458"/>
      <c r="J49" s="458"/>
      <c r="K49" s="458"/>
      <c r="L49" s="458"/>
      <c r="M49" s="459"/>
      <c r="N49" s="458"/>
      <c r="O49" s="459"/>
      <c r="P49" s="2756"/>
      <c r="Q49" s="2657"/>
      <c r="R49" s="2657"/>
      <c r="S49" s="2657"/>
      <c r="T49" s="2657"/>
      <c r="U49" s="2657"/>
      <c r="V49" s="2657"/>
      <c r="W49" s="2657"/>
      <c r="X49" s="2657"/>
      <c r="Y49" s="2657"/>
      <c r="Z49" s="2657"/>
      <c r="AA49" s="2657"/>
      <c r="AB49" s="2657"/>
      <c r="AC49" s="2657"/>
    </row>
    <row r="50" spans="1:29" s="108" customFormat="1" ht="15.75" thickBot="1">
      <c r="A50" s="461" t="s">
        <v>1716</v>
      </c>
      <c r="B50" s="462"/>
      <c r="C50" s="463"/>
      <c r="D50" s="464"/>
      <c r="E50" s="464"/>
      <c r="F50" s="464"/>
      <c r="G50" s="464"/>
      <c r="H50" s="464"/>
      <c r="I50" s="464"/>
      <c r="J50" s="464"/>
      <c r="K50" s="464"/>
      <c r="L50" s="464"/>
      <c r="M50" s="465"/>
      <c r="N50" s="464"/>
      <c r="O50" s="465"/>
      <c r="P50" s="2756"/>
      <c r="Q50" s="2735"/>
      <c r="R50" s="2657"/>
      <c r="S50" s="2657"/>
      <c r="T50" s="2657"/>
      <c r="U50" s="2657"/>
      <c r="V50" s="2657"/>
      <c r="W50" s="2657"/>
      <c r="X50" s="2657"/>
      <c r="Y50" s="2657"/>
      <c r="Z50" s="2657"/>
      <c r="AA50" s="2657"/>
      <c r="AB50" s="2657"/>
      <c r="AC50" s="2657"/>
    </row>
    <row r="51" spans="1:29" s="108" customFormat="1" ht="15">
      <c r="A51" s="467" t="s">
        <v>1681</v>
      </c>
      <c r="B51" s="456"/>
      <c r="C51" s="468" t="s">
        <v>1776</v>
      </c>
      <c r="D51" s="469"/>
      <c r="E51" s="469"/>
      <c r="F51" s="469"/>
      <c r="G51" s="469"/>
      <c r="H51" s="469"/>
      <c r="I51" s="469"/>
      <c r="J51" s="469"/>
      <c r="K51" s="469"/>
      <c r="L51" s="470"/>
      <c r="M51" s="471"/>
      <c r="N51" s="2748"/>
      <c r="O51" s="2748"/>
      <c r="P51" s="2757"/>
      <c r="Q51" s="2735"/>
      <c r="R51" s="2657"/>
      <c r="S51" s="2657"/>
      <c r="T51" s="2657"/>
      <c r="U51" s="2657"/>
      <c r="V51" s="2657"/>
      <c r="W51" s="2657"/>
      <c r="X51" s="2657"/>
      <c r="Y51" s="2657"/>
      <c r="Z51" s="2657"/>
      <c r="AA51" s="2657"/>
      <c r="AB51" s="2657"/>
      <c r="AC51" s="2657"/>
    </row>
    <row r="52" spans="1:29" s="108" customFormat="1" ht="15.75" thickBot="1">
      <c r="A52" s="467"/>
      <c r="B52" s="456"/>
      <c r="C52" s="584">
        <v>100</v>
      </c>
      <c r="D52" s="458"/>
      <c r="E52" s="458"/>
      <c r="F52" s="458"/>
      <c r="G52" s="458"/>
      <c r="H52" s="458"/>
      <c r="I52" s="458"/>
      <c r="J52" s="458"/>
      <c r="K52" s="458"/>
      <c r="L52" s="458"/>
      <c r="M52" s="460"/>
      <c r="N52" s="2748"/>
      <c r="O52" s="2748"/>
      <c r="P52" s="2756"/>
      <c r="Q52" s="2735"/>
      <c r="R52" s="2657"/>
      <c r="S52" s="2657"/>
      <c r="T52" s="2657"/>
      <c r="U52" s="2657"/>
      <c r="V52" s="2657"/>
      <c r="W52" s="2657"/>
      <c r="X52" s="2657"/>
      <c r="Y52" s="2657"/>
      <c r="Z52" s="2657"/>
      <c r="AA52" s="2657"/>
      <c r="AB52" s="2657"/>
      <c r="AC52" s="2657"/>
    </row>
    <row r="53" spans="1:29">
      <c r="A53" s="473" t="s">
        <v>1719</v>
      </c>
      <c r="B53" s="474" t="s">
        <v>1685</v>
      </c>
      <c r="C53" s="475">
        <f>C9</f>
        <v>0</v>
      </c>
      <c r="D53" s="476"/>
      <c r="E53" s="476"/>
      <c r="F53" s="476"/>
      <c r="G53" s="476"/>
      <c r="H53" s="476"/>
      <c r="I53" s="476"/>
      <c r="J53" s="476"/>
      <c r="K53" s="477"/>
      <c r="L53" s="478"/>
      <c r="M53" s="479"/>
      <c r="N53" s="2749"/>
      <c r="O53" s="2749"/>
      <c r="P53" s="2758"/>
      <c r="Q53" s="2735"/>
      <c r="R53" s="2721"/>
      <c r="S53" s="2721"/>
      <c r="T53" s="2721"/>
      <c r="U53" s="2721"/>
      <c r="V53" s="2721"/>
      <c r="W53" s="2721"/>
      <c r="X53" s="2721"/>
      <c r="Y53" s="2721"/>
      <c r="Z53" s="2721"/>
      <c r="AA53" s="2721"/>
      <c r="AB53" s="2721"/>
      <c r="AC53" s="2721"/>
    </row>
    <row r="54" spans="1:29" ht="15.75" thickBot="1">
      <c r="A54" s="480"/>
      <c r="B54" s="481"/>
      <c r="C54" s="482">
        <v>100</v>
      </c>
      <c r="D54" s="482"/>
      <c r="E54" s="482"/>
      <c r="F54" s="482"/>
      <c r="G54" s="482"/>
      <c r="H54" s="482"/>
      <c r="I54" s="482"/>
      <c r="J54" s="482"/>
      <c r="K54" s="482"/>
      <c r="L54" s="482"/>
      <c r="M54" s="483"/>
      <c r="N54" s="2750"/>
      <c r="O54" s="2750"/>
      <c r="P54" s="2758"/>
      <c r="Q54" s="2735"/>
      <c r="R54" s="2721"/>
      <c r="S54" s="2721"/>
      <c r="T54" s="2721"/>
      <c r="U54" s="2721"/>
      <c r="V54" s="2721"/>
      <c r="W54" s="2721"/>
      <c r="X54" s="2721"/>
      <c r="Y54" s="2721"/>
      <c r="Z54" s="2721"/>
      <c r="AA54" s="2721"/>
      <c r="AB54" s="2721"/>
      <c r="AC54" s="2721"/>
    </row>
    <row r="55" spans="1:29" ht="27.75" thickTop="1">
      <c r="A55" s="480"/>
      <c r="B55" s="484" t="s">
        <v>1688</v>
      </c>
      <c r="C55" s="529"/>
      <c r="D55" s="529"/>
      <c r="E55" s="529"/>
      <c r="F55" s="529"/>
      <c r="G55" s="529"/>
      <c r="H55" s="529"/>
      <c r="I55" s="529"/>
      <c r="J55" s="529"/>
      <c r="K55" s="530"/>
      <c r="L55" s="531"/>
      <c r="M55" s="532"/>
      <c r="N55" s="2749"/>
      <c r="O55" s="2749"/>
      <c r="P55" s="2758"/>
      <c r="Q55" s="2735"/>
      <c r="R55" s="2721"/>
      <c r="S55" s="2721"/>
      <c r="T55" s="2721"/>
      <c r="U55" s="2721"/>
      <c r="V55" s="2721"/>
      <c r="W55" s="2721"/>
      <c r="X55" s="2721"/>
      <c r="Y55" s="2721"/>
      <c r="Z55" s="2721"/>
      <c r="AA55" s="2721"/>
      <c r="AB55" s="2721"/>
      <c r="AC55" s="2721"/>
    </row>
    <row r="56" spans="1:29" ht="15.75" thickBot="1">
      <c r="A56" s="480"/>
      <c r="B56" s="489"/>
      <c r="C56" s="482"/>
      <c r="D56" s="482"/>
      <c r="E56" s="482"/>
      <c r="F56" s="482"/>
      <c r="G56" s="482"/>
      <c r="H56" s="482"/>
      <c r="I56" s="482"/>
      <c r="J56" s="482"/>
      <c r="K56" s="482"/>
      <c r="L56" s="482"/>
      <c r="M56" s="483"/>
      <c r="N56" s="2750"/>
      <c r="O56" s="2750"/>
      <c r="P56" s="2758"/>
      <c r="Q56" s="2735"/>
      <c r="R56" s="2721"/>
      <c r="S56" s="2721"/>
      <c r="T56" s="2721"/>
      <c r="U56" s="2721"/>
      <c r="V56" s="2721"/>
      <c r="W56" s="2721"/>
      <c r="X56" s="2721"/>
      <c r="Y56" s="2721"/>
      <c r="Z56" s="2721"/>
      <c r="AA56" s="2721"/>
      <c r="AB56" s="2721"/>
      <c r="AC56" s="2721"/>
    </row>
    <row r="57" spans="1:29" ht="15.75" thickTop="1">
      <c r="A57" s="480"/>
      <c r="B57" s="605">
        <f>B11</f>
        <v>111</v>
      </c>
      <c r="C57" s="495"/>
      <c r="D57" s="495"/>
      <c r="E57" s="495"/>
      <c r="F57" s="495"/>
      <c r="G57" s="495"/>
      <c r="H57" s="495"/>
      <c r="I57" s="495"/>
      <c r="J57" s="495"/>
      <c r="K57" s="496"/>
      <c r="L57" s="497"/>
      <c r="M57" s="498"/>
      <c r="N57" s="2749"/>
      <c r="O57" s="2749"/>
      <c r="P57" s="2758"/>
      <c r="Q57" s="2735"/>
      <c r="R57" s="2721"/>
      <c r="S57" s="2721"/>
      <c r="T57" s="2721"/>
      <c r="U57" s="2721"/>
      <c r="V57" s="2721"/>
      <c r="W57" s="2721"/>
      <c r="X57" s="2721"/>
      <c r="Y57" s="2721"/>
      <c r="Z57" s="2721"/>
      <c r="AA57" s="2721"/>
      <c r="AB57" s="2721"/>
      <c r="AC57" s="2721"/>
    </row>
    <row r="58" spans="1:29" ht="15.75" thickBot="1">
      <c r="A58" s="480"/>
      <c r="B58" s="481"/>
      <c r="C58" s="506"/>
      <c r="D58" s="482"/>
      <c r="E58" s="482"/>
      <c r="F58" s="482"/>
      <c r="G58" s="482"/>
      <c r="H58" s="482"/>
      <c r="I58" s="482"/>
      <c r="J58" s="482"/>
      <c r="K58" s="482"/>
      <c r="L58" s="482"/>
      <c r="M58" s="483"/>
      <c r="N58" s="2750"/>
      <c r="O58" s="2750"/>
      <c r="P58" s="2758"/>
      <c r="Q58" s="2735"/>
      <c r="R58" s="2721"/>
      <c r="S58" s="2721"/>
      <c r="T58" s="2721"/>
      <c r="U58" s="2721"/>
      <c r="V58" s="2721"/>
      <c r="W58" s="2721"/>
      <c r="X58" s="2721"/>
      <c r="Y58" s="2721"/>
      <c r="Z58" s="2721"/>
      <c r="AA58" s="2721"/>
      <c r="AB58" s="2721"/>
      <c r="AC58" s="2721"/>
    </row>
    <row r="59" spans="1:29" s="419" customFormat="1" ht="15.75" thickTop="1">
      <c r="A59" s="499"/>
      <c r="B59" s="484">
        <f>B12</f>
        <v>111</v>
      </c>
      <c r="C59" s="495"/>
      <c r="D59" s="495"/>
      <c r="E59" s="495"/>
      <c r="F59" s="495"/>
      <c r="G59" s="500"/>
      <c r="H59" s="501"/>
      <c r="I59" s="501"/>
      <c r="J59" s="501"/>
      <c r="K59" s="501"/>
      <c r="L59" s="502"/>
      <c r="M59" s="503"/>
      <c r="N59" s="2751"/>
      <c r="O59" s="2751"/>
      <c r="P59" s="2759"/>
      <c r="Q59" s="2742"/>
      <c r="R59" s="2743"/>
      <c r="S59" s="2743"/>
      <c r="T59" s="2743"/>
      <c r="U59" s="2743"/>
      <c r="V59" s="2743"/>
      <c r="W59" s="2743"/>
      <c r="X59" s="2743"/>
      <c r="Y59" s="2743"/>
      <c r="Z59" s="2743"/>
      <c r="AA59" s="2743"/>
      <c r="AB59" s="2743"/>
      <c r="AC59" s="2743"/>
    </row>
    <row r="60" spans="1:29" s="419" customFormat="1" ht="15.75" thickBot="1">
      <c r="A60" s="499"/>
      <c r="B60" s="489"/>
      <c r="C60" s="506"/>
      <c r="D60" s="482"/>
      <c r="E60" s="482"/>
      <c r="F60" s="482"/>
      <c r="G60" s="482"/>
      <c r="H60" s="482"/>
      <c r="I60" s="482"/>
      <c r="J60" s="482"/>
      <c r="K60" s="482"/>
      <c r="L60" s="482"/>
      <c r="M60" s="483"/>
      <c r="N60" s="2750"/>
      <c r="O60" s="2750"/>
      <c r="P60" s="2759"/>
      <c r="Q60" s="2742"/>
      <c r="R60" s="2743"/>
      <c r="S60" s="2743"/>
      <c r="T60" s="2743"/>
      <c r="U60" s="2743"/>
      <c r="V60" s="2743"/>
      <c r="W60" s="2743"/>
      <c r="X60" s="2743"/>
      <c r="Y60" s="2743"/>
      <c r="Z60" s="2743"/>
      <c r="AA60" s="2743"/>
      <c r="AB60" s="2743"/>
      <c r="AC60" s="2743"/>
    </row>
    <row r="61" spans="1:29" s="419" customFormat="1" ht="15.75" thickTop="1">
      <c r="A61" s="499"/>
      <c r="B61" s="484">
        <f>B13</f>
        <v>111</v>
      </c>
      <c r="C61" s="500"/>
      <c r="D61" s="500"/>
      <c r="E61" s="500"/>
      <c r="F61" s="500"/>
      <c r="G61" s="500"/>
      <c r="H61" s="501"/>
      <c r="I61" s="501"/>
      <c r="J61" s="501"/>
      <c r="K61" s="501"/>
      <c r="L61" s="502"/>
      <c r="M61" s="503"/>
      <c r="N61" s="2751"/>
      <c r="O61" s="2751"/>
      <c r="P61" s="2760"/>
      <c r="Q61" s="2745"/>
      <c r="R61" s="2743"/>
      <c r="S61" s="2743"/>
      <c r="T61" s="2743"/>
      <c r="U61" s="2743"/>
      <c r="V61" s="2743"/>
      <c r="W61" s="2743"/>
      <c r="X61" s="2743"/>
      <c r="Y61" s="2743"/>
      <c r="Z61" s="2743"/>
      <c r="AA61" s="2743"/>
      <c r="AB61" s="2743"/>
      <c r="AC61" s="2743"/>
    </row>
    <row r="62" spans="1:29" s="419" customFormat="1" ht="15.75" thickBot="1">
      <c r="A62" s="499"/>
      <c r="B62" s="489"/>
      <c r="C62" s="506"/>
      <c r="D62" s="506"/>
      <c r="E62" s="506"/>
      <c r="F62" s="506"/>
      <c r="G62" s="506"/>
      <c r="H62" s="508"/>
      <c r="I62" s="508"/>
      <c r="J62" s="508"/>
      <c r="K62" s="508"/>
      <c r="L62" s="508"/>
      <c r="M62" s="509"/>
      <c r="N62" s="2751"/>
      <c r="O62" s="2751"/>
      <c r="P62" s="2759"/>
      <c r="Q62" s="2742"/>
      <c r="R62" s="2743"/>
      <c r="S62" s="2743"/>
      <c r="T62" s="2743"/>
      <c r="U62" s="2743"/>
      <c r="V62" s="2743"/>
      <c r="W62" s="2743"/>
      <c r="X62" s="2743"/>
      <c r="Y62" s="2743"/>
      <c r="Z62" s="2743"/>
      <c r="AA62" s="2743"/>
      <c r="AB62" s="2743"/>
      <c r="AC62" s="2743"/>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9"/>
      <c r="O63" s="2749"/>
      <c r="P63" s="2762"/>
      <c r="Q63" s="2735"/>
      <c r="R63" s="2721"/>
      <c r="S63" s="2721"/>
      <c r="T63" s="2721"/>
      <c r="U63" s="2721"/>
      <c r="V63" s="2721"/>
      <c r="W63" s="2721"/>
      <c r="X63" s="2721"/>
      <c r="Y63" s="2721"/>
      <c r="Z63" s="2721"/>
      <c r="AA63" s="2721"/>
      <c r="AB63" s="2721"/>
      <c r="AC63" s="2721"/>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50"/>
      <c r="O64" s="2750"/>
      <c r="P64" s="2758"/>
      <c r="Q64" s="2735"/>
      <c r="R64" s="2721"/>
      <c r="S64" s="2721"/>
      <c r="T64" s="2721"/>
      <c r="U64" s="2721"/>
      <c r="V64" s="2721"/>
      <c r="W64" s="2721"/>
      <c r="X64" s="2721"/>
      <c r="Y64" s="2721"/>
      <c r="Z64" s="2721"/>
      <c r="AA64" s="2721"/>
      <c r="AB64" s="2721"/>
      <c r="AC64" s="2721"/>
    </row>
    <row r="65" spans="1:29" ht="15.75" thickTop="1">
      <c r="A65" s="480"/>
      <c r="B65" s="484" t="s">
        <v>1727</v>
      </c>
      <c r="C65" s="524" t="s">
        <v>1721</v>
      </c>
      <c r="D65" s="524" t="s">
        <v>1722</v>
      </c>
      <c r="E65" s="524" t="s">
        <v>1723</v>
      </c>
      <c r="F65" s="524" t="s">
        <v>1724</v>
      </c>
      <c r="G65" s="524" t="s">
        <v>1725</v>
      </c>
      <c r="H65" s="485"/>
      <c r="I65" s="485"/>
      <c r="J65" s="485"/>
      <c r="K65" s="486"/>
      <c r="L65" s="487"/>
      <c r="M65" s="488"/>
      <c r="N65" s="2749"/>
      <c r="O65" s="2749"/>
      <c r="P65" s="2758"/>
      <c r="Q65" s="2735"/>
      <c r="R65" s="2721"/>
      <c r="S65" s="2721"/>
      <c r="T65" s="2721"/>
      <c r="U65" s="2721"/>
      <c r="V65" s="2721"/>
      <c r="W65" s="2721"/>
      <c r="X65" s="2721"/>
      <c r="Y65" s="2721"/>
      <c r="Z65" s="2721"/>
      <c r="AA65" s="2721"/>
      <c r="AB65" s="2721"/>
      <c r="AC65" s="2721"/>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50"/>
      <c r="O66" s="2750"/>
      <c r="P66" s="2758"/>
      <c r="Q66" s="2735"/>
      <c r="R66" s="2721"/>
      <c r="S66" s="2721"/>
      <c r="T66" s="2721"/>
      <c r="U66" s="2721"/>
      <c r="V66" s="2721"/>
      <c r="W66" s="2721"/>
      <c r="X66" s="2721"/>
      <c r="Y66" s="2721"/>
      <c r="Z66" s="2721"/>
      <c r="AA66" s="2721"/>
      <c r="AB66" s="2721"/>
      <c r="AC66" s="2721"/>
    </row>
    <row r="67" spans="1:29" ht="15.75" thickTop="1">
      <c r="A67" s="480"/>
      <c r="B67" s="492" t="s">
        <v>1813</v>
      </c>
      <c r="C67" s="605" t="s">
        <v>1799</v>
      </c>
      <c r="D67" s="605" t="s">
        <v>1800</v>
      </c>
      <c r="E67" s="605" t="s">
        <v>1801</v>
      </c>
      <c r="F67" s="605" t="s">
        <v>1802</v>
      </c>
      <c r="G67" s="605" t="s">
        <v>1803</v>
      </c>
      <c r="H67" s="485"/>
      <c r="I67" s="485"/>
      <c r="J67" s="485"/>
      <c r="K67" s="485"/>
      <c r="L67" s="485"/>
      <c r="M67" s="1125"/>
      <c r="N67" s="2750"/>
      <c r="O67" s="2750"/>
      <c r="P67" s="2758"/>
      <c r="Q67" s="2735"/>
      <c r="R67" s="2721"/>
      <c r="S67" s="2721"/>
      <c r="T67" s="2721"/>
      <c r="U67" s="2721"/>
      <c r="V67" s="2721"/>
      <c r="W67" s="2721"/>
      <c r="X67" s="2721"/>
      <c r="Y67" s="2721"/>
      <c r="Z67" s="2721"/>
      <c r="AA67" s="2721"/>
      <c r="AB67" s="2721"/>
      <c r="AC67" s="2721"/>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50"/>
      <c r="O68" s="2750"/>
      <c r="P68" s="2758"/>
      <c r="Q68" s="2735"/>
      <c r="R68" s="2721"/>
      <c r="S68" s="2721"/>
      <c r="T68" s="2721"/>
      <c r="U68" s="2721"/>
      <c r="V68" s="2721"/>
      <c r="W68" s="2721"/>
      <c r="X68" s="2721"/>
      <c r="Y68" s="2721"/>
      <c r="Z68" s="2721"/>
      <c r="AA68" s="2721"/>
      <c r="AB68" s="2721"/>
      <c r="AC68" s="2721"/>
    </row>
    <row r="69" spans="1:29" ht="15.75" thickTop="1">
      <c r="A69" s="480"/>
      <c r="B69" s="484" t="s">
        <v>1733</v>
      </c>
      <c r="C69" s="524" t="s">
        <v>1721</v>
      </c>
      <c r="D69" s="524" t="s">
        <v>1722</v>
      </c>
      <c r="E69" s="524" t="s">
        <v>1723</v>
      </c>
      <c r="F69" s="524" t="s">
        <v>1724</v>
      </c>
      <c r="G69" s="524" t="s">
        <v>1725</v>
      </c>
      <c r="H69" s="485"/>
      <c r="I69" s="485"/>
      <c r="J69" s="485"/>
      <c r="K69" s="486"/>
      <c r="L69" s="487"/>
      <c r="M69" s="488"/>
      <c r="N69" s="2749"/>
      <c r="O69" s="2749"/>
      <c r="P69" s="2758"/>
      <c r="Q69" s="2735"/>
      <c r="R69" s="2721"/>
      <c r="S69" s="2721"/>
      <c r="T69" s="2721"/>
      <c r="U69" s="2721"/>
      <c r="V69" s="2721"/>
      <c r="W69" s="2721"/>
      <c r="X69" s="2721"/>
      <c r="Y69" s="2721"/>
      <c r="Z69" s="2721"/>
      <c r="AA69" s="2721"/>
      <c r="AB69" s="2721"/>
      <c r="AC69" s="2721"/>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50"/>
      <c r="O70" s="2750"/>
      <c r="P70" s="2758"/>
      <c r="Q70" s="2735"/>
      <c r="R70" s="2721"/>
      <c r="S70" s="2721"/>
      <c r="T70" s="2721"/>
      <c r="U70" s="2721"/>
      <c r="V70" s="2721"/>
      <c r="W70" s="2721"/>
      <c r="X70" s="2721"/>
      <c r="Y70" s="2721"/>
      <c r="Z70" s="2721"/>
      <c r="AA70" s="2721"/>
      <c r="AB70" s="2721"/>
      <c r="AC70" s="2721"/>
    </row>
    <row r="71" spans="1:29" ht="15.75" thickTop="1">
      <c r="A71" s="480"/>
      <c r="B71" s="484" t="s">
        <v>1852</v>
      </c>
      <c r="C71" s="500"/>
      <c r="D71" s="500"/>
      <c r="E71" s="500"/>
      <c r="F71" s="500"/>
      <c r="G71" s="500"/>
      <c r="H71" s="529"/>
      <c r="I71" s="529"/>
      <c r="J71" s="529"/>
      <c r="K71" s="530"/>
      <c r="L71" s="531"/>
      <c r="M71" s="532"/>
      <c r="N71" s="2749"/>
      <c r="O71" s="2749"/>
      <c r="P71" s="2758"/>
      <c r="Q71" s="2735"/>
      <c r="R71" s="2721"/>
      <c r="S71" s="2721"/>
      <c r="T71" s="2721"/>
      <c r="U71" s="2721"/>
      <c r="V71" s="2721"/>
      <c r="W71" s="2721"/>
      <c r="X71" s="2721"/>
      <c r="Y71" s="2721"/>
      <c r="Z71" s="2721"/>
      <c r="AA71" s="2721"/>
      <c r="AB71" s="2721"/>
      <c r="AC71" s="2721"/>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50"/>
      <c r="O72" s="2750"/>
      <c r="P72" s="2758"/>
      <c r="Q72" s="2735"/>
      <c r="R72" s="2721"/>
      <c r="S72" s="2721"/>
      <c r="T72" s="2721"/>
      <c r="U72" s="2721"/>
      <c r="V72" s="2721"/>
      <c r="W72" s="2721"/>
      <c r="X72" s="2721"/>
      <c r="Y72" s="2721"/>
      <c r="Z72" s="2721"/>
      <c r="AA72" s="2721"/>
      <c r="AB72" s="2721"/>
      <c r="AC72" s="2721"/>
    </row>
    <row r="73" spans="1:29" s="108" customFormat="1" ht="15.75" thickTop="1">
      <c r="A73" s="525"/>
      <c r="B73" s="484">
        <f>B23</f>
        <v>111</v>
      </c>
      <c r="C73" s="495"/>
      <c r="D73" s="495"/>
      <c r="E73" s="495"/>
      <c r="F73" s="495"/>
      <c r="G73" s="500"/>
      <c r="H73" s="500"/>
      <c r="I73" s="500"/>
      <c r="J73" s="500"/>
      <c r="K73" s="500"/>
      <c r="L73" s="526"/>
      <c r="M73" s="527"/>
      <c r="N73" s="2748"/>
      <c r="O73" s="2748"/>
      <c r="P73" s="2758"/>
      <c r="Q73" s="2735"/>
      <c r="R73" s="2657"/>
      <c r="S73" s="2657"/>
      <c r="T73" s="2657"/>
      <c r="U73" s="2657"/>
      <c r="V73" s="2657"/>
      <c r="W73" s="2657"/>
      <c r="X73" s="2657"/>
      <c r="Y73" s="2657"/>
      <c r="Z73" s="2657"/>
      <c r="AA73" s="2657"/>
      <c r="AB73" s="2657"/>
      <c r="AC73" s="2657"/>
    </row>
    <row r="74" spans="1:29" s="108" customFormat="1" ht="15.75" thickBot="1">
      <c r="A74" s="525"/>
      <c r="B74" s="489"/>
      <c r="C74" s="506"/>
      <c r="D74" s="482"/>
      <c r="E74" s="482"/>
      <c r="F74" s="482"/>
      <c r="G74" s="482"/>
      <c r="H74" s="482"/>
      <c r="I74" s="482"/>
      <c r="J74" s="482"/>
      <c r="K74" s="482"/>
      <c r="L74" s="482"/>
      <c r="M74" s="483"/>
      <c r="N74" s="2750"/>
      <c r="O74" s="2750"/>
      <c r="P74" s="2758"/>
      <c r="Q74" s="2735"/>
      <c r="R74" s="2657"/>
      <c r="S74" s="2657"/>
      <c r="T74" s="2657"/>
      <c r="U74" s="2657"/>
      <c r="V74" s="2657"/>
      <c r="W74" s="2657"/>
      <c r="X74" s="2657"/>
      <c r="Y74" s="2657"/>
      <c r="Z74" s="2657"/>
      <c r="AA74" s="2657"/>
      <c r="AB74" s="2657"/>
      <c r="AC74" s="2657"/>
    </row>
    <row r="75" spans="1:29" s="108" customFormat="1" ht="15.75" thickTop="1">
      <c r="A75" s="525"/>
      <c r="B75" s="484">
        <f>B24</f>
        <v>111</v>
      </c>
      <c r="C75" s="495"/>
      <c r="D75" s="495"/>
      <c r="E75" s="495"/>
      <c r="F75" s="495"/>
      <c r="G75" s="500"/>
      <c r="H75" s="500"/>
      <c r="I75" s="500"/>
      <c r="J75" s="500"/>
      <c r="K75" s="500"/>
      <c r="L75" s="500"/>
      <c r="M75" s="527"/>
      <c r="N75" s="2748"/>
      <c r="O75" s="2748"/>
      <c r="P75" s="2758"/>
      <c r="Q75" s="2735"/>
      <c r="R75" s="2657"/>
      <c r="S75" s="2657"/>
      <c r="T75" s="2657"/>
      <c r="U75" s="2657"/>
      <c r="V75" s="2657"/>
      <c r="W75" s="2657"/>
      <c r="X75" s="2657"/>
      <c r="Y75" s="2657"/>
      <c r="Z75" s="2657"/>
      <c r="AA75" s="2657"/>
      <c r="AB75" s="2657"/>
      <c r="AC75" s="2657"/>
    </row>
    <row r="76" spans="1:29" s="108" customFormat="1" ht="15.75" thickBot="1">
      <c r="A76" s="525"/>
      <c r="B76" s="489"/>
      <c r="C76" s="506"/>
      <c r="D76" s="482"/>
      <c r="E76" s="482"/>
      <c r="F76" s="482"/>
      <c r="G76" s="482"/>
      <c r="H76" s="482"/>
      <c r="I76" s="482"/>
      <c r="J76" s="482"/>
      <c r="K76" s="482"/>
      <c r="L76" s="482"/>
      <c r="M76" s="483"/>
      <c r="N76" s="2750"/>
      <c r="O76" s="2750"/>
      <c r="P76" s="2758"/>
      <c r="Q76" s="2735"/>
      <c r="R76" s="2657"/>
      <c r="S76" s="2657"/>
      <c r="T76" s="2657"/>
      <c r="U76" s="2657"/>
      <c r="V76" s="2657"/>
      <c r="W76" s="2657"/>
      <c r="X76" s="2657"/>
      <c r="Y76" s="2657"/>
      <c r="Z76" s="2657"/>
      <c r="AA76" s="2657"/>
      <c r="AB76" s="2657"/>
      <c r="AC76" s="2657"/>
    </row>
    <row r="77" spans="1:29" s="419" customFormat="1" ht="15.75" thickTop="1">
      <c r="A77" s="499"/>
      <c r="B77" s="484">
        <f>B25</f>
        <v>111</v>
      </c>
      <c r="C77" s="500"/>
      <c r="D77" s="500"/>
      <c r="E77" s="500"/>
      <c r="F77" s="500"/>
      <c r="G77" s="500"/>
      <c r="H77" s="501"/>
      <c r="I77" s="501"/>
      <c r="J77" s="501"/>
      <c r="K77" s="501"/>
      <c r="L77" s="502"/>
      <c r="M77" s="503"/>
      <c r="N77" s="2751"/>
      <c r="O77" s="2751"/>
      <c r="P77" s="2759"/>
      <c r="Q77" s="2742"/>
      <c r="R77" s="2743"/>
      <c r="S77" s="2743"/>
      <c r="T77" s="2743"/>
      <c r="U77" s="2743"/>
      <c r="V77" s="2743"/>
      <c r="W77" s="2743"/>
      <c r="X77" s="2743"/>
      <c r="Y77" s="2743"/>
      <c r="Z77" s="2743"/>
      <c r="AA77" s="2743"/>
      <c r="AB77" s="2743"/>
      <c r="AC77" s="2743"/>
    </row>
    <row r="78" spans="1:29" s="419" customFormat="1" ht="15.75" thickBot="1">
      <c r="A78" s="499"/>
      <c r="B78" s="489"/>
      <c r="C78" s="506"/>
      <c r="D78" s="506"/>
      <c r="E78" s="506"/>
      <c r="F78" s="506"/>
      <c r="G78" s="482"/>
      <c r="H78" s="482"/>
      <c r="I78" s="482"/>
      <c r="J78" s="482"/>
      <c r="K78" s="482"/>
      <c r="L78" s="482"/>
      <c r="M78" s="483"/>
      <c r="N78" s="2751"/>
      <c r="O78" s="2751"/>
      <c r="P78" s="2759"/>
      <c r="Q78" s="2742"/>
      <c r="R78" s="2743"/>
      <c r="S78" s="2743"/>
      <c r="T78" s="2743"/>
      <c r="U78" s="2743"/>
      <c r="V78" s="2743"/>
      <c r="W78" s="2743"/>
      <c r="X78" s="2743"/>
      <c r="Y78" s="2743"/>
      <c r="Z78" s="2743"/>
      <c r="AA78" s="2743"/>
      <c r="AB78" s="2743"/>
      <c r="AC78" s="2743"/>
    </row>
    <row r="79" spans="1:29" ht="27.75" thickTop="1">
      <c r="A79" s="473" t="s">
        <v>1694</v>
      </c>
      <c r="B79" s="474" t="s">
        <v>1853</v>
      </c>
      <c r="C79" s="475" t="str">
        <f>C26</f>
        <v>车库</v>
      </c>
      <c r="D79" s="476"/>
      <c r="E79" s="476"/>
      <c r="F79" s="476"/>
      <c r="G79" s="476"/>
      <c r="H79" s="476"/>
      <c r="I79" s="476"/>
      <c r="J79" s="476"/>
      <c r="K79" s="477"/>
      <c r="L79" s="478"/>
      <c r="M79" s="479"/>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0"/>
      <c r="B81" s="484" t="s">
        <v>1854</v>
      </c>
      <c r="C81" s="606"/>
      <c r="D81" s="606"/>
      <c r="E81" s="606"/>
      <c r="F81" s="606"/>
      <c r="G81" s="606"/>
      <c r="H81" s="606"/>
      <c r="I81" s="606"/>
      <c r="J81" s="606"/>
      <c r="K81" s="607"/>
      <c r="L81" s="608"/>
      <c r="M81" s="609"/>
      <c r="N81" s="2748"/>
      <c r="O81" s="2748"/>
      <c r="P81" s="2758"/>
      <c r="Q81" s="2735"/>
      <c r="R81" s="2721"/>
      <c r="S81" s="2721"/>
      <c r="T81" s="2721"/>
      <c r="U81" s="2721"/>
      <c r="V81" s="2721"/>
      <c r="W81" s="2721"/>
      <c r="X81" s="2721"/>
      <c r="Y81" s="2721"/>
      <c r="Z81" s="2721"/>
      <c r="AA81" s="2721"/>
      <c r="AB81" s="2721"/>
      <c r="AC81" s="2721"/>
    </row>
    <row r="82" spans="1:29" s="419" customFormat="1" ht="15.75" thickBot="1">
      <c r="A82" s="499"/>
      <c r="B82" s="489"/>
      <c r="C82" s="506"/>
      <c r="D82" s="482"/>
      <c r="E82" s="482"/>
      <c r="F82" s="482"/>
      <c r="G82" s="482"/>
      <c r="H82" s="482"/>
      <c r="I82" s="482"/>
      <c r="J82" s="482"/>
      <c r="K82" s="482"/>
      <c r="L82" s="482"/>
      <c r="M82" s="483"/>
      <c r="N82" s="2750"/>
      <c r="O82" s="2750"/>
      <c r="P82" s="2759"/>
      <c r="Q82" s="2742"/>
      <c r="R82" s="2743"/>
      <c r="S82" s="2743"/>
      <c r="T82" s="2743"/>
      <c r="U82" s="2743"/>
      <c r="V82" s="2743"/>
      <c r="W82" s="2743"/>
      <c r="X82" s="2743"/>
      <c r="Y82" s="2743"/>
      <c r="Z82" s="2743"/>
      <c r="AA82" s="2743"/>
      <c r="AB82" s="2743"/>
      <c r="AC82" s="2743"/>
    </row>
    <row r="83" spans="1:29" ht="15" thickTop="1">
      <c r="A83" s="545"/>
      <c r="B83" s="484" t="s">
        <v>1740</v>
      </c>
      <c r="C83" s="500"/>
      <c r="D83" s="500"/>
      <c r="E83" s="529"/>
      <c r="F83" s="529"/>
      <c r="G83" s="529"/>
      <c r="H83" s="529"/>
      <c r="I83" s="529"/>
      <c r="J83" s="529"/>
      <c r="K83" s="530"/>
      <c r="L83" s="531"/>
      <c r="M83" s="532"/>
      <c r="N83" s="2749"/>
      <c r="O83" s="2749"/>
      <c r="P83" s="2758"/>
      <c r="Q83" s="2735"/>
      <c r="R83" s="2721"/>
      <c r="S83" s="2721"/>
      <c r="T83" s="2721"/>
      <c r="U83" s="2721"/>
      <c r="V83" s="2721"/>
      <c r="W83" s="2721"/>
      <c r="X83" s="2721"/>
      <c r="Y83" s="2721"/>
      <c r="Z83" s="2721"/>
      <c r="AA83" s="2721"/>
      <c r="AB83" s="2721"/>
      <c r="AC83" s="2721"/>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9"/>
      <c r="O85" s="2749"/>
      <c r="P85" s="2758"/>
      <c r="Q85" s="2735"/>
      <c r="R85" s="2721"/>
      <c r="S85" s="2721"/>
      <c r="T85" s="2721"/>
      <c r="U85" s="2721"/>
      <c r="V85" s="2721"/>
      <c r="W85" s="2721"/>
      <c r="X85" s="2721"/>
      <c r="Y85" s="2721"/>
      <c r="Z85" s="2721"/>
      <c r="AA85" s="2721"/>
      <c r="AB85" s="2721"/>
      <c r="AC85" s="2721"/>
    </row>
    <row r="86" spans="1:29">
      <c r="A86" s="545"/>
      <c r="B86" s="492"/>
      <c r="C86" s="549">
        <v>0.5</v>
      </c>
      <c r="D86" s="549">
        <v>0.6</v>
      </c>
      <c r="E86" s="549">
        <v>0.7</v>
      </c>
      <c r="F86" s="549">
        <v>0.8</v>
      </c>
      <c r="G86" s="549">
        <v>0.9</v>
      </c>
      <c r="H86" s="549">
        <v>1.0001</v>
      </c>
      <c r="I86" s="568"/>
      <c r="J86" s="568"/>
      <c r="K86" s="569"/>
      <c r="L86" s="570"/>
      <c r="M86" s="571"/>
      <c r="N86" s="2749"/>
      <c r="O86" s="2749"/>
      <c r="P86" s="2758"/>
      <c r="Q86" s="2735"/>
      <c r="R86" s="2721"/>
      <c r="S86" s="2721"/>
      <c r="T86" s="2721"/>
      <c r="U86" s="2721"/>
      <c r="V86" s="2721"/>
      <c r="W86" s="2721"/>
      <c r="X86" s="2721"/>
      <c r="Y86" s="2721"/>
      <c r="Z86" s="2721"/>
      <c r="AA86" s="2721"/>
      <c r="AB86" s="2721"/>
      <c r="AC86" s="2721"/>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5"/>
      <c r="B88" s="492" t="s">
        <v>1856</v>
      </c>
      <c r="C88" s="476"/>
      <c r="D88" s="476"/>
      <c r="E88" s="476"/>
      <c r="F88" s="476"/>
      <c r="G88" s="476"/>
      <c r="H88" s="476"/>
      <c r="I88" s="476"/>
      <c r="J88" s="476"/>
      <c r="K88" s="477"/>
      <c r="L88" s="478"/>
      <c r="M88" s="479"/>
      <c r="N88" s="2749"/>
      <c r="O88" s="2749"/>
      <c r="P88" s="2758"/>
      <c r="Q88" s="2735"/>
      <c r="R88" s="2721"/>
      <c r="S88" s="2721"/>
      <c r="T88" s="2721"/>
      <c r="U88" s="2721"/>
      <c r="V88" s="2721"/>
      <c r="W88" s="2721"/>
      <c r="X88" s="2721"/>
      <c r="Y88" s="2721"/>
      <c r="Z88" s="2721"/>
      <c r="AA88" s="2721"/>
      <c r="AB88" s="2721"/>
      <c r="AC88" s="2721"/>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50"/>
      <c r="O89" s="2750"/>
      <c r="P89" s="2758"/>
      <c r="Q89" s="2735"/>
      <c r="R89" s="2721"/>
      <c r="S89" s="2721"/>
      <c r="T89" s="2721"/>
      <c r="U89" s="2721"/>
      <c r="V89" s="2721"/>
      <c r="W89" s="2721"/>
      <c r="X89" s="2721"/>
      <c r="Y89" s="2721"/>
      <c r="Z89" s="2721"/>
      <c r="AA89" s="2721"/>
      <c r="AB89" s="2721"/>
      <c r="AC89" s="2721"/>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51"/>
      <c r="O90" s="2751"/>
      <c r="P90" s="2759"/>
      <c r="Q90" s="2742"/>
      <c r="R90" s="2743"/>
      <c r="S90" s="2743"/>
      <c r="T90" s="2743"/>
      <c r="U90" s="2743"/>
      <c r="V90" s="2743"/>
      <c r="W90" s="2743"/>
      <c r="X90" s="2743"/>
      <c r="Y90" s="2743"/>
      <c r="Z90" s="2743"/>
      <c r="AA90" s="2743"/>
      <c r="AB90" s="2743"/>
      <c r="AC90" s="2743"/>
    </row>
    <row r="91" spans="1:29" s="419" customFormat="1">
      <c r="A91" s="539"/>
      <c r="B91" s="492"/>
      <c r="C91" s="541"/>
      <c r="D91" s="541"/>
      <c r="E91" s="541"/>
      <c r="F91" s="541"/>
      <c r="G91" s="541"/>
      <c r="H91" s="541"/>
      <c r="I91" s="541"/>
      <c r="J91" s="542"/>
      <c r="K91" s="542"/>
      <c r="L91" s="543"/>
      <c r="M91" s="544"/>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06"/>
      <c r="D92" s="482"/>
      <c r="E92" s="482"/>
      <c r="F92" s="482"/>
      <c r="G92" s="482"/>
      <c r="H92" s="482"/>
      <c r="I92" s="482"/>
      <c r="J92" s="482"/>
      <c r="K92" s="482"/>
      <c r="L92" s="482"/>
      <c r="M92" s="483"/>
      <c r="N92" s="2751"/>
      <c r="O92" s="2751"/>
      <c r="P92" s="2759"/>
      <c r="Q92" s="2742"/>
      <c r="R92" s="2743"/>
      <c r="S92" s="2743"/>
      <c r="T92" s="2743"/>
      <c r="U92" s="2743"/>
      <c r="V92" s="2743"/>
      <c r="W92" s="2743"/>
      <c r="X92" s="2743"/>
      <c r="Y92" s="2743"/>
      <c r="Z92" s="2743"/>
      <c r="AA92" s="2743"/>
      <c r="AB92" s="2743"/>
      <c r="AC92" s="2743"/>
    </row>
    <row r="93" spans="1:29" ht="15" thickTop="1">
      <c r="A93" s="545"/>
      <c r="B93" s="484" t="s">
        <v>1858</v>
      </c>
      <c r="C93" s="500"/>
      <c r="D93" s="500"/>
      <c r="E93" s="529"/>
      <c r="F93" s="529"/>
      <c r="G93" s="529"/>
      <c r="H93" s="529"/>
      <c r="I93" s="529"/>
      <c r="J93" s="529"/>
      <c r="K93" s="530"/>
      <c r="L93" s="531"/>
      <c r="M93" s="532"/>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5"/>
      <c r="B95" s="484" t="s">
        <v>1859</v>
      </c>
      <c r="C95" s="476"/>
      <c r="D95" s="476"/>
      <c r="E95" s="476"/>
      <c r="F95" s="476"/>
      <c r="G95" s="476"/>
      <c r="H95" s="476"/>
      <c r="I95" s="476"/>
      <c r="J95" s="476"/>
      <c r="K95" s="477"/>
      <c r="L95" s="478"/>
      <c r="M95" s="479"/>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50"/>
      <c r="O96" s="2750"/>
      <c r="P96" s="2758"/>
      <c r="Q96" s="2735"/>
      <c r="R96" s="2721"/>
      <c r="S96" s="2721"/>
      <c r="T96" s="2721"/>
      <c r="U96" s="2721"/>
      <c r="V96" s="2721"/>
      <c r="W96" s="2721"/>
      <c r="X96" s="2721"/>
      <c r="Y96" s="2721"/>
      <c r="Z96" s="2721"/>
      <c r="AA96" s="2721"/>
      <c r="AB96" s="2721"/>
      <c r="AC96" s="2721"/>
    </row>
    <row r="97" spans="1:29" ht="15" thickTop="1">
      <c r="A97" s="545"/>
      <c r="B97" s="581">
        <f>B34</f>
        <v>111</v>
      </c>
      <c r="C97" s="495"/>
      <c r="D97" s="495"/>
      <c r="E97" s="495"/>
      <c r="F97" s="495"/>
      <c r="G97" s="500"/>
      <c r="H97" s="501"/>
      <c r="I97" s="501"/>
      <c r="J97" s="501"/>
      <c r="K97" s="501"/>
      <c r="L97" s="502"/>
      <c r="M97" s="503"/>
      <c r="N97" s="2750"/>
      <c r="O97" s="2750"/>
      <c r="P97" s="2763"/>
      <c r="Q97" s="2764"/>
      <c r="R97" s="2721"/>
      <c r="S97" s="2721"/>
      <c r="T97" s="2721"/>
      <c r="U97" s="2721"/>
      <c r="V97" s="2721"/>
      <c r="W97" s="2721"/>
      <c r="X97" s="2721"/>
      <c r="Y97" s="2721"/>
      <c r="Z97" s="2721"/>
      <c r="AA97" s="2721"/>
      <c r="AB97" s="2721"/>
      <c r="AC97" s="2721"/>
    </row>
    <row r="98" spans="1:29" ht="15.75" thickBot="1">
      <c r="A98" s="480"/>
      <c r="B98" s="489"/>
      <c r="C98" s="506"/>
      <c r="D98" s="482"/>
      <c r="E98" s="482"/>
      <c r="F98" s="482"/>
      <c r="G98" s="506"/>
      <c r="H98" s="508"/>
      <c r="I98" s="508"/>
      <c r="J98" s="508"/>
      <c r="K98" s="508"/>
      <c r="L98" s="508"/>
      <c r="M98" s="509"/>
      <c r="N98" s="2750"/>
      <c r="O98" s="2750"/>
      <c r="P98" s="2758"/>
      <c r="Q98" s="2735"/>
      <c r="R98" s="2721"/>
      <c r="S98" s="2721"/>
      <c r="T98" s="2721"/>
      <c r="U98" s="2721"/>
      <c r="V98" s="2721"/>
      <c r="W98" s="2721"/>
      <c r="X98" s="2721"/>
      <c r="Y98" s="2721"/>
      <c r="Z98" s="2721"/>
      <c r="AA98" s="2721"/>
      <c r="AB98" s="2721"/>
      <c r="AC98" s="2721"/>
    </row>
    <row r="99" spans="1:29" s="419" customFormat="1" ht="15" thickTop="1">
      <c r="A99" s="539"/>
      <c r="B99" s="484">
        <f>B35</f>
        <v>111</v>
      </c>
      <c r="C99" s="495"/>
      <c r="D99" s="495"/>
      <c r="E99" s="495"/>
      <c r="F99" s="495"/>
      <c r="G99" s="500"/>
      <c r="H99" s="501"/>
      <c r="I99" s="501"/>
      <c r="J99" s="501"/>
      <c r="K99" s="501"/>
      <c r="L99" s="502"/>
      <c r="M99" s="503"/>
      <c r="N99" s="2751"/>
      <c r="O99" s="2751"/>
      <c r="P99" s="2759"/>
      <c r="Q99" s="2742"/>
      <c r="R99" s="2743"/>
      <c r="S99" s="2743"/>
      <c r="T99" s="2743"/>
      <c r="U99" s="2743"/>
      <c r="V99" s="2743"/>
      <c r="W99" s="2743"/>
      <c r="X99" s="2743"/>
      <c r="Y99" s="2743"/>
      <c r="Z99" s="2743"/>
      <c r="AA99" s="2743"/>
      <c r="AB99" s="2743"/>
      <c r="AC99" s="2743"/>
    </row>
    <row r="100" spans="1:29" s="419" customFormat="1" ht="15.75" thickBot="1">
      <c r="A100" s="499"/>
      <c r="B100" s="481"/>
      <c r="C100" s="506"/>
      <c r="D100" s="482"/>
      <c r="E100" s="482"/>
      <c r="F100" s="482"/>
      <c r="G100" s="506"/>
      <c r="H100" s="508"/>
      <c r="I100" s="508"/>
      <c r="J100" s="508"/>
      <c r="K100" s="508"/>
      <c r="L100" s="508"/>
      <c r="M100" s="509"/>
      <c r="N100" s="2751"/>
      <c r="O100" s="2751"/>
      <c r="P100" s="2759"/>
      <c r="Q100" s="2742"/>
      <c r="R100" s="2743"/>
      <c r="S100" s="2743"/>
      <c r="T100" s="2743"/>
      <c r="U100" s="2743"/>
      <c r="V100" s="2743"/>
      <c r="W100" s="2743"/>
      <c r="X100" s="2743"/>
      <c r="Y100" s="2743"/>
      <c r="Z100" s="2743"/>
      <c r="AA100" s="2743"/>
      <c r="AB100" s="2743"/>
      <c r="AC100" s="2743"/>
    </row>
    <row r="101" spans="1:29" ht="15" thickTop="1">
      <c r="A101" s="545"/>
      <c r="B101" s="484">
        <f>B36</f>
        <v>111</v>
      </c>
      <c r="C101" s="500"/>
      <c r="D101" s="500"/>
      <c r="E101" s="500"/>
      <c r="F101" s="500"/>
      <c r="G101" s="500"/>
      <c r="H101" s="501"/>
      <c r="I101" s="501"/>
      <c r="J101" s="501"/>
      <c r="K101" s="501"/>
      <c r="L101" s="502"/>
      <c r="M101" s="503"/>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506"/>
      <c r="D102" s="506"/>
      <c r="E102" s="506"/>
      <c r="F102" s="506"/>
      <c r="G102" s="506"/>
      <c r="H102" s="508"/>
      <c r="I102" s="508"/>
      <c r="J102" s="508"/>
      <c r="K102" s="508"/>
      <c r="L102" s="508"/>
      <c r="M102" s="509"/>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1769</v>
      </c>
      <c r="B4" s="353"/>
      <c r="C4" s="3763" t="s">
        <v>1770</v>
      </c>
      <c r="D4" s="3764"/>
      <c r="E4" s="3765" t="s">
        <v>1771</v>
      </c>
      <c r="F4" s="3766"/>
      <c r="G4" s="3763" t="s">
        <v>1772</v>
      </c>
      <c r="H4" s="3764"/>
      <c r="I4" s="3763" t="s">
        <v>1773</v>
      </c>
      <c r="J4" s="3764"/>
      <c r="K4" s="556" t="s">
        <v>1774</v>
      </c>
      <c r="L4" s="2711"/>
      <c r="M4" s="2712"/>
      <c r="N4" s="2712"/>
      <c r="O4" s="2712"/>
      <c r="P4" s="3829" t="s">
        <v>1775</v>
      </c>
      <c r="Q4" s="3830"/>
      <c r="R4" s="3833" t="s">
        <v>1771</v>
      </c>
      <c r="S4" s="3834"/>
      <c r="T4" s="3833" t="s">
        <v>1772</v>
      </c>
      <c r="U4" s="3834"/>
      <c r="V4" s="3780" t="s">
        <v>1773</v>
      </c>
      <c r="W4" s="3780"/>
      <c r="X4" s="1351"/>
      <c r="Y4" s="3833" t="s">
        <v>1775</v>
      </c>
      <c r="Z4" s="3834"/>
      <c r="AA4" s="3828" t="s">
        <v>1771</v>
      </c>
      <c r="AB4" s="3792" t="s">
        <v>1772</v>
      </c>
      <c r="AC4" s="3828" t="s">
        <v>1773</v>
      </c>
    </row>
    <row r="5" spans="1:29" ht="15">
      <c r="A5" s="355"/>
      <c r="B5" s="356"/>
      <c r="C5" s="3783" t="s">
        <v>1673</v>
      </c>
      <c r="D5" s="3784"/>
      <c r="E5" s="3794" t="s">
        <v>1674</v>
      </c>
      <c r="F5" s="3795"/>
      <c r="G5" s="3783" t="s">
        <v>1675</v>
      </c>
      <c r="H5" s="3784"/>
      <c r="I5" s="3783" t="s">
        <v>1676</v>
      </c>
      <c r="J5" s="3784"/>
      <c r="K5" s="556"/>
      <c r="L5" s="2711"/>
      <c r="M5" s="2712"/>
      <c r="N5" s="2712"/>
      <c r="O5" s="2712"/>
      <c r="P5" s="3831"/>
      <c r="Q5" s="3770"/>
      <c r="R5" s="3775"/>
      <c r="S5" s="3776"/>
      <c r="T5" s="3775"/>
      <c r="U5" s="3776"/>
      <c r="V5" s="3780"/>
      <c r="W5" s="3780"/>
      <c r="X5" s="1351"/>
      <c r="Y5" s="3775"/>
      <c r="Z5" s="3776"/>
      <c r="AA5" s="3792"/>
      <c r="AB5" s="3792"/>
      <c r="AC5" s="3792"/>
    </row>
    <row r="6" spans="1:29" ht="15.75" thickBot="1">
      <c r="A6" s="357"/>
      <c r="B6" s="358"/>
      <c r="C6" s="3781" t="s">
        <v>1677</v>
      </c>
      <c r="D6" s="3782"/>
      <c r="E6" s="3789" t="s">
        <v>1677</v>
      </c>
      <c r="F6" s="3790"/>
      <c r="G6" s="3781" t="s">
        <v>1677</v>
      </c>
      <c r="H6" s="3782"/>
      <c r="I6" s="3781" t="s">
        <v>1677</v>
      </c>
      <c r="J6" s="3782"/>
      <c r="K6" s="556" t="s">
        <v>1678</v>
      </c>
      <c r="L6" s="2711"/>
      <c r="M6" s="2712"/>
      <c r="N6" s="2712"/>
      <c r="O6" s="2712"/>
      <c r="P6" s="3832"/>
      <c r="Q6" s="3772"/>
      <c r="R6" s="3775"/>
      <c r="S6" s="3776"/>
      <c r="T6" s="3777"/>
      <c r="U6" s="3778"/>
      <c r="V6" s="3780"/>
      <c r="W6" s="3780"/>
      <c r="X6" s="1351"/>
      <c r="Y6" s="3777"/>
      <c r="Z6" s="3778"/>
      <c r="AA6" s="3793"/>
      <c r="AB6" s="3793"/>
      <c r="AC6" s="3793"/>
    </row>
    <row r="7" spans="1:29" s="108" customFormat="1" ht="15.75" thickBot="1">
      <c r="A7" s="359" t="s">
        <v>1679</v>
      </c>
      <c r="B7" s="360"/>
      <c r="C7" s="361">
        <f>'数据-取费表'!B2</f>
        <v>45421</v>
      </c>
      <c r="D7" s="362">
        <v>100</v>
      </c>
      <c r="E7" s="363"/>
      <c r="F7" s="364">
        <f>SUMIF(46:46,YEAR(E7)&amp;"-"&amp;MONTH(E7),47:47)</f>
        <v>0</v>
      </c>
      <c r="G7" s="1970"/>
      <c r="H7" s="362">
        <f>SUMIF(46:46,YEAR(G7)&amp;"-"&amp;MONTH(G7),47:47)</f>
        <v>0</v>
      </c>
      <c r="I7" s="363"/>
      <c r="J7" s="362">
        <f>SUMIF(46:46,YEAR(I7)&amp;"-"&amp;MONTH(I7),47:47)</f>
        <v>0</v>
      </c>
      <c r="K7" s="557"/>
      <c r="L7" s="2713"/>
      <c r="M7" s="2714"/>
      <c r="N7" s="2714"/>
      <c r="O7" s="2714"/>
      <c r="P7" s="3787" t="s">
        <v>1680</v>
      </c>
      <c r="Q7" s="3788"/>
      <c r="R7" s="697" t="s">
        <v>14</v>
      </c>
      <c r="S7" s="698">
        <f t="shared" ref="S7:S14" si="0">F7</f>
        <v>0</v>
      </c>
      <c r="T7" s="697" t="s">
        <v>14</v>
      </c>
      <c r="U7" s="698">
        <f t="shared" ref="U7:U14" si="1">H7</f>
        <v>0</v>
      </c>
      <c r="V7" s="697" t="s">
        <v>14</v>
      </c>
      <c r="W7" s="698">
        <f t="shared" ref="W7:W14" si="2">J7</f>
        <v>0</v>
      </c>
      <c r="X7" s="699"/>
      <c r="Y7" s="3787" t="s">
        <v>1680</v>
      </c>
      <c r="Z7" s="3786"/>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13"/>
      <c r="M8" s="2714"/>
      <c r="N8" s="2714"/>
      <c r="O8" s="2714"/>
      <c r="P8" s="3787" t="s">
        <v>1683</v>
      </c>
      <c r="Q8" s="3786"/>
      <c r="R8" s="697" t="s">
        <v>14</v>
      </c>
      <c r="S8" s="698">
        <f t="shared" si="0"/>
        <v>100</v>
      </c>
      <c r="T8" s="697" t="s">
        <v>14</v>
      </c>
      <c r="U8" s="698">
        <f t="shared" si="1"/>
        <v>100</v>
      </c>
      <c r="V8" s="697" t="s">
        <v>14</v>
      </c>
      <c r="W8" s="698">
        <f t="shared" si="2"/>
        <v>100</v>
      </c>
      <c r="X8" s="699"/>
      <c r="Y8" s="3787" t="s">
        <v>1683</v>
      </c>
      <c r="Z8" s="3786"/>
      <c r="AA8" s="700">
        <f t="shared" ref="AA8:AA34" si="3">D8/F8</f>
        <v>1</v>
      </c>
      <c r="AB8" s="700">
        <f t="shared" ref="AB8:AB34" si="4">D8/H8</f>
        <v>1</v>
      </c>
      <c r="AC8" s="700">
        <f t="shared" ref="AC8:AC34" si="5">D8/J8</f>
        <v>1</v>
      </c>
    </row>
    <row r="9" spans="1:29" s="108" customFormat="1">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13"/>
      <c r="M9" s="2714"/>
      <c r="N9" s="2714"/>
      <c r="O9" s="2768"/>
      <c r="P9" s="3746" t="s">
        <v>1686</v>
      </c>
      <c r="Q9" s="1339" t="str">
        <f t="shared" ref="Q9:Q14" si="6">B9</f>
        <v>用途</v>
      </c>
      <c r="R9" s="697" t="s">
        <v>14</v>
      </c>
      <c r="S9" s="698">
        <f t="shared" si="0"/>
        <v>100</v>
      </c>
      <c r="T9" s="697" t="s">
        <v>14</v>
      </c>
      <c r="U9" s="698">
        <f t="shared" si="1"/>
        <v>100</v>
      </c>
      <c r="V9" s="697" t="s">
        <v>14</v>
      </c>
      <c r="W9" s="698">
        <f t="shared" si="2"/>
        <v>100</v>
      </c>
      <c r="X9" s="699"/>
      <c r="Y9" s="3652" t="s">
        <v>1687</v>
      </c>
      <c r="Z9" s="52" t="str">
        <f t="shared" ref="Z9:Z14" si="7">Q9</f>
        <v>用途</v>
      </c>
      <c r="AA9" s="700">
        <f t="shared" si="3"/>
        <v>1</v>
      </c>
      <c r="AB9" s="700">
        <f t="shared" si="4"/>
        <v>1</v>
      </c>
      <c r="AC9" s="700">
        <f t="shared" si="5"/>
        <v>1</v>
      </c>
    </row>
    <row r="10" spans="1:29" s="375" customFormat="1" ht="27">
      <c r="A10" s="371"/>
      <c r="B10" s="372" t="s">
        <v>1688</v>
      </c>
      <c r="C10" s="3430"/>
      <c r="D10" s="124">
        <v>100</v>
      </c>
      <c r="E10" s="3430"/>
      <c r="F10" s="373">
        <f>SUMIF(53:53,E10,54:54)-SUMIF(53:53,C10,54:54)+100</f>
        <v>100</v>
      </c>
      <c r="G10" s="3430"/>
      <c r="H10" s="124">
        <f>SUMIF(53:53,G10,54:54)-SUMIF(53:53,C10,54:54)+100</f>
        <v>100</v>
      </c>
      <c r="I10" s="3430"/>
      <c r="J10" s="124">
        <f>SUMIF(53:53,I10,54:54)-SUMIF(53:53,C10,54:54)+100</f>
        <v>100</v>
      </c>
      <c r="K10" s="557"/>
      <c r="L10" s="2715"/>
      <c r="M10" s="2716"/>
      <c r="N10" s="2716"/>
      <c r="O10" s="2769"/>
      <c r="P10" s="3746"/>
      <c r="Q10" s="1339" t="str">
        <f t="shared" si="6"/>
        <v>土地使用年限（年）</v>
      </c>
      <c r="R10" s="697" t="s">
        <v>14</v>
      </c>
      <c r="S10" s="698">
        <f t="shared" si="0"/>
        <v>100</v>
      </c>
      <c r="T10" s="697" t="s">
        <v>14</v>
      </c>
      <c r="U10" s="698">
        <f t="shared" si="1"/>
        <v>100</v>
      </c>
      <c r="V10" s="697" t="s">
        <v>14</v>
      </c>
      <c r="W10" s="698">
        <f t="shared" si="2"/>
        <v>100</v>
      </c>
      <c r="X10" s="699"/>
      <c r="Y10" s="3652"/>
      <c r="Z10" s="52" t="str">
        <f t="shared" si="7"/>
        <v>土地使用年限（年）</v>
      </c>
      <c r="AA10" s="700">
        <f t="shared" si="3"/>
        <v>1</v>
      </c>
      <c r="AB10" s="700">
        <f t="shared" si="4"/>
        <v>1</v>
      </c>
      <c r="AC10" s="700">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7"/>
      <c r="M11" s="2712"/>
      <c r="N11" s="2712"/>
      <c r="O11" s="2770"/>
      <c r="P11" s="3746"/>
      <c r="Q11" s="1339">
        <f t="shared" si="6"/>
        <v>111</v>
      </c>
      <c r="R11" s="697" t="s">
        <v>14</v>
      </c>
      <c r="S11" s="698">
        <f t="shared" si="0"/>
        <v>100</v>
      </c>
      <c r="T11" s="697" t="s">
        <v>14</v>
      </c>
      <c r="U11" s="698">
        <f t="shared" si="1"/>
        <v>100</v>
      </c>
      <c r="V11" s="697" t="s">
        <v>14</v>
      </c>
      <c r="W11" s="698">
        <f t="shared" si="2"/>
        <v>100</v>
      </c>
      <c r="X11" s="699"/>
      <c r="Y11" s="3652"/>
      <c r="Z11" s="52">
        <f t="shared" si="7"/>
        <v>111</v>
      </c>
      <c r="AA11" s="700">
        <f t="shared" si="3"/>
        <v>1</v>
      </c>
      <c r="AB11" s="700">
        <f t="shared" si="4"/>
        <v>1</v>
      </c>
      <c r="AC11" s="700">
        <f t="shared" si="5"/>
        <v>1</v>
      </c>
    </row>
    <row r="12" spans="1:29" s="108"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13"/>
      <c r="M12" s="2714"/>
      <c r="N12" s="2714"/>
      <c r="O12" s="2768"/>
      <c r="P12" s="3746"/>
      <c r="Q12" s="1339">
        <f t="shared" si="6"/>
        <v>111</v>
      </c>
      <c r="R12" s="697" t="s">
        <v>14</v>
      </c>
      <c r="S12" s="698">
        <f t="shared" si="0"/>
        <v>100</v>
      </c>
      <c r="T12" s="697" t="s">
        <v>14</v>
      </c>
      <c r="U12" s="698">
        <f t="shared" si="1"/>
        <v>100</v>
      </c>
      <c r="V12" s="697" t="s">
        <v>14</v>
      </c>
      <c r="W12" s="698">
        <f t="shared" si="2"/>
        <v>100</v>
      </c>
      <c r="X12" s="699"/>
      <c r="Y12" s="3652"/>
      <c r="Z12" s="52">
        <f t="shared" si="7"/>
        <v>111</v>
      </c>
      <c r="AA12" s="700">
        <f>D12/F12</f>
        <v>1</v>
      </c>
      <c r="AB12" s="700">
        <f>D12/H12</f>
        <v>1</v>
      </c>
      <c r="AC12" s="700">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8"/>
      <c r="M13" s="2712"/>
      <c r="N13" s="2712"/>
      <c r="O13" s="2770"/>
      <c r="P13" s="3746"/>
      <c r="Q13" s="1339">
        <f t="shared" si="6"/>
        <v>111</v>
      </c>
      <c r="R13" s="697" t="s">
        <v>14</v>
      </c>
      <c r="S13" s="698">
        <f t="shared" si="0"/>
        <v>100</v>
      </c>
      <c r="T13" s="697" t="s">
        <v>14</v>
      </c>
      <c r="U13" s="698">
        <f t="shared" si="1"/>
        <v>100</v>
      </c>
      <c r="V13" s="697" t="s">
        <v>14</v>
      </c>
      <c r="W13" s="698">
        <f t="shared" si="2"/>
        <v>100</v>
      </c>
      <c r="X13" s="699"/>
      <c r="Y13" s="3652"/>
      <c r="Z13" s="52">
        <f t="shared" si="7"/>
        <v>111</v>
      </c>
      <c r="AA13" s="700">
        <f t="shared" si="3"/>
        <v>1</v>
      </c>
      <c r="AB13" s="700">
        <f t="shared" si="4"/>
        <v>1</v>
      </c>
      <c r="AC13" s="700">
        <f t="shared" si="5"/>
        <v>1</v>
      </c>
    </row>
    <row r="14" spans="1:29" ht="85.5">
      <c r="A14" s="388" t="s">
        <v>1690</v>
      </c>
      <c r="B14" s="61" t="s">
        <v>1833</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8"/>
      <c r="M14" s="2712"/>
      <c r="N14" s="2712"/>
      <c r="O14" s="2770"/>
      <c r="P14" s="3753" t="s">
        <v>1691</v>
      </c>
      <c r="Q14" s="1348" t="str">
        <f t="shared" si="6"/>
        <v>交通便捷度</v>
      </c>
      <c r="R14" s="701" t="s">
        <v>14</v>
      </c>
      <c r="S14" s="702">
        <f t="shared" si="0"/>
        <v>100</v>
      </c>
      <c r="T14" s="701" t="s">
        <v>14</v>
      </c>
      <c r="U14" s="702">
        <f t="shared" si="1"/>
        <v>100</v>
      </c>
      <c r="V14" s="701" t="s">
        <v>14</v>
      </c>
      <c r="W14" s="702">
        <f t="shared" si="2"/>
        <v>100</v>
      </c>
      <c r="X14" s="1351"/>
      <c r="Y14" s="3753"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8"/>
      <c r="M15" s="2712"/>
      <c r="N15" s="2712"/>
      <c r="O15" s="2770"/>
      <c r="P15" s="3754"/>
      <c r="Q15" s="1348"/>
      <c r="R15" s="701"/>
      <c r="S15" s="702"/>
      <c r="T15" s="701"/>
      <c r="U15" s="702"/>
      <c r="V15" s="701"/>
      <c r="W15" s="702"/>
      <c r="X15" s="1351"/>
      <c r="Y15" s="3754"/>
      <c r="Z15" s="1352"/>
      <c r="AA15" s="1349">
        <v>1</v>
      </c>
      <c r="AB15" s="1349">
        <v>1</v>
      </c>
      <c r="AC15" s="1349">
        <v>1</v>
      </c>
    </row>
    <row r="16" spans="1:29" ht="42.75">
      <c r="A16" s="376"/>
      <c r="B16" s="399" t="s">
        <v>1812</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8"/>
      <c r="M16" s="2712"/>
      <c r="N16" s="2712"/>
      <c r="O16" s="2770"/>
      <c r="P16" s="3754"/>
      <c r="Q16" s="1348" t="str">
        <f>B16</f>
        <v>公共配套设施</v>
      </c>
      <c r="R16" s="701" t="s">
        <v>14</v>
      </c>
      <c r="S16" s="702">
        <f>F16</f>
        <v>100</v>
      </c>
      <c r="T16" s="701" t="s">
        <v>14</v>
      </c>
      <c r="U16" s="702">
        <f>H16</f>
        <v>100</v>
      </c>
      <c r="V16" s="701" t="s">
        <v>14</v>
      </c>
      <c r="W16" s="702">
        <f>J16</f>
        <v>100</v>
      </c>
      <c r="X16" s="1351"/>
      <c r="Y16" s="3754"/>
      <c r="Z16" s="1352" t="str">
        <f>Q16</f>
        <v>公共配套设施</v>
      </c>
      <c r="AA16" s="1349">
        <f t="shared" si="3"/>
        <v>1</v>
      </c>
      <c r="AB16" s="1349">
        <f t="shared" si="4"/>
        <v>1</v>
      </c>
      <c r="AC16" s="1349">
        <f t="shared" si="5"/>
        <v>1</v>
      </c>
    </row>
    <row r="17" spans="1:29" ht="15">
      <c r="A17" s="376"/>
      <c r="B17" s="404"/>
      <c r="C17" s="1897"/>
      <c r="D17" s="396"/>
      <c r="E17" s="395"/>
      <c r="F17" s="397"/>
      <c r="G17" s="395"/>
      <c r="H17" s="396"/>
      <c r="I17" s="395"/>
      <c r="J17" s="396"/>
      <c r="K17" s="561"/>
      <c r="L17" s="2718"/>
      <c r="M17" s="2712"/>
      <c r="N17" s="2712"/>
      <c r="O17" s="2770"/>
      <c r="P17" s="3754"/>
      <c r="Q17" s="1348"/>
      <c r="R17" s="701"/>
      <c r="S17" s="702"/>
      <c r="T17" s="701"/>
      <c r="U17" s="702"/>
      <c r="V17" s="701"/>
      <c r="W17" s="702"/>
      <c r="X17" s="1351"/>
      <c r="Y17" s="3754"/>
      <c r="Z17" s="1352"/>
      <c r="AA17" s="1349">
        <v>1</v>
      </c>
      <c r="AB17" s="1349">
        <v>1</v>
      </c>
      <c r="AC17" s="1349">
        <v>1</v>
      </c>
    </row>
    <row r="18" spans="1:29" ht="28.5">
      <c r="A18" s="376"/>
      <c r="B18" s="1127" t="s">
        <v>1813</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8"/>
      <c r="M18" s="2712"/>
      <c r="N18" s="2712"/>
      <c r="O18" s="2770"/>
      <c r="P18" s="3754"/>
      <c r="Q18" s="1348" t="str">
        <f>B18</f>
        <v>基础设施水平</v>
      </c>
      <c r="R18" s="701" t="s">
        <v>14</v>
      </c>
      <c r="S18" s="702">
        <f>F18</f>
        <v>100</v>
      </c>
      <c r="T18" s="701" t="s">
        <v>14</v>
      </c>
      <c r="U18" s="702">
        <f>H18</f>
        <v>100</v>
      </c>
      <c r="V18" s="701" t="s">
        <v>14</v>
      </c>
      <c r="W18" s="702">
        <f>J18</f>
        <v>100</v>
      </c>
      <c r="X18" s="1351"/>
      <c r="Y18" s="3754"/>
      <c r="Z18" s="1352" t="str">
        <f>Q18</f>
        <v>基础设施水平</v>
      </c>
      <c r="AA18" s="1349">
        <f t="shared" ref="AA18" si="8">D18/F18</f>
        <v>1</v>
      </c>
      <c r="AB18" s="1349">
        <f t="shared" ref="AB18" si="9">D18/H18</f>
        <v>1</v>
      </c>
      <c r="AC18" s="1349">
        <f t="shared" ref="AC18" si="10">D18/J18</f>
        <v>1</v>
      </c>
    </row>
    <row r="19" spans="1:29" ht="15">
      <c r="A19" s="376"/>
      <c r="B19" s="1127"/>
      <c r="C19" s="1897"/>
      <c r="D19" s="398"/>
      <c r="E19" s="1897"/>
      <c r="F19" s="401"/>
      <c r="G19" s="1897"/>
      <c r="H19" s="396"/>
      <c r="I19" s="395"/>
      <c r="J19" s="396"/>
      <c r="K19" s="1126"/>
      <c r="L19" s="2718"/>
      <c r="M19" s="2712"/>
      <c r="N19" s="2712"/>
      <c r="O19" s="2770"/>
      <c r="P19" s="3754"/>
      <c r="Q19" s="1348"/>
      <c r="R19" s="701"/>
      <c r="S19" s="702"/>
      <c r="T19" s="701"/>
      <c r="U19" s="702"/>
      <c r="V19" s="701"/>
      <c r="W19" s="702"/>
      <c r="X19" s="1351"/>
      <c r="Y19" s="3754"/>
      <c r="Z19" s="1352"/>
      <c r="AA19" s="1349">
        <v>1</v>
      </c>
      <c r="AB19" s="1349">
        <v>1</v>
      </c>
      <c r="AC19" s="1349">
        <v>1</v>
      </c>
    </row>
    <row r="20" spans="1:29" ht="57">
      <c r="A20" s="376"/>
      <c r="B20" s="399" t="s">
        <v>1834</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8"/>
      <c r="M20" s="2712"/>
      <c r="N20" s="2712"/>
      <c r="O20" s="2770"/>
      <c r="P20" s="3754"/>
      <c r="Q20" s="1348" t="str">
        <f>B20</f>
        <v>自然及人文环境</v>
      </c>
      <c r="R20" s="701" t="s">
        <v>14</v>
      </c>
      <c r="S20" s="702">
        <f>F20</f>
        <v>100</v>
      </c>
      <c r="T20" s="701" t="s">
        <v>14</v>
      </c>
      <c r="U20" s="702">
        <f>H20</f>
        <v>100</v>
      </c>
      <c r="V20" s="701" t="s">
        <v>14</v>
      </c>
      <c r="W20" s="702">
        <f>J20</f>
        <v>100</v>
      </c>
      <c r="X20" s="1351"/>
      <c r="Y20" s="3754"/>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8"/>
      <c r="M21" s="2712"/>
      <c r="N21" s="2712"/>
      <c r="O21" s="2770"/>
      <c r="P21" s="3754"/>
      <c r="Q21" s="1348"/>
      <c r="R21" s="701"/>
      <c r="S21" s="702"/>
      <c r="T21" s="701"/>
      <c r="U21" s="702"/>
      <c r="V21" s="701"/>
      <c r="W21" s="702"/>
      <c r="X21" s="1351"/>
      <c r="Y21" s="3754"/>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8"/>
      <c r="M22" s="2712"/>
      <c r="N22" s="2712"/>
      <c r="O22" s="2770"/>
      <c r="P22" s="3754"/>
      <c r="Q22" s="1348" t="str">
        <f>B22</f>
        <v>楼层</v>
      </c>
      <c r="R22" s="701" t="s">
        <v>14</v>
      </c>
      <c r="S22" s="702">
        <f>F22</f>
        <v>100</v>
      </c>
      <c r="T22" s="701" t="s">
        <v>14</v>
      </c>
      <c r="U22" s="702">
        <f>H22</f>
        <v>100</v>
      </c>
      <c r="V22" s="701" t="s">
        <v>14</v>
      </c>
      <c r="W22" s="702">
        <f>J22</f>
        <v>100</v>
      </c>
      <c r="X22" s="1351"/>
      <c r="Y22" s="3754"/>
      <c r="Z22" s="1352" t="str">
        <f>Q22</f>
        <v>楼层</v>
      </c>
      <c r="AA22" s="1349">
        <f t="shared" si="3"/>
        <v>1</v>
      </c>
      <c r="AB22" s="1349">
        <f t="shared" si="4"/>
        <v>1</v>
      </c>
      <c r="AC22" s="1349">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8"/>
      <c r="M23" s="2712"/>
      <c r="N23" s="2712"/>
      <c r="O23" s="2770"/>
      <c r="P23" s="3754"/>
      <c r="Q23" s="1348">
        <f>B23</f>
        <v>111</v>
      </c>
      <c r="R23" s="701" t="s">
        <v>14</v>
      </c>
      <c r="S23" s="702">
        <f>F23</f>
        <v>100</v>
      </c>
      <c r="T23" s="701" t="s">
        <v>14</v>
      </c>
      <c r="U23" s="702">
        <f>H23</f>
        <v>100</v>
      </c>
      <c r="V23" s="701" t="s">
        <v>14</v>
      </c>
      <c r="W23" s="702">
        <f>J23</f>
        <v>100</v>
      </c>
      <c r="X23" s="1351"/>
      <c r="Y23" s="3754"/>
      <c r="Z23" s="1352">
        <f>Q23</f>
        <v>111</v>
      </c>
      <c r="AA23" s="1349">
        <f t="shared" si="3"/>
        <v>1</v>
      </c>
      <c r="AB23" s="1349">
        <f t="shared" si="4"/>
        <v>1</v>
      </c>
      <c r="AC23" s="1349">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8"/>
      <c r="M24" s="2712"/>
      <c r="N24" s="2712"/>
      <c r="O24" s="2770"/>
      <c r="P24" s="3754"/>
      <c r="Q24" s="1348">
        <f t="shared" ref="Q24:Q34" si="11">B24</f>
        <v>111</v>
      </c>
      <c r="R24" s="701" t="s">
        <v>14</v>
      </c>
      <c r="S24" s="702">
        <f>F24</f>
        <v>100</v>
      </c>
      <c r="T24" s="701" t="s">
        <v>14</v>
      </c>
      <c r="U24" s="702">
        <f>H24</f>
        <v>100</v>
      </c>
      <c r="V24" s="701" t="s">
        <v>14</v>
      </c>
      <c r="W24" s="702">
        <f>J24</f>
        <v>100</v>
      </c>
      <c r="X24" s="1351"/>
      <c r="Y24" s="3754"/>
      <c r="Z24" s="1352">
        <f>Q24</f>
        <v>111</v>
      </c>
      <c r="AA24" s="1349">
        <f t="shared" si="3"/>
        <v>1</v>
      </c>
      <c r="AB24" s="1349">
        <f t="shared" si="4"/>
        <v>1</v>
      </c>
      <c r="AC24" s="1349">
        <f t="shared" si="5"/>
        <v>1</v>
      </c>
    </row>
    <row r="25" spans="1:29" s="108"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13"/>
      <c r="M25" s="2714"/>
      <c r="N25" s="2714"/>
      <c r="O25" s="2768"/>
      <c r="P25" s="3754"/>
      <c r="Q25" s="1339">
        <f t="shared" si="11"/>
        <v>111</v>
      </c>
      <c r="R25" s="697" t="s">
        <v>14</v>
      </c>
      <c r="S25" s="698">
        <f>F25</f>
        <v>100</v>
      </c>
      <c r="T25" s="697" t="s">
        <v>14</v>
      </c>
      <c r="U25" s="698">
        <f>H25</f>
        <v>100</v>
      </c>
      <c r="V25" s="697" t="s">
        <v>14</v>
      </c>
      <c r="W25" s="698">
        <f>J25</f>
        <v>100</v>
      </c>
      <c r="X25" s="699"/>
      <c r="Y25" s="3754"/>
      <c r="Z25" s="52">
        <f>Q25</f>
        <v>111</v>
      </c>
      <c r="AA25" s="1349">
        <f>D25/F25</f>
        <v>1</v>
      </c>
      <c r="AB25" s="1349">
        <f>D25/H25</f>
        <v>1</v>
      </c>
      <c r="AC25" s="1349">
        <f>D25/J25</f>
        <v>1</v>
      </c>
    </row>
    <row r="26" spans="1:29" ht="28.5">
      <c r="A26" s="414" t="s">
        <v>1694</v>
      </c>
      <c r="B26" s="63" t="s">
        <v>1838</v>
      </c>
      <c r="C26" s="1963"/>
      <c r="D26" s="415">
        <v>100</v>
      </c>
      <c r="E26" s="1963"/>
      <c r="F26" s="612">
        <f>SUMIF(77:77,E26,78:78)-SUMIF(77:77,C26,78:78)+100</f>
        <v>100</v>
      </c>
      <c r="G26" s="1963"/>
      <c r="H26" s="415">
        <f>SUMIF(77:77,G26,78:78)-SUMIF(77:77,C26,78:78)+100</f>
        <v>100</v>
      </c>
      <c r="I26" s="1963"/>
      <c r="J26" s="415">
        <f>SUMIF(77:77,I26,78:78)-SUMIF(77:77,C26,78:78)+100</f>
        <v>100</v>
      </c>
      <c r="K26" s="558"/>
      <c r="L26" s="2718"/>
      <c r="M26" s="2712"/>
      <c r="N26" s="2712"/>
      <c r="O26" s="2770"/>
      <c r="P26" s="3835"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58"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7"/>
      <c r="M27" s="2719"/>
      <c r="N27" s="2719"/>
      <c r="O27" s="2771"/>
      <c r="P27" s="3758"/>
      <c r="Q27" s="703" t="str">
        <f t="shared" si="11"/>
        <v>成新率</v>
      </c>
      <c r="R27" s="704" t="s">
        <v>14</v>
      </c>
      <c r="S27" s="705" t="e">
        <f t="shared" si="12"/>
        <v>#N/A</v>
      </c>
      <c r="T27" s="704" t="s">
        <v>14</v>
      </c>
      <c r="U27" s="705" t="e">
        <f t="shared" si="13"/>
        <v>#N/A</v>
      </c>
      <c r="V27" s="704" t="s">
        <v>14</v>
      </c>
      <c r="W27" s="705" t="e">
        <f t="shared" si="14"/>
        <v>#N/A</v>
      </c>
      <c r="X27" s="706"/>
      <c r="Y27" s="3758"/>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8"/>
      <c r="M28" s="2712"/>
      <c r="N28" s="2712"/>
      <c r="O28" s="2770"/>
      <c r="P28" s="3758"/>
      <c r="Q28" s="1348" t="str">
        <f t="shared" si="11"/>
        <v>物业等级</v>
      </c>
      <c r="R28" s="701" t="s">
        <v>14</v>
      </c>
      <c r="S28" s="702">
        <f t="shared" si="12"/>
        <v>100</v>
      </c>
      <c r="T28" s="701" t="s">
        <v>14</v>
      </c>
      <c r="U28" s="702">
        <f t="shared" si="13"/>
        <v>100</v>
      </c>
      <c r="V28" s="701" t="s">
        <v>14</v>
      </c>
      <c r="W28" s="702">
        <f t="shared" si="14"/>
        <v>100</v>
      </c>
      <c r="X28" s="1351"/>
      <c r="Y28" s="3758"/>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8"/>
      <c r="M29" s="2712"/>
      <c r="N29" s="2712"/>
      <c r="O29" s="2770"/>
      <c r="P29" s="3758"/>
      <c r="Q29" s="1348" t="str">
        <f t="shared" si="11"/>
        <v>有无电梯</v>
      </c>
      <c r="R29" s="701" t="s">
        <v>14</v>
      </c>
      <c r="S29" s="702">
        <f t="shared" si="12"/>
        <v>100</v>
      </c>
      <c r="T29" s="701" t="s">
        <v>14</v>
      </c>
      <c r="U29" s="702">
        <f t="shared" si="13"/>
        <v>100</v>
      </c>
      <c r="V29" s="701" t="s">
        <v>14</v>
      </c>
      <c r="W29" s="702">
        <f t="shared" si="14"/>
        <v>100</v>
      </c>
      <c r="X29" s="1351"/>
      <c r="Y29" s="3758"/>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8"/>
      <c r="M30" s="2712"/>
      <c r="N30" s="2712"/>
      <c r="O30" s="2770"/>
      <c r="P30" s="3758"/>
      <c r="Q30" s="1348" t="str">
        <f t="shared" si="11"/>
        <v>建筑面积</v>
      </c>
      <c r="R30" s="701" t="s">
        <v>14</v>
      </c>
      <c r="S30" s="702" t="e">
        <f t="shared" si="12"/>
        <v>#N/A</v>
      </c>
      <c r="T30" s="701" t="s">
        <v>14</v>
      </c>
      <c r="U30" s="702" t="e">
        <f t="shared" si="13"/>
        <v>#N/A</v>
      </c>
      <c r="V30" s="701" t="s">
        <v>14</v>
      </c>
      <c r="W30" s="702" t="e">
        <f t="shared" si="14"/>
        <v>#N/A</v>
      </c>
      <c r="X30" s="1351"/>
      <c r="Y30" s="3758"/>
      <c r="Z30" s="1352" t="str">
        <f t="shared" si="15"/>
        <v>建筑面积</v>
      </c>
      <c r="AA30" s="1349" t="e">
        <f t="shared" si="3"/>
        <v>#N/A</v>
      </c>
      <c r="AB30" s="1349" t="e">
        <f t="shared" si="4"/>
        <v>#N/A</v>
      </c>
      <c r="AC30" s="1349" t="e">
        <f t="shared" si="5"/>
        <v>#N/A</v>
      </c>
    </row>
    <row r="31" spans="1:29" s="108"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13"/>
      <c r="M31" s="2714"/>
      <c r="N31" s="2714"/>
      <c r="O31" s="2768"/>
      <c r="P31" s="3758"/>
      <c r="Q31" s="1339" t="str">
        <f t="shared" si="11"/>
        <v>是否封闭</v>
      </c>
      <c r="R31" s="697" t="s">
        <v>14</v>
      </c>
      <c r="S31" s="698">
        <f t="shared" si="12"/>
        <v>100</v>
      </c>
      <c r="T31" s="697" t="s">
        <v>14</v>
      </c>
      <c r="U31" s="698">
        <f t="shared" si="13"/>
        <v>100</v>
      </c>
      <c r="V31" s="697" t="s">
        <v>14</v>
      </c>
      <c r="W31" s="698">
        <f t="shared" si="14"/>
        <v>100</v>
      </c>
      <c r="X31" s="699"/>
      <c r="Y31" s="3758"/>
      <c r="Z31" s="52" t="str">
        <f t="shared" si="15"/>
        <v>是否封闭</v>
      </c>
      <c r="AA31" s="700">
        <f t="shared" si="3"/>
        <v>1</v>
      </c>
      <c r="AB31" s="700">
        <f t="shared" si="4"/>
        <v>1</v>
      </c>
      <c r="AC31" s="700">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8"/>
      <c r="M32" s="2712"/>
      <c r="N32" s="2712"/>
      <c r="O32" s="2770"/>
      <c r="P32" s="3758" t="s">
        <v>1696</v>
      </c>
      <c r="Q32" s="1348">
        <f t="shared" si="11"/>
        <v>111</v>
      </c>
      <c r="R32" s="701" t="s">
        <v>14</v>
      </c>
      <c r="S32" s="702">
        <f t="shared" si="12"/>
        <v>100</v>
      </c>
      <c r="T32" s="701" t="s">
        <v>14</v>
      </c>
      <c r="U32" s="702">
        <f t="shared" si="13"/>
        <v>100</v>
      </c>
      <c r="V32" s="701" t="s">
        <v>14</v>
      </c>
      <c r="W32" s="702">
        <f t="shared" si="14"/>
        <v>100</v>
      </c>
      <c r="X32" s="1351"/>
      <c r="Y32" s="3758" t="s">
        <v>1696</v>
      </c>
      <c r="Z32" s="1352">
        <f t="shared" si="15"/>
        <v>111</v>
      </c>
      <c r="AA32" s="1349">
        <f t="shared" si="3"/>
        <v>1</v>
      </c>
      <c r="AB32" s="1349">
        <f t="shared" si="4"/>
        <v>1</v>
      </c>
      <c r="AC32" s="1349">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8"/>
      <c r="M33" s="2712"/>
      <c r="N33" s="2712"/>
      <c r="O33" s="2770"/>
      <c r="P33" s="3758"/>
      <c r="Q33" s="1348">
        <f t="shared" si="11"/>
        <v>111</v>
      </c>
      <c r="R33" s="701" t="s">
        <v>14</v>
      </c>
      <c r="S33" s="702">
        <f t="shared" si="12"/>
        <v>100</v>
      </c>
      <c r="T33" s="701" t="s">
        <v>14</v>
      </c>
      <c r="U33" s="702">
        <f t="shared" si="13"/>
        <v>100</v>
      </c>
      <c r="V33" s="701" t="s">
        <v>14</v>
      </c>
      <c r="W33" s="702">
        <f t="shared" si="14"/>
        <v>100</v>
      </c>
      <c r="X33" s="1351"/>
      <c r="Y33" s="3758"/>
      <c r="Z33" s="1352">
        <f t="shared" si="15"/>
        <v>111</v>
      </c>
      <c r="AA33" s="1349">
        <f t="shared" si="3"/>
        <v>1</v>
      </c>
      <c r="AB33" s="1349">
        <f t="shared" si="4"/>
        <v>1</v>
      </c>
      <c r="AC33" s="1349">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8"/>
      <c r="M34" s="2712"/>
      <c r="N34" s="2712"/>
      <c r="O34" s="2770"/>
      <c r="P34" s="3758"/>
      <c r="Q34" s="1348">
        <f t="shared" si="11"/>
        <v>111</v>
      </c>
      <c r="R34" s="701" t="s">
        <v>14</v>
      </c>
      <c r="S34" s="702">
        <f t="shared" si="12"/>
        <v>100</v>
      </c>
      <c r="T34" s="701" t="s">
        <v>14</v>
      </c>
      <c r="U34" s="702">
        <f t="shared" si="13"/>
        <v>100</v>
      </c>
      <c r="V34" s="701" t="s">
        <v>14</v>
      </c>
      <c r="W34" s="702">
        <f t="shared" si="14"/>
        <v>100</v>
      </c>
      <c r="X34" s="1351"/>
      <c r="Y34" s="3758"/>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20"/>
      <c r="M35" s="2721"/>
      <c r="N35" s="2712"/>
      <c r="O35" s="2721"/>
      <c r="P35" s="3746" t="str">
        <f>A35</f>
        <v>成交单价（元/平方米）</v>
      </c>
      <c r="Q35" s="3746"/>
      <c r="R35" s="3747">
        <f>E35</f>
        <v>0</v>
      </c>
      <c r="S35" s="3747"/>
      <c r="T35" s="3747">
        <f>G35</f>
        <v>0</v>
      </c>
      <c r="U35" s="3747"/>
      <c r="V35" s="3747">
        <f>I35</f>
        <v>0</v>
      </c>
      <c r="W35" s="3747"/>
      <c r="X35" s="686"/>
      <c r="Y35" s="708"/>
      <c r="Z35" s="686"/>
      <c r="AA35" s="686"/>
      <c r="AB35" s="686"/>
      <c r="AC35" s="686"/>
    </row>
    <row r="36" spans="1:30" ht="15.75" thickBot="1">
      <c r="A36" s="434" t="s">
        <v>1793</v>
      </c>
      <c r="B36" s="435"/>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20"/>
      <c r="M37" s="2721"/>
      <c r="N37" s="2721"/>
      <c r="O37" s="2721"/>
      <c r="P37" s="3825" t="str">
        <f>A37</f>
        <v>估价对象XX用房的比较价值（楼面单价，元/平方米）</v>
      </c>
      <c r="Q37" s="3826"/>
      <c r="R37" s="3836" t="e">
        <f>IF(F1="售价",ROUND(IF(D36="简单平均",AVERAGE(R36:W36),R36*F36+T36*H36+V36*J36),0),ROUND(IF(D36="简单平均",AVERAGE(R36:V36),R36*F36+T36*H36+V36*J36),1))</f>
        <v>#DIV/0!</v>
      </c>
      <c r="S37" s="3836"/>
      <c r="T37" s="3836"/>
      <c r="U37" s="3836"/>
      <c r="V37" s="3836"/>
      <c r="W37" s="3836"/>
      <c r="X37" s="686"/>
      <c r="Y37" s="686"/>
      <c r="Z37" s="686"/>
      <c r="AA37" s="686"/>
      <c r="AB37" s="686"/>
      <c r="AC37" s="686"/>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8" customFormat="1" ht="13.5" customHeight="1">
      <c r="A42" s="2724"/>
      <c r="B42" s="2724"/>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8"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0" t="s">
        <v>1798</v>
      </c>
      <c r="B45" s="686"/>
      <c r="C45" s="691"/>
      <c r="D45" s="691"/>
      <c r="E45" s="691"/>
      <c r="F45" s="692"/>
      <c r="G45" s="692"/>
      <c r="H45" s="691"/>
      <c r="I45" s="691"/>
      <c r="J45" s="691"/>
      <c r="K45" s="693"/>
      <c r="L45" s="694"/>
      <c r="M45" s="691"/>
      <c r="N45" s="2765"/>
      <c r="O45" s="2765"/>
      <c r="P45" s="2765"/>
      <c r="Q45" s="2735"/>
      <c r="R45" s="2721"/>
      <c r="S45" s="2721"/>
      <c r="T45" s="2721"/>
      <c r="U45" s="2721"/>
      <c r="V45" s="2721"/>
      <c r="W45" s="2721"/>
      <c r="X45" s="2721"/>
      <c r="Y45" s="2721"/>
      <c r="Z45" s="2721"/>
      <c r="AA45" s="2721"/>
      <c r="AB45" s="2721"/>
      <c r="AC45" s="2721"/>
      <c r="AD45" s="2721"/>
    </row>
    <row r="46" spans="1:30" s="454" customFormat="1" ht="15">
      <c r="A46" s="451" t="s">
        <v>1679</v>
      </c>
      <c r="B46" s="452"/>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5"/>
      <c r="B47" s="456"/>
      <c r="C47" s="1179">
        <v>100</v>
      </c>
      <c r="D47" s="458"/>
      <c r="E47" s="458"/>
      <c r="F47" s="458"/>
      <c r="G47" s="458"/>
      <c r="H47" s="458"/>
      <c r="I47" s="458"/>
      <c r="J47" s="458"/>
      <c r="K47" s="458"/>
      <c r="L47" s="458"/>
      <c r="M47" s="459"/>
      <c r="N47" s="458"/>
      <c r="O47" s="460"/>
      <c r="P47" s="2735"/>
      <c r="Q47" s="2657"/>
      <c r="R47" s="2657"/>
      <c r="S47" s="2657"/>
      <c r="T47" s="2657"/>
      <c r="U47" s="2657"/>
      <c r="V47" s="2657"/>
      <c r="W47" s="2657"/>
      <c r="X47" s="2657"/>
      <c r="Y47" s="2657"/>
      <c r="Z47" s="2657"/>
      <c r="AA47" s="2657"/>
      <c r="AB47" s="2657"/>
      <c r="AC47" s="2657"/>
      <c r="AD47" s="2657"/>
    </row>
    <row r="48" spans="1:30" s="108" customFormat="1" ht="15.75" thickBot="1">
      <c r="A48" s="461" t="s">
        <v>1716</v>
      </c>
      <c r="B48" s="462"/>
      <c r="C48" s="463"/>
      <c r="D48" s="464"/>
      <c r="E48" s="464"/>
      <c r="F48" s="464"/>
      <c r="G48" s="464"/>
      <c r="H48" s="464"/>
      <c r="I48" s="464"/>
      <c r="J48" s="464"/>
      <c r="K48" s="464"/>
      <c r="L48" s="464"/>
      <c r="M48" s="465"/>
      <c r="N48" s="464"/>
      <c r="O48" s="466"/>
      <c r="P48" s="2735"/>
      <c r="Q48" s="2735"/>
      <c r="R48" s="2657"/>
      <c r="S48" s="2657"/>
      <c r="T48" s="2657"/>
      <c r="U48" s="2657"/>
      <c r="V48" s="2657"/>
      <c r="W48" s="2657"/>
      <c r="X48" s="2657"/>
      <c r="Y48" s="2657"/>
      <c r="Z48" s="2657"/>
      <c r="AA48" s="2657"/>
      <c r="AB48" s="2657"/>
      <c r="AC48" s="2657"/>
      <c r="AD48" s="2657"/>
    </row>
    <row r="49" spans="1:30" s="108" customFormat="1" ht="15">
      <c r="A49" s="467" t="s">
        <v>1681</v>
      </c>
      <c r="B49" s="456"/>
      <c r="C49" s="468" t="s">
        <v>1776</v>
      </c>
      <c r="D49" s="469"/>
      <c r="E49" s="469"/>
      <c r="F49" s="469"/>
      <c r="G49" s="469"/>
      <c r="H49" s="469"/>
      <c r="I49" s="469"/>
      <c r="J49" s="469"/>
      <c r="K49" s="469"/>
      <c r="L49" s="470"/>
      <c r="M49" s="471"/>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7"/>
      <c r="B50" s="456"/>
      <c r="C50" s="584">
        <v>100</v>
      </c>
      <c r="D50" s="458"/>
      <c r="E50" s="458"/>
      <c r="F50" s="458"/>
      <c r="G50" s="458"/>
      <c r="H50" s="458"/>
      <c r="I50" s="458"/>
      <c r="J50" s="458"/>
      <c r="K50" s="458"/>
      <c r="L50" s="458"/>
      <c r="M50" s="460"/>
      <c r="N50" s="2748"/>
      <c r="O50" s="2748"/>
      <c r="P50" s="2735"/>
      <c r="Q50" s="2735"/>
      <c r="R50" s="2657"/>
      <c r="S50" s="2657"/>
      <c r="T50" s="2657"/>
      <c r="U50" s="2657"/>
      <c r="V50" s="2657"/>
      <c r="W50" s="2657"/>
      <c r="X50" s="2657"/>
      <c r="Y50" s="2657"/>
      <c r="Z50" s="2657"/>
      <c r="AA50" s="2657"/>
      <c r="AB50" s="2657"/>
      <c r="AC50" s="2657"/>
      <c r="AD50" s="2657"/>
    </row>
    <row r="51" spans="1:30">
      <c r="A51" s="473" t="s">
        <v>1719</v>
      </c>
      <c r="B51" s="474" t="s">
        <v>1685</v>
      </c>
      <c r="C51" s="475">
        <f>C9</f>
        <v>0</v>
      </c>
      <c r="D51" s="476"/>
      <c r="E51" s="476"/>
      <c r="F51" s="476"/>
      <c r="G51" s="476"/>
      <c r="H51" s="476"/>
      <c r="I51" s="476"/>
      <c r="J51" s="476"/>
      <c r="K51" s="477"/>
      <c r="L51" s="478"/>
      <c r="M51" s="479"/>
      <c r="N51" s="2749"/>
      <c r="O51" s="2749"/>
      <c r="P51" s="2774"/>
      <c r="Q51" s="2735"/>
      <c r="R51" s="2721"/>
      <c r="S51" s="2721"/>
      <c r="T51" s="2721"/>
      <c r="U51" s="2721"/>
      <c r="V51" s="2721"/>
      <c r="W51" s="2721"/>
      <c r="X51" s="2721"/>
      <c r="Y51" s="2721"/>
      <c r="Z51" s="2721"/>
      <c r="AA51" s="2721"/>
      <c r="AB51" s="2721"/>
      <c r="AC51" s="2721"/>
      <c r="AD51" s="2721"/>
    </row>
    <row r="52" spans="1:30" ht="15.75" thickBot="1">
      <c r="A52" s="480"/>
      <c r="B52" s="481"/>
      <c r="C52" s="482">
        <v>100</v>
      </c>
      <c r="D52" s="482"/>
      <c r="E52" s="482"/>
      <c r="F52" s="482"/>
      <c r="G52" s="482"/>
      <c r="H52" s="482"/>
      <c r="I52" s="482"/>
      <c r="J52" s="482"/>
      <c r="K52" s="482"/>
      <c r="L52" s="482"/>
      <c r="M52" s="483"/>
      <c r="N52" s="2750"/>
      <c r="O52" s="2750"/>
      <c r="P52" s="2774"/>
      <c r="Q52" s="2735"/>
      <c r="R52" s="2721"/>
      <c r="S52" s="2721"/>
      <c r="T52" s="2721"/>
      <c r="U52" s="2721"/>
      <c r="V52" s="2721"/>
      <c r="W52" s="2721"/>
      <c r="X52" s="2721"/>
      <c r="Y52" s="2721"/>
      <c r="Z52" s="2721"/>
      <c r="AA52" s="2721"/>
      <c r="AB52" s="2721"/>
      <c r="AC52" s="2721"/>
      <c r="AD52" s="2721"/>
    </row>
    <row r="53" spans="1:30" ht="27.75" thickTop="1">
      <c r="A53" s="480"/>
      <c r="B53" s="484" t="s">
        <v>1688</v>
      </c>
      <c r="C53" s="529"/>
      <c r="D53" s="529"/>
      <c r="E53" s="529"/>
      <c r="F53" s="529"/>
      <c r="G53" s="529"/>
      <c r="H53" s="529"/>
      <c r="I53" s="529"/>
      <c r="J53" s="529"/>
      <c r="K53" s="530"/>
      <c r="L53" s="531"/>
      <c r="M53" s="532"/>
      <c r="N53" s="2749"/>
      <c r="O53" s="2749"/>
      <c r="P53" s="2774"/>
      <c r="Q53" s="2735"/>
      <c r="R53" s="2721"/>
      <c r="S53" s="2721"/>
      <c r="T53" s="2721"/>
      <c r="U53" s="2721"/>
      <c r="V53" s="2721"/>
      <c r="W53" s="2721"/>
      <c r="X53" s="2721"/>
      <c r="Y53" s="2721"/>
      <c r="Z53" s="2721"/>
      <c r="AA53" s="2721"/>
      <c r="AB53" s="2721"/>
      <c r="AC53" s="2721"/>
      <c r="AD53" s="2721"/>
    </row>
    <row r="54" spans="1:30" ht="15.75" thickBot="1">
      <c r="A54" s="480"/>
      <c r="B54" s="489"/>
      <c r="C54" s="482"/>
      <c r="D54" s="482"/>
      <c r="E54" s="482"/>
      <c r="F54" s="482"/>
      <c r="G54" s="482"/>
      <c r="H54" s="482"/>
      <c r="I54" s="482"/>
      <c r="J54" s="482"/>
      <c r="K54" s="482"/>
      <c r="L54" s="482"/>
      <c r="M54" s="483"/>
      <c r="N54" s="2750"/>
      <c r="O54" s="2750"/>
      <c r="P54" s="2774"/>
      <c r="Q54" s="2735"/>
      <c r="R54" s="2721"/>
      <c r="S54" s="2721"/>
      <c r="T54" s="2721"/>
      <c r="U54" s="2721"/>
      <c r="V54" s="2721"/>
      <c r="W54" s="2721"/>
      <c r="X54" s="2721"/>
      <c r="Y54" s="2721"/>
      <c r="Z54" s="2721"/>
      <c r="AA54" s="2721"/>
      <c r="AB54" s="2721"/>
      <c r="AC54" s="2721"/>
      <c r="AD54" s="2721"/>
    </row>
    <row r="55" spans="1:30" ht="15.75" thickTop="1">
      <c r="A55" s="480"/>
      <c r="B55" s="605">
        <f>B11</f>
        <v>111</v>
      </c>
      <c r="C55" s="495"/>
      <c r="D55" s="495"/>
      <c r="E55" s="495"/>
      <c r="F55" s="495"/>
      <c r="G55" s="495"/>
      <c r="H55" s="495"/>
      <c r="I55" s="495"/>
      <c r="J55" s="495"/>
      <c r="K55" s="496"/>
      <c r="L55" s="497"/>
      <c r="M55" s="498"/>
      <c r="N55" s="2749"/>
      <c r="O55" s="2749"/>
      <c r="P55" s="2774"/>
      <c r="Q55" s="2735"/>
      <c r="R55" s="2721"/>
      <c r="S55" s="2721"/>
      <c r="T55" s="2721"/>
      <c r="U55" s="2721"/>
      <c r="V55" s="2721"/>
      <c r="W55" s="2721"/>
      <c r="X55" s="2721"/>
      <c r="Y55" s="2721"/>
      <c r="Z55" s="2721"/>
      <c r="AA55" s="2721"/>
      <c r="AB55" s="2721"/>
      <c r="AC55" s="2721"/>
      <c r="AD55" s="2721"/>
    </row>
    <row r="56" spans="1:30" ht="15.75" thickBot="1">
      <c r="A56" s="480"/>
      <c r="B56" s="481"/>
      <c r="C56" s="506"/>
      <c r="D56" s="482"/>
      <c r="E56" s="482"/>
      <c r="F56" s="482"/>
      <c r="G56" s="482"/>
      <c r="H56" s="482"/>
      <c r="I56" s="482"/>
      <c r="J56" s="482"/>
      <c r="K56" s="482"/>
      <c r="L56" s="482"/>
      <c r="M56" s="483"/>
      <c r="N56" s="2750"/>
      <c r="O56" s="2750"/>
      <c r="P56" s="2774"/>
      <c r="Q56" s="2735"/>
      <c r="R56" s="2721"/>
      <c r="S56" s="2721"/>
      <c r="T56" s="2721"/>
      <c r="U56" s="2721"/>
      <c r="V56" s="2721"/>
      <c r="W56" s="2721"/>
      <c r="X56" s="2721"/>
      <c r="Y56" s="2721"/>
      <c r="Z56" s="2721"/>
      <c r="AA56" s="2721"/>
      <c r="AB56" s="2721"/>
      <c r="AC56" s="2721"/>
      <c r="AD56" s="2721"/>
    </row>
    <row r="57" spans="1:30" s="419" customFormat="1" ht="15.75" thickTop="1">
      <c r="A57" s="499"/>
      <c r="B57" s="484">
        <f>B12</f>
        <v>111</v>
      </c>
      <c r="C57" s="495"/>
      <c r="D57" s="495"/>
      <c r="E57" s="495"/>
      <c r="F57" s="495"/>
      <c r="G57" s="500"/>
      <c r="H57" s="501"/>
      <c r="I57" s="501"/>
      <c r="J57" s="501"/>
      <c r="K57" s="501"/>
      <c r="L57" s="502"/>
      <c r="M57" s="503"/>
      <c r="N57" s="2751"/>
      <c r="O57" s="2751"/>
      <c r="P57" s="2775"/>
      <c r="Q57" s="2742"/>
      <c r="R57" s="2743"/>
      <c r="S57" s="2743"/>
      <c r="T57" s="2743"/>
      <c r="U57" s="2743"/>
      <c r="V57" s="2743"/>
      <c r="W57" s="2743"/>
      <c r="X57" s="2743"/>
      <c r="Y57" s="2743"/>
      <c r="Z57" s="2743"/>
      <c r="AA57" s="2743"/>
      <c r="AB57" s="2743"/>
      <c r="AC57" s="2743"/>
      <c r="AD57" s="2743"/>
    </row>
    <row r="58" spans="1:30" s="419" customFormat="1" ht="15.75" thickBot="1">
      <c r="A58" s="499"/>
      <c r="B58" s="489"/>
      <c r="C58" s="506"/>
      <c r="D58" s="482"/>
      <c r="E58" s="482"/>
      <c r="F58" s="482"/>
      <c r="G58" s="482"/>
      <c r="H58" s="482"/>
      <c r="I58" s="482"/>
      <c r="J58" s="482"/>
      <c r="K58" s="482"/>
      <c r="L58" s="482"/>
      <c r="M58" s="483"/>
      <c r="N58" s="2750"/>
      <c r="O58" s="2750"/>
      <c r="P58" s="2775"/>
      <c r="Q58" s="2742"/>
      <c r="R58" s="2743"/>
      <c r="S58" s="2743"/>
      <c r="T58" s="2743"/>
      <c r="U58" s="2743"/>
      <c r="V58" s="2743"/>
      <c r="W58" s="2743"/>
      <c r="X58" s="2743"/>
      <c r="Y58" s="2743"/>
      <c r="Z58" s="2743"/>
      <c r="AA58" s="2743"/>
      <c r="AB58" s="2743"/>
      <c r="AC58" s="2743"/>
      <c r="AD58" s="2743"/>
    </row>
    <row r="59" spans="1:30" s="419" customFormat="1" ht="15.75" thickTop="1">
      <c r="A59" s="499"/>
      <c r="B59" s="484">
        <f>B13</f>
        <v>111</v>
      </c>
      <c r="C59" s="495"/>
      <c r="D59" s="495"/>
      <c r="E59" s="495"/>
      <c r="F59" s="495"/>
      <c r="G59" s="500"/>
      <c r="H59" s="501"/>
      <c r="I59" s="501"/>
      <c r="J59" s="501"/>
      <c r="K59" s="501"/>
      <c r="L59" s="502"/>
      <c r="M59" s="503"/>
      <c r="N59" s="2751"/>
      <c r="O59" s="2751"/>
      <c r="P59" s="2719"/>
      <c r="Q59" s="2745"/>
      <c r="R59" s="2743"/>
      <c r="S59" s="2743"/>
      <c r="T59" s="2743"/>
      <c r="U59" s="2743"/>
      <c r="V59" s="2743"/>
      <c r="W59" s="2743"/>
      <c r="X59" s="2743"/>
      <c r="Y59" s="2743"/>
      <c r="Z59" s="2743"/>
      <c r="AA59" s="2743"/>
      <c r="AB59" s="2743"/>
      <c r="AC59" s="2743"/>
      <c r="AD59" s="2743"/>
    </row>
    <row r="60" spans="1:30" s="419" customFormat="1" ht="15.75" thickBot="1">
      <c r="A60" s="499"/>
      <c r="B60" s="489"/>
      <c r="C60" s="506"/>
      <c r="D60" s="506"/>
      <c r="E60" s="506"/>
      <c r="F60" s="506"/>
      <c r="G60" s="506"/>
      <c r="H60" s="508"/>
      <c r="I60" s="508"/>
      <c r="J60" s="508"/>
      <c r="K60" s="508"/>
      <c r="L60" s="508"/>
      <c r="M60" s="509"/>
      <c r="N60" s="2751"/>
      <c r="O60" s="2751"/>
      <c r="P60" s="2775"/>
      <c r="Q60" s="2742"/>
      <c r="R60" s="2743"/>
      <c r="S60" s="2743"/>
      <c r="T60" s="2743"/>
      <c r="U60" s="2743"/>
      <c r="V60" s="2743"/>
      <c r="W60" s="2743"/>
      <c r="X60" s="2743"/>
      <c r="Y60" s="2743"/>
      <c r="Z60" s="2743"/>
      <c r="AA60" s="2743"/>
      <c r="AB60" s="2743"/>
      <c r="AC60" s="2743"/>
      <c r="AD60" s="2743"/>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9"/>
      <c r="O61" s="2749"/>
      <c r="P61" s="2776"/>
      <c r="Q61" s="2735"/>
      <c r="R61" s="2721"/>
      <c r="S61" s="2721"/>
      <c r="T61" s="2721"/>
      <c r="U61" s="2721"/>
      <c r="V61" s="2721"/>
      <c r="W61" s="2721"/>
      <c r="X61" s="2721"/>
      <c r="Y61" s="2721"/>
      <c r="Z61" s="2721"/>
      <c r="AA61" s="2721"/>
      <c r="AB61" s="2721"/>
      <c r="AC61" s="2721"/>
      <c r="AD61" s="2721"/>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50"/>
      <c r="O62" s="2750"/>
      <c r="P62" s="2774"/>
      <c r="Q62" s="2735"/>
      <c r="R62" s="2721"/>
      <c r="S62" s="2721"/>
      <c r="T62" s="2721"/>
      <c r="U62" s="2721"/>
      <c r="V62" s="2721"/>
      <c r="W62" s="2721"/>
      <c r="X62" s="2721"/>
      <c r="Y62" s="2721"/>
      <c r="Z62" s="2721"/>
      <c r="AA62" s="2721"/>
      <c r="AB62" s="2721"/>
      <c r="AC62" s="2721"/>
      <c r="AD62" s="2721"/>
    </row>
    <row r="63" spans="1:30" ht="27.75" thickTop="1">
      <c r="A63" s="480"/>
      <c r="B63" s="484" t="s">
        <v>1863</v>
      </c>
      <c r="C63" s="524" t="s">
        <v>1721</v>
      </c>
      <c r="D63" s="524" t="s">
        <v>1722</v>
      </c>
      <c r="E63" s="524" t="s">
        <v>1723</v>
      </c>
      <c r="F63" s="524" t="s">
        <v>1724</v>
      </c>
      <c r="G63" s="524" t="s">
        <v>1725</v>
      </c>
      <c r="H63" s="485"/>
      <c r="I63" s="485"/>
      <c r="J63" s="485"/>
      <c r="K63" s="486"/>
      <c r="L63" s="487"/>
      <c r="M63" s="488"/>
      <c r="N63" s="2749"/>
      <c r="O63" s="2749"/>
      <c r="P63" s="2774"/>
      <c r="Q63" s="2735"/>
      <c r="R63" s="2721"/>
      <c r="S63" s="2721"/>
      <c r="T63" s="2721"/>
      <c r="U63" s="2721"/>
      <c r="V63" s="2721"/>
      <c r="W63" s="2721"/>
      <c r="X63" s="2721"/>
      <c r="Y63" s="2721"/>
      <c r="Z63" s="2721"/>
      <c r="AA63" s="2721"/>
      <c r="AB63" s="2721"/>
      <c r="AC63" s="2721"/>
      <c r="AD63" s="2721"/>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50"/>
      <c r="O64" s="2750"/>
      <c r="P64" s="2774"/>
      <c r="Q64" s="2735"/>
      <c r="R64" s="2721"/>
      <c r="S64" s="2721"/>
      <c r="T64" s="2721"/>
      <c r="U64" s="2721"/>
      <c r="V64" s="2721"/>
      <c r="W64" s="2721"/>
      <c r="X64" s="2721"/>
      <c r="Y64" s="2721"/>
      <c r="Z64" s="2721"/>
      <c r="AA64" s="2721"/>
      <c r="AB64" s="2721"/>
      <c r="AC64" s="2721"/>
      <c r="AD64" s="2721"/>
    </row>
    <row r="65" spans="1:30" ht="15.75" thickTop="1">
      <c r="A65" s="480"/>
      <c r="B65" s="492" t="s">
        <v>1813</v>
      </c>
      <c r="C65" s="605" t="s">
        <v>1799</v>
      </c>
      <c r="D65" s="605" t="s">
        <v>1800</v>
      </c>
      <c r="E65" s="605" t="s">
        <v>1801</v>
      </c>
      <c r="F65" s="605" t="s">
        <v>1802</v>
      </c>
      <c r="G65" s="605" t="s">
        <v>1803</v>
      </c>
      <c r="H65" s="485"/>
      <c r="I65" s="485"/>
      <c r="J65" s="485"/>
      <c r="K65" s="485"/>
      <c r="L65" s="485"/>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50"/>
      <c r="O66" s="2750"/>
      <c r="P66" s="2774"/>
      <c r="Q66" s="2735"/>
      <c r="R66" s="2721"/>
      <c r="S66" s="2721"/>
      <c r="T66" s="2721"/>
      <c r="U66" s="2721"/>
      <c r="V66" s="2721"/>
      <c r="W66" s="2721"/>
      <c r="X66" s="2721"/>
      <c r="Y66" s="2721"/>
      <c r="Z66" s="2721"/>
      <c r="AA66" s="2721"/>
      <c r="AB66" s="2721"/>
      <c r="AC66" s="2721"/>
      <c r="AD66" s="2721"/>
    </row>
    <row r="67" spans="1:30" ht="15.75" thickTop="1">
      <c r="A67" s="480"/>
      <c r="B67" s="484" t="s">
        <v>1733</v>
      </c>
      <c r="C67" s="524" t="s">
        <v>1721</v>
      </c>
      <c r="D67" s="524" t="s">
        <v>1722</v>
      </c>
      <c r="E67" s="524" t="s">
        <v>1723</v>
      </c>
      <c r="F67" s="524" t="s">
        <v>1724</v>
      </c>
      <c r="G67" s="524" t="s">
        <v>1725</v>
      </c>
      <c r="H67" s="485"/>
      <c r="I67" s="485"/>
      <c r="J67" s="485"/>
      <c r="K67" s="486"/>
      <c r="L67" s="487"/>
      <c r="M67" s="488"/>
      <c r="N67" s="2749"/>
      <c r="O67" s="2749"/>
      <c r="P67" s="2774"/>
      <c r="Q67" s="2735"/>
      <c r="R67" s="2721"/>
      <c r="S67" s="2721"/>
      <c r="T67" s="2721"/>
      <c r="U67" s="2721"/>
      <c r="V67" s="2721"/>
      <c r="W67" s="2721"/>
      <c r="X67" s="2721"/>
      <c r="Y67" s="2721"/>
      <c r="Z67" s="2721"/>
      <c r="AA67" s="2721"/>
      <c r="AB67" s="2721"/>
      <c r="AC67" s="2721"/>
      <c r="AD67" s="2721"/>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50"/>
      <c r="O68" s="2750"/>
      <c r="P68" s="2774"/>
      <c r="Q68" s="2735"/>
      <c r="R68" s="2721"/>
      <c r="S68" s="2721"/>
      <c r="T68" s="2721"/>
      <c r="U68" s="2721"/>
      <c r="V68" s="2721"/>
      <c r="W68" s="2721"/>
      <c r="X68" s="2721"/>
      <c r="Y68" s="2721"/>
      <c r="Z68" s="2721"/>
      <c r="AA68" s="2721"/>
      <c r="AB68" s="2721"/>
      <c r="AC68" s="2721"/>
      <c r="AD68" s="2721"/>
    </row>
    <row r="69" spans="1:30" ht="15.75" thickTop="1">
      <c r="A69" s="480"/>
      <c r="B69" s="484" t="s">
        <v>1852</v>
      </c>
      <c r="C69" s="500"/>
      <c r="D69" s="500"/>
      <c r="E69" s="500"/>
      <c r="F69" s="500"/>
      <c r="G69" s="500"/>
      <c r="H69" s="529"/>
      <c r="I69" s="529"/>
      <c r="J69" s="529"/>
      <c r="K69" s="530"/>
      <c r="L69" s="531"/>
      <c r="M69" s="532"/>
      <c r="N69" s="2749"/>
      <c r="O69" s="2749"/>
      <c r="P69" s="2774"/>
      <c r="Q69" s="2735"/>
      <c r="R69" s="2721"/>
      <c r="S69" s="2721"/>
      <c r="T69" s="2721"/>
      <c r="U69" s="2721"/>
      <c r="V69" s="2721"/>
      <c r="W69" s="2721"/>
      <c r="X69" s="2721"/>
      <c r="Y69" s="2721"/>
      <c r="Z69" s="2721"/>
      <c r="AA69" s="2721"/>
      <c r="AB69" s="2721"/>
      <c r="AC69" s="2721"/>
      <c r="AD69" s="2721"/>
    </row>
    <row r="70" spans="1:30" ht="15.75" thickBot="1">
      <c r="A70" s="480"/>
      <c r="B70" s="489"/>
      <c r="C70" s="490">
        <v>100</v>
      </c>
      <c r="D70" s="490">
        <f>C70-$K22</f>
        <v>100</v>
      </c>
      <c r="E70" s="490"/>
      <c r="F70" s="490"/>
      <c r="G70" s="490"/>
      <c r="H70" s="490"/>
      <c r="I70" s="490"/>
      <c r="J70" s="490"/>
      <c r="K70" s="490"/>
      <c r="L70" s="490"/>
      <c r="M70" s="491"/>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5"/>
      <c r="B71" s="484">
        <f>B23</f>
        <v>111</v>
      </c>
      <c r="C71" s="495"/>
      <c r="D71" s="495"/>
      <c r="E71" s="495"/>
      <c r="F71" s="495"/>
      <c r="G71" s="500"/>
      <c r="H71" s="500"/>
      <c r="I71" s="500"/>
      <c r="J71" s="500"/>
      <c r="K71" s="500"/>
      <c r="L71" s="526"/>
      <c r="M71" s="527"/>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5"/>
      <c r="B72" s="489"/>
      <c r="C72" s="506"/>
      <c r="D72" s="482"/>
      <c r="E72" s="482"/>
      <c r="F72" s="482"/>
      <c r="G72" s="482"/>
      <c r="H72" s="482"/>
      <c r="I72" s="482"/>
      <c r="J72" s="482"/>
      <c r="K72" s="482"/>
      <c r="L72" s="482"/>
      <c r="M72" s="483"/>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5"/>
      <c r="B73" s="484">
        <f>B24</f>
        <v>111</v>
      </c>
      <c r="C73" s="495"/>
      <c r="D73" s="495"/>
      <c r="E73" s="495"/>
      <c r="F73" s="495"/>
      <c r="G73" s="500"/>
      <c r="H73" s="500"/>
      <c r="I73" s="500"/>
      <c r="J73" s="500"/>
      <c r="K73" s="500"/>
      <c r="L73" s="500"/>
      <c r="M73" s="527"/>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5"/>
      <c r="B74" s="489"/>
      <c r="C74" s="506"/>
      <c r="D74" s="482"/>
      <c r="E74" s="482"/>
      <c r="F74" s="482"/>
      <c r="G74" s="482"/>
      <c r="H74" s="482"/>
      <c r="I74" s="482"/>
      <c r="J74" s="482"/>
      <c r="K74" s="482"/>
      <c r="L74" s="482"/>
      <c r="M74" s="483"/>
      <c r="N74" s="2750"/>
      <c r="O74" s="2750"/>
      <c r="P74" s="2774"/>
      <c r="Q74" s="2735"/>
      <c r="R74" s="2657"/>
      <c r="S74" s="2657"/>
      <c r="T74" s="2657"/>
      <c r="U74" s="2657"/>
      <c r="V74" s="2657"/>
      <c r="W74" s="2657"/>
      <c r="X74" s="2657"/>
      <c r="Y74" s="2657"/>
      <c r="Z74" s="2657"/>
      <c r="AA74" s="2657"/>
      <c r="AB74" s="2657"/>
      <c r="AC74" s="2657"/>
      <c r="AD74" s="2657"/>
    </row>
    <row r="75" spans="1:30" s="419" customFormat="1" ht="15.75" thickTop="1">
      <c r="A75" s="499"/>
      <c r="B75" s="484">
        <f>B25</f>
        <v>111</v>
      </c>
      <c r="C75" s="495"/>
      <c r="D75" s="495"/>
      <c r="E75" s="495"/>
      <c r="F75" s="495"/>
      <c r="G75" s="500"/>
      <c r="H75" s="501"/>
      <c r="I75" s="501"/>
      <c r="J75" s="501"/>
      <c r="K75" s="501"/>
      <c r="L75" s="502"/>
      <c r="M75" s="503"/>
      <c r="N75" s="2751"/>
      <c r="O75" s="2751"/>
      <c r="P75" s="2775"/>
      <c r="Q75" s="2742"/>
      <c r="R75" s="2743"/>
      <c r="S75" s="2743"/>
      <c r="T75" s="2743"/>
      <c r="U75" s="2743"/>
      <c r="V75" s="2743"/>
      <c r="W75" s="2743"/>
      <c r="X75" s="2743"/>
      <c r="Y75" s="2743"/>
      <c r="Z75" s="2743"/>
      <c r="AA75" s="2743"/>
      <c r="AB75" s="2743"/>
      <c r="AC75" s="2743"/>
      <c r="AD75" s="2743"/>
    </row>
    <row r="76" spans="1:30" s="419" customFormat="1" ht="15.75" thickBot="1">
      <c r="A76" s="499"/>
      <c r="B76" s="489"/>
      <c r="C76" s="506"/>
      <c r="D76" s="506"/>
      <c r="E76" s="506"/>
      <c r="F76" s="506"/>
      <c r="G76" s="482"/>
      <c r="H76" s="482"/>
      <c r="I76" s="482"/>
      <c r="J76" s="482"/>
      <c r="K76" s="482"/>
      <c r="L76" s="482"/>
      <c r="M76" s="483"/>
      <c r="N76" s="2751"/>
      <c r="O76" s="2751"/>
      <c r="P76" s="2775"/>
      <c r="Q76" s="2742"/>
      <c r="R76" s="2743"/>
      <c r="S76" s="2743"/>
      <c r="T76" s="2743"/>
      <c r="U76" s="2743"/>
      <c r="V76" s="2743"/>
      <c r="W76" s="2743"/>
      <c r="X76" s="2743"/>
      <c r="Y76" s="2743"/>
      <c r="Z76" s="2743"/>
      <c r="AA76" s="2743"/>
      <c r="AB76" s="2743"/>
      <c r="AC76" s="2743"/>
      <c r="AD76" s="2743"/>
    </row>
    <row r="77" spans="1:30" ht="15" thickTop="1">
      <c r="A77" s="473" t="s">
        <v>1694</v>
      </c>
      <c r="B77" s="474" t="s">
        <v>1740</v>
      </c>
      <c r="C77" s="500"/>
      <c r="D77" s="500"/>
      <c r="E77" s="476"/>
      <c r="F77" s="476"/>
      <c r="G77" s="476"/>
      <c r="H77" s="476"/>
      <c r="I77" s="476"/>
      <c r="J77" s="476"/>
      <c r="K77" s="477"/>
      <c r="L77" s="478"/>
      <c r="M77" s="479"/>
      <c r="N77" s="2749"/>
      <c r="O77" s="2749"/>
      <c r="P77" s="2774"/>
      <c r="Q77" s="2735"/>
      <c r="R77" s="2721"/>
      <c r="S77" s="2721"/>
      <c r="T77" s="2721"/>
      <c r="U77" s="2721"/>
      <c r="V77" s="2721"/>
      <c r="W77" s="2721"/>
      <c r="X77" s="2721"/>
      <c r="Y77" s="2721"/>
      <c r="Z77" s="2721"/>
      <c r="AA77" s="2721"/>
      <c r="AB77" s="2721"/>
      <c r="AC77" s="2721"/>
      <c r="AD77" s="2721"/>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8"/>
      <c r="O79" s="2748"/>
      <c r="P79" s="2774"/>
      <c r="Q79" s="2735"/>
      <c r="R79" s="2721"/>
      <c r="S79" s="2721"/>
      <c r="T79" s="2721"/>
      <c r="U79" s="2721"/>
      <c r="V79" s="2721"/>
      <c r="W79" s="2721"/>
      <c r="X79" s="2721"/>
      <c r="Y79" s="2721"/>
      <c r="Z79" s="2721"/>
      <c r="AA79" s="2721"/>
      <c r="AB79" s="2721"/>
      <c r="AC79" s="2721"/>
      <c r="AD79" s="2721"/>
    </row>
    <row r="80" spans="1:30" ht="15">
      <c r="A80" s="480"/>
      <c r="B80" s="492"/>
      <c r="C80" s="549">
        <v>0.5</v>
      </c>
      <c r="D80" s="549">
        <v>0.6</v>
      </c>
      <c r="E80" s="549">
        <v>0.7</v>
      </c>
      <c r="F80" s="549">
        <v>0.8</v>
      </c>
      <c r="G80" s="549">
        <v>0.9</v>
      </c>
      <c r="H80" s="549">
        <v>1.0001</v>
      </c>
      <c r="I80" s="605"/>
      <c r="J80" s="605"/>
      <c r="K80" s="613"/>
      <c r="L80" s="614"/>
      <c r="M80" s="615"/>
      <c r="N80" s="2748"/>
      <c r="O80" s="2748"/>
      <c r="P80" s="2774"/>
      <c r="Q80" s="2735"/>
      <c r="R80" s="2721"/>
      <c r="S80" s="2721"/>
      <c r="T80" s="2721"/>
      <c r="U80" s="2721"/>
      <c r="V80" s="2721"/>
      <c r="W80" s="2721"/>
      <c r="X80" s="2721"/>
      <c r="Y80" s="2721"/>
      <c r="Z80" s="2721"/>
      <c r="AA80" s="2721"/>
      <c r="AB80" s="2721"/>
      <c r="AC80" s="2721"/>
      <c r="AD80" s="2721"/>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5"/>
      <c r="B82" s="492" t="s">
        <v>1856</v>
      </c>
      <c r="C82" s="500"/>
      <c r="D82" s="500"/>
      <c r="E82" s="529"/>
      <c r="F82" s="529"/>
      <c r="G82" s="529"/>
      <c r="H82" s="529"/>
      <c r="I82" s="529"/>
      <c r="J82" s="529"/>
      <c r="K82" s="530"/>
      <c r="L82" s="531"/>
      <c r="M82" s="532"/>
      <c r="N82" s="2749"/>
      <c r="O82" s="2749"/>
      <c r="P82" s="2774"/>
      <c r="Q82" s="2735"/>
      <c r="R82" s="2721"/>
      <c r="S82" s="2721"/>
      <c r="T82" s="2721"/>
      <c r="U82" s="2721"/>
      <c r="V82" s="2721"/>
      <c r="W82" s="2721"/>
      <c r="X82" s="2721"/>
      <c r="Y82" s="2721"/>
      <c r="Z82" s="2721"/>
      <c r="AA82" s="2721"/>
      <c r="AB82" s="2721"/>
      <c r="AC82" s="2721"/>
      <c r="AD82" s="2721"/>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5"/>
      <c r="B84" s="484" t="s">
        <v>1864</v>
      </c>
      <c r="C84" s="500"/>
      <c r="D84" s="500"/>
      <c r="E84" s="500"/>
      <c r="F84" s="500"/>
      <c r="G84" s="500"/>
      <c r="H84" s="500"/>
      <c r="I84" s="529"/>
      <c r="J84" s="529"/>
      <c r="K84" s="530"/>
      <c r="L84" s="531"/>
      <c r="M84" s="532"/>
      <c r="N84" s="2749"/>
      <c r="O84" s="2749"/>
      <c r="P84" s="2774"/>
      <c r="Q84" s="2735"/>
      <c r="R84" s="2721"/>
      <c r="S84" s="2721"/>
      <c r="T84" s="2721"/>
      <c r="U84" s="2721"/>
      <c r="V84" s="2721"/>
      <c r="W84" s="2721"/>
      <c r="X84" s="2721"/>
      <c r="Y84" s="2721"/>
      <c r="Z84" s="2721"/>
      <c r="AA84" s="2721"/>
      <c r="AB84" s="2721"/>
      <c r="AC84" s="2721"/>
      <c r="AD84" s="2721"/>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5"/>
      <c r="B87" s="492"/>
      <c r="C87" s="541"/>
      <c r="D87" s="541"/>
      <c r="E87" s="541"/>
      <c r="F87" s="541"/>
      <c r="G87" s="541"/>
      <c r="H87" s="541"/>
      <c r="I87" s="541"/>
      <c r="J87" s="542"/>
      <c r="K87" s="542"/>
      <c r="L87" s="543"/>
      <c r="M87" s="544"/>
      <c r="N87" s="2749"/>
      <c r="O87" s="2749"/>
      <c r="P87" s="2774"/>
      <c r="Q87" s="2735"/>
      <c r="R87" s="2721"/>
      <c r="S87" s="2721"/>
      <c r="T87" s="2721"/>
      <c r="U87" s="2721"/>
      <c r="V87" s="2721"/>
      <c r="W87" s="2721"/>
      <c r="X87" s="2721"/>
      <c r="Y87" s="2721"/>
      <c r="Z87" s="2721"/>
      <c r="AA87" s="2721"/>
      <c r="AB87" s="2721"/>
      <c r="AC87" s="2721"/>
      <c r="AD87" s="2721"/>
    </row>
    <row r="88" spans="1:30" ht="15.75" thickBot="1">
      <c r="A88" s="480"/>
      <c r="B88" s="489"/>
      <c r="C88" s="506"/>
      <c r="D88" s="482"/>
      <c r="E88" s="482"/>
      <c r="F88" s="482"/>
      <c r="G88" s="482"/>
      <c r="H88" s="482"/>
      <c r="I88" s="482"/>
      <c r="J88" s="482"/>
      <c r="K88" s="482"/>
      <c r="L88" s="482"/>
      <c r="M88" s="482"/>
      <c r="N88" s="2750"/>
      <c r="O88" s="2750"/>
      <c r="P88" s="2774"/>
      <c r="Q88" s="2735"/>
      <c r="R88" s="2721"/>
      <c r="S88" s="2721"/>
      <c r="T88" s="2721"/>
      <c r="U88" s="2721"/>
      <c r="V88" s="2721"/>
      <c r="W88" s="2721"/>
      <c r="X88" s="2721"/>
      <c r="Y88" s="2721"/>
      <c r="Z88" s="2721"/>
      <c r="AA88" s="2721"/>
      <c r="AB88" s="2721"/>
      <c r="AC88" s="2721"/>
      <c r="AD88" s="2721"/>
    </row>
    <row r="89" spans="1:30" s="419" customFormat="1" ht="15" thickTop="1">
      <c r="A89" s="539"/>
      <c r="B89" s="484" t="s">
        <v>1866</v>
      </c>
      <c r="C89" s="500"/>
      <c r="D89" s="500"/>
      <c r="E89" s="500"/>
      <c r="F89" s="500"/>
      <c r="G89" s="500"/>
      <c r="H89" s="500"/>
      <c r="I89" s="500"/>
      <c r="J89" s="500"/>
      <c r="K89" s="500"/>
      <c r="L89" s="500"/>
      <c r="M89" s="527"/>
      <c r="N89" s="2751"/>
      <c r="O89" s="2751"/>
      <c r="P89" s="2775"/>
      <c r="Q89" s="2742"/>
      <c r="R89" s="2743"/>
      <c r="S89" s="2743"/>
      <c r="T89" s="2743"/>
      <c r="U89" s="2743"/>
      <c r="V89" s="2743"/>
      <c r="W89" s="2743"/>
      <c r="X89" s="2743"/>
      <c r="Y89" s="2743"/>
      <c r="Z89" s="2743"/>
      <c r="AA89" s="2743"/>
      <c r="AB89" s="2743"/>
      <c r="AC89" s="2743"/>
      <c r="AD89" s="2743"/>
    </row>
    <row r="90" spans="1:30" s="419" customFormat="1" ht="15.75" thickBot="1">
      <c r="A90" s="499"/>
      <c r="B90" s="489"/>
      <c r="C90" s="506"/>
      <c r="D90" s="482"/>
      <c r="E90" s="482"/>
      <c r="F90" s="482"/>
      <c r="G90" s="482"/>
      <c r="H90" s="482"/>
      <c r="I90" s="482"/>
      <c r="J90" s="482"/>
      <c r="K90" s="482"/>
      <c r="L90" s="482"/>
      <c r="M90" s="483"/>
      <c r="N90" s="2751"/>
      <c r="O90" s="2751"/>
      <c r="P90" s="2775"/>
      <c r="Q90" s="2742"/>
      <c r="R90" s="2743"/>
      <c r="S90" s="2743"/>
      <c r="T90" s="2743"/>
      <c r="U90" s="2743"/>
      <c r="V90" s="2743"/>
      <c r="W90" s="2743"/>
      <c r="X90" s="2743"/>
      <c r="Y90" s="2743"/>
      <c r="Z90" s="2743"/>
      <c r="AA90" s="2743"/>
      <c r="AB90" s="2743"/>
      <c r="AC90" s="2743"/>
      <c r="AD90" s="2743"/>
    </row>
    <row r="91" spans="1:30" ht="15" thickTop="1">
      <c r="A91" s="545"/>
      <c r="B91" s="484">
        <f>B32</f>
        <v>111</v>
      </c>
      <c r="C91" s="495"/>
      <c r="D91" s="495"/>
      <c r="E91" s="495"/>
      <c r="F91" s="495"/>
      <c r="G91" s="500"/>
      <c r="H91" s="501"/>
      <c r="I91" s="501"/>
      <c r="J91" s="501"/>
      <c r="K91" s="501"/>
      <c r="L91" s="502"/>
      <c r="M91" s="503"/>
      <c r="N91" s="2749"/>
      <c r="O91" s="2749"/>
      <c r="P91" s="2774"/>
      <c r="Q91" s="2735"/>
      <c r="R91" s="2721"/>
      <c r="S91" s="2721"/>
      <c r="T91" s="2721"/>
      <c r="U91" s="2721"/>
      <c r="V91" s="2721"/>
      <c r="W91" s="2721"/>
      <c r="X91" s="2721"/>
      <c r="Y91" s="2721"/>
      <c r="Z91" s="2721"/>
      <c r="AA91" s="2721"/>
      <c r="AB91" s="2721"/>
      <c r="AC91" s="2721"/>
      <c r="AD91" s="2721"/>
    </row>
    <row r="92" spans="1:30" ht="15.75" thickBot="1">
      <c r="A92" s="480"/>
      <c r="B92" s="489"/>
      <c r="C92" s="506"/>
      <c r="D92" s="482"/>
      <c r="E92" s="482"/>
      <c r="F92" s="482"/>
      <c r="G92" s="506"/>
      <c r="H92" s="508"/>
      <c r="I92" s="508"/>
      <c r="J92" s="508"/>
      <c r="K92" s="508"/>
      <c r="L92" s="508"/>
      <c r="M92" s="509"/>
      <c r="N92" s="2750"/>
      <c r="O92" s="2750"/>
      <c r="P92" s="2774"/>
      <c r="Q92" s="2735"/>
      <c r="R92" s="2721"/>
      <c r="S92" s="2721"/>
      <c r="T92" s="2721"/>
      <c r="U92" s="2721"/>
      <c r="V92" s="2721"/>
      <c r="W92" s="2721"/>
      <c r="X92" s="2721"/>
      <c r="Y92" s="2721"/>
      <c r="Z92" s="2721"/>
      <c r="AA92" s="2721"/>
      <c r="AB92" s="2721"/>
      <c r="AC92" s="2721"/>
      <c r="AD92" s="2721"/>
    </row>
    <row r="93" spans="1:30" ht="15" thickTop="1">
      <c r="A93" s="545"/>
      <c r="B93" s="484">
        <f>B33</f>
        <v>111</v>
      </c>
      <c r="C93" s="495"/>
      <c r="D93" s="495"/>
      <c r="E93" s="495"/>
      <c r="F93" s="495"/>
      <c r="G93" s="500"/>
      <c r="H93" s="501"/>
      <c r="I93" s="501"/>
      <c r="J93" s="501"/>
      <c r="K93" s="501"/>
      <c r="L93" s="502"/>
      <c r="M93" s="503"/>
      <c r="N93" s="2749"/>
      <c r="O93" s="2749"/>
      <c r="P93" s="2774"/>
      <c r="Q93" s="2735"/>
      <c r="R93" s="2721"/>
      <c r="S93" s="2721"/>
      <c r="T93" s="2721"/>
      <c r="U93" s="2721"/>
      <c r="V93" s="2721"/>
      <c r="W93" s="2721"/>
      <c r="X93" s="2721"/>
      <c r="Y93" s="2721"/>
      <c r="Z93" s="2721"/>
      <c r="AA93" s="2721"/>
      <c r="AB93" s="2721"/>
      <c r="AC93" s="2721"/>
      <c r="AD93" s="2721"/>
    </row>
    <row r="94" spans="1:30" ht="15.75" thickBot="1">
      <c r="A94" s="480"/>
      <c r="B94" s="489"/>
      <c r="C94" s="506"/>
      <c r="D94" s="482"/>
      <c r="E94" s="482"/>
      <c r="F94" s="482"/>
      <c r="G94" s="506"/>
      <c r="H94" s="508"/>
      <c r="I94" s="508"/>
      <c r="J94" s="508"/>
      <c r="K94" s="508"/>
      <c r="L94" s="508"/>
      <c r="M94" s="509"/>
      <c r="N94" s="2750"/>
      <c r="O94" s="2750"/>
      <c r="P94" s="2774"/>
      <c r="Q94" s="2735"/>
      <c r="R94" s="2721"/>
      <c r="S94" s="2721"/>
      <c r="T94" s="2721"/>
      <c r="U94" s="2721"/>
      <c r="V94" s="2721"/>
      <c r="W94" s="2721"/>
      <c r="X94" s="2721"/>
      <c r="Y94" s="2721"/>
      <c r="Z94" s="2721"/>
      <c r="AA94" s="2721"/>
      <c r="AB94" s="2721"/>
      <c r="AC94" s="2721"/>
      <c r="AD94" s="2721"/>
    </row>
    <row r="95" spans="1:30" ht="15" thickTop="1">
      <c r="A95" s="545"/>
      <c r="B95" s="581">
        <f>B34</f>
        <v>111</v>
      </c>
      <c r="C95" s="495"/>
      <c r="D95" s="495"/>
      <c r="E95" s="495"/>
      <c r="F95" s="495"/>
      <c r="G95" s="500"/>
      <c r="H95" s="501"/>
      <c r="I95" s="501"/>
      <c r="J95" s="501"/>
      <c r="K95" s="501"/>
      <c r="L95" s="502"/>
      <c r="M95" s="503"/>
      <c r="N95" s="2750"/>
      <c r="O95" s="2750"/>
      <c r="P95" s="2777"/>
      <c r="Q95" s="2764"/>
      <c r="R95" s="2721"/>
      <c r="S95" s="2721"/>
      <c r="T95" s="2721"/>
      <c r="U95" s="2721"/>
      <c r="V95" s="2721"/>
      <c r="W95" s="2721"/>
      <c r="X95" s="2721"/>
      <c r="Y95" s="2721"/>
      <c r="Z95" s="2721"/>
      <c r="AA95" s="2721"/>
      <c r="AB95" s="2721"/>
      <c r="AC95" s="2721"/>
      <c r="AD95" s="2721"/>
    </row>
    <row r="96" spans="1:30" ht="15.75" thickBot="1">
      <c r="A96" s="480"/>
      <c r="B96" s="489"/>
      <c r="C96" s="506"/>
      <c r="D96" s="506"/>
      <c r="E96" s="506"/>
      <c r="F96" s="506"/>
      <c r="G96" s="506"/>
      <c r="H96" s="508"/>
      <c r="I96" s="508"/>
      <c r="J96" s="508"/>
      <c r="K96" s="508"/>
      <c r="L96" s="508"/>
      <c r="M96" s="509"/>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t="e">
        <f>F65</f>
        <v>#DIV/0!</v>
      </c>
      <c r="C2" s="903"/>
      <c r="D2" s="903"/>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c r="AD2" s="348"/>
    </row>
    <row r="3" spans="1:30" s="349" customFormat="1" ht="28.5" customHeight="1" thickBot="1">
      <c r="A3" s="200" t="s">
        <v>1464</v>
      </c>
      <c r="B3" s="555" t="e">
        <f>ROUND(IF(D3="",B2*10000/'数据-汇总表'!E3,B2*10000/D3),0)</f>
        <v>#DIV/0!</v>
      </c>
      <c r="C3" s="200" t="s">
        <v>1869</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30" ht="15">
      <c r="A4" s="352" t="s">
        <v>1769</v>
      </c>
      <c r="B4" s="353"/>
      <c r="C4" s="3763" t="s">
        <v>1770</v>
      </c>
      <c r="D4" s="3764"/>
      <c r="E4" s="3765" t="s">
        <v>1771</v>
      </c>
      <c r="F4" s="3766"/>
      <c r="G4" s="3763" t="s">
        <v>1772</v>
      </c>
      <c r="H4" s="3764"/>
      <c r="I4" s="3763" t="s">
        <v>1773</v>
      </c>
      <c r="J4" s="3764"/>
      <c r="K4" s="556" t="s">
        <v>1774</v>
      </c>
      <c r="L4" s="2711"/>
      <c r="M4" s="2712"/>
      <c r="N4" s="2712"/>
      <c r="O4" s="2712"/>
      <c r="P4" s="3829" t="s">
        <v>1775</v>
      </c>
      <c r="Q4" s="3830"/>
      <c r="R4" s="3833" t="s">
        <v>1771</v>
      </c>
      <c r="S4" s="3834"/>
      <c r="T4" s="3833" t="s">
        <v>1772</v>
      </c>
      <c r="U4" s="3834"/>
      <c r="V4" s="3780" t="s">
        <v>1773</v>
      </c>
      <c r="W4" s="3780"/>
      <c r="X4" s="1351"/>
      <c r="Y4" s="3833" t="s">
        <v>1775</v>
      </c>
      <c r="Z4" s="3834"/>
      <c r="AA4" s="3828" t="s">
        <v>1771</v>
      </c>
      <c r="AB4" s="3792" t="s">
        <v>1772</v>
      </c>
      <c r="AC4" s="3828" t="s">
        <v>1773</v>
      </c>
    </row>
    <row r="5" spans="1:30" ht="15">
      <c r="A5" s="355"/>
      <c r="B5" s="356"/>
      <c r="C5" s="3783" t="s">
        <v>1673</v>
      </c>
      <c r="D5" s="3784"/>
      <c r="E5" s="3794" t="s">
        <v>1674</v>
      </c>
      <c r="F5" s="3795"/>
      <c r="G5" s="3783" t="s">
        <v>1675</v>
      </c>
      <c r="H5" s="3784"/>
      <c r="I5" s="3783" t="s">
        <v>1676</v>
      </c>
      <c r="J5" s="3784"/>
      <c r="K5" s="556"/>
      <c r="L5" s="2711"/>
      <c r="M5" s="2712"/>
      <c r="N5" s="2712"/>
      <c r="O5" s="2712"/>
      <c r="P5" s="3831"/>
      <c r="Q5" s="3770"/>
      <c r="R5" s="3775"/>
      <c r="S5" s="3776"/>
      <c r="T5" s="3775"/>
      <c r="U5" s="3776"/>
      <c r="V5" s="3780"/>
      <c r="W5" s="3780"/>
      <c r="X5" s="1351"/>
      <c r="Y5" s="3775"/>
      <c r="Z5" s="3776"/>
      <c r="AA5" s="3792"/>
      <c r="AB5" s="3792"/>
      <c r="AC5" s="3792"/>
    </row>
    <row r="6" spans="1:30" ht="15.75" thickBot="1">
      <c r="A6" s="357"/>
      <c r="B6" s="358"/>
      <c r="C6" s="3781" t="s">
        <v>1677</v>
      </c>
      <c r="D6" s="3782"/>
      <c r="E6" s="3789" t="s">
        <v>1677</v>
      </c>
      <c r="F6" s="3790"/>
      <c r="G6" s="3781" t="s">
        <v>1677</v>
      </c>
      <c r="H6" s="3782"/>
      <c r="I6" s="3781" t="s">
        <v>1677</v>
      </c>
      <c r="J6" s="3782"/>
      <c r="K6" s="556" t="s">
        <v>1678</v>
      </c>
      <c r="L6" s="2711"/>
      <c r="M6" s="2712"/>
      <c r="N6" s="2712"/>
      <c r="O6" s="2712"/>
      <c r="P6" s="3832"/>
      <c r="Q6" s="3772"/>
      <c r="R6" s="3775"/>
      <c r="S6" s="3776"/>
      <c r="T6" s="3777"/>
      <c r="U6" s="3778"/>
      <c r="V6" s="3780"/>
      <c r="W6" s="3780"/>
      <c r="X6" s="1351"/>
      <c r="Y6" s="3777"/>
      <c r="Z6" s="3778"/>
      <c r="AA6" s="3793"/>
      <c r="AB6" s="3793"/>
      <c r="AC6" s="3793"/>
    </row>
    <row r="7" spans="1:30" s="108" customFormat="1" ht="15.75" thickBot="1">
      <c r="A7" s="359" t="s">
        <v>1679</v>
      </c>
      <c r="B7" s="360"/>
      <c r="C7" s="361">
        <f>'数据-取费表'!B2</f>
        <v>45421</v>
      </c>
      <c r="D7" s="362">
        <v>100</v>
      </c>
      <c r="E7" s="363"/>
      <c r="F7" s="364">
        <f>SUMIF(69:69,YEAR(E7)&amp;"-"&amp;INT((MONTH(E7)+2)/3),70:70)</f>
        <v>0</v>
      </c>
      <c r="G7" s="1970"/>
      <c r="H7" s="362">
        <f>SUMIF(69:69,YEAR(G7)&amp;"-"&amp;INT((MONTH(G7)+2)/3),70:70)</f>
        <v>0</v>
      </c>
      <c r="I7" s="1970"/>
      <c r="J7" s="362">
        <f>SUMIF(69:69,YEAR(I7)&amp;"-"&amp;INT((MONTH(I7)+2)/3),70:70)</f>
        <v>0</v>
      </c>
      <c r="K7" s="557"/>
      <c r="L7" s="2713"/>
      <c r="M7" s="2714"/>
      <c r="N7" s="2714"/>
      <c r="O7" s="2714"/>
      <c r="P7" s="3787" t="s">
        <v>1680</v>
      </c>
      <c r="Q7" s="3788"/>
      <c r="R7" s="697" t="s">
        <v>14</v>
      </c>
      <c r="S7" s="698">
        <f t="shared" ref="S7:S15" si="0">F7</f>
        <v>0</v>
      </c>
      <c r="T7" s="697" t="s">
        <v>14</v>
      </c>
      <c r="U7" s="698">
        <f t="shared" ref="U7:U15" si="1">H7</f>
        <v>0</v>
      </c>
      <c r="V7" s="697" t="s">
        <v>14</v>
      </c>
      <c r="W7" s="698">
        <f t="shared" ref="W7:W15" si="2">J7</f>
        <v>0</v>
      </c>
      <c r="X7" s="699"/>
      <c r="Y7" s="3787" t="s">
        <v>1680</v>
      </c>
      <c r="Z7" s="3786"/>
      <c r="AA7" s="700" t="e">
        <f>D7/F7</f>
        <v>#DIV/0!</v>
      </c>
      <c r="AB7" s="700" t="e">
        <f>D7/H7</f>
        <v>#DIV/0!</v>
      </c>
      <c r="AC7" s="700" t="e">
        <f>D7/J7</f>
        <v>#DIV/0!</v>
      </c>
    </row>
    <row r="8" spans="1:30" s="108"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13"/>
      <c r="M8" s="2714"/>
      <c r="N8" s="2714"/>
      <c r="O8" s="2714"/>
      <c r="P8" s="3787" t="s">
        <v>1683</v>
      </c>
      <c r="Q8" s="3786"/>
      <c r="R8" s="697" t="s">
        <v>14</v>
      </c>
      <c r="S8" s="698">
        <f t="shared" si="0"/>
        <v>0</v>
      </c>
      <c r="T8" s="697" t="s">
        <v>14</v>
      </c>
      <c r="U8" s="698">
        <f t="shared" si="1"/>
        <v>0</v>
      </c>
      <c r="V8" s="697" t="s">
        <v>14</v>
      </c>
      <c r="W8" s="698">
        <f t="shared" si="2"/>
        <v>0</v>
      </c>
      <c r="X8" s="699"/>
      <c r="Y8" s="3787" t="s">
        <v>1683</v>
      </c>
      <c r="Z8" s="3786"/>
      <c r="AA8" s="700" t="e">
        <f t="shared" ref="AA8:AA45" si="3">D8/F8</f>
        <v>#DIV/0!</v>
      </c>
      <c r="AB8" s="700" t="e">
        <f t="shared" ref="AB8:AB45" si="4">D8/H8</f>
        <v>#DIV/0!</v>
      </c>
      <c r="AC8" s="700" t="e">
        <f t="shared" ref="AC8:AC45" si="5">D8/J8</f>
        <v>#DIV/0!</v>
      </c>
    </row>
    <row r="9" spans="1:30" s="108" customFormat="1">
      <c r="A9" s="366" t="s">
        <v>1684</v>
      </c>
      <c r="B9" s="63" t="s">
        <v>1685</v>
      </c>
      <c r="C9" s="1973"/>
      <c r="D9" s="123">
        <v>100</v>
      </c>
      <c r="E9" s="1973"/>
      <c r="F9" s="123">
        <f>SUMIF(74:74,E9,75:75)-SUMIF(74:74,C9,75:75)+100</f>
        <v>100</v>
      </c>
      <c r="G9" s="1973"/>
      <c r="H9" s="123">
        <f>SUMIF(74:74,G9,75:75)-SUMIF(74:74,C9,75:75)+100</f>
        <v>100</v>
      </c>
      <c r="I9" s="1973"/>
      <c r="J9" s="123">
        <f>SUMIF(74:74,I9,75:75)-SUMIF(74:74,C9,75:75)+100</f>
        <v>100</v>
      </c>
      <c r="K9" s="557"/>
      <c r="L9" s="2713"/>
      <c r="M9" s="2714"/>
      <c r="N9" s="2714"/>
      <c r="O9" s="2768"/>
      <c r="P9" s="3746" t="s">
        <v>1686</v>
      </c>
      <c r="Q9" s="1339" t="str">
        <f t="shared" ref="Q9:Q15" si="6">B9</f>
        <v>用途</v>
      </c>
      <c r="R9" s="697" t="s">
        <v>14</v>
      </c>
      <c r="S9" s="698">
        <f t="shared" si="0"/>
        <v>100</v>
      </c>
      <c r="T9" s="697" t="s">
        <v>14</v>
      </c>
      <c r="U9" s="698">
        <f t="shared" si="1"/>
        <v>100</v>
      </c>
      <c r="V9" s="697" t="s">
        <v>14</v>
      </c>
      <c r="W9" s="698">
        <f t="shared" si="2"/>
        <v>100</v>
      </c>
      <c r="X9" s="699"/>
      <c r="Y9" s="3652" t="s">
        <v>1687</v>
      </c>
      <c r="Z9" s="52" t="str">
        <f t="shared" ref="Z9:Z15" si="7">Q9</f>
        <v>用途</v>
      </c>
      <c r="AA9" s="700">
        <f t="shared" si="3"/>
        <v>1</v>
      </c>
      <c r="AB9" s="700">
        <f t="shared" si="4"/>
        <v>1</v>
      </c>
      <c r="AC9" s="700">
        <f t="shared" si="5"/>
        <v>1</v>
      </c>
    </row>
    <row r="10" spans="1:30" s="375" customFormat="1" ht="27">
      <c r="A10" s="371"/>
      <c r="B10" s="372" t="s">
        <v>1688</v>
      </c>
      <c r="C10" s="380"/>
      <c r="D10" s="124">
        <v>100</v>
      </c>
      <c r="E10" s="413"/>
      <c r="F10" s="124">
        <f>ROUND(100/'数据-取费表'!G16,0)</f>
        <v>115</v>
      </c>
      <c r="G10" s="411"/>
      <c r="H10" s="124">
        <f>ROUND(100/'数据-取费表'!G16,0)</f>
        <v>115</v>
      </c>
      <c r="I10" s="411"/>
      <c r="J10" s="124">
        <f>ROUND(100/'数据-取费表'!G16,0)</f>
        <v>115</v>
      </c>
      <c r="K10" s="617"/>
      <c r="L10" s="2715"/>
      <c r="M10" s="2716"/>
      <c r="N10" s="2716"/>
      <c r="O10" s="2769"/>
      <c r="P10" s="3746"/>
      <c r="Q10" s="1339" t="str">
        <f t="shared" si="6"/>
        <v>土地使用年限（年）</v>
      </c>
      <c r="R10" s="697" t="s">
        <v>14</v>
      </c>
      <c r="S10" s="698">
        <f t="shared" si="0"/>
        <v>115</v>
      </c>
      <c r="T10" s="697" t="s">
        <v>14</v>
      </c>
      <c r="U10" s="698">
        <f t="shared" si="1"/>
        <v>115</v>
      </c>
      <c r="V10" s="697" t="s">
        <v>14</v>
      </c>
      <c r="W10" s="698">
        <f t="shared" si="2"/>
        <v>115</v>
      </c>
      <c r="X10" s="699"/>
      <c r="Y10" s="3652"/>
      <c r="Z10" s="52" t="str">
        <f t="shared" si="7"/>
        <v>土地使用年限（年）</v>
      </c>
      <c r="AA10" s="700">
        <f t="shared" si="3"/>
        <v>0.86956521739130432</v>
      </c>
      <c r="AB10" s="700">
        <f t="shared" si="4"/>
        <v>0.86956521739130432</v>
      </c>
      <c r="AC10" s="700">
        <f t="shared" si="5"/>
        <v>0.86956521739130432</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7"/>
      <c r="M11" s="2712"/>
      <c r="N11" s="2712"/>
      <c r="O11" s="2770"/>
      <c r="P11" s="3746"/>
      <c r="Q11" s="1339" t="str">
        <f t="shared" si="6"/>
        <v>容积率</v>
      </c>
      <c r="R11" s="697" t="s">
        <v>14</v>
      </c>
      <c r="S11" s="698" t="e">
        <f t="shared" si="0"/>
        <v>#N/A</v>
      </c>
      <c r="T11" s="697" t="s">
        <v>14</v>
      </c>
      <c r="U11" s="698" t="e">
        <f t="shared" si="1"/>
        <v>#N/A</v>
      </c>
      <c r="V11" s="697" t="s">
        <v>14</v>
      </c>
      <c r="W11" s="698" t="e">
        <f t="shared" si="2"/>
        <v>#N/A</v>
      </c>
      <c r="X11" s="699"/>
      <c r="Y11" s="3652"/>
      <c r="Z11" s="52" t="str">
        <f t="shared" si="7"/>
        <v>容积率</v>
      </c>
      <c r="AA11" s="700" t="e">
        <f t="shared" si="3"/>
        <v>#N/A</v>
      </c>
      <c r="AB11" s="700" t="e">
        <f t="shared" si="4"/>
        <v>#N/A</v>
      </c>
      <c r="AC11" s="700" t="e">
        <f t="shared" si="5"/>
        <v>#N/A</v>
      </c>
    </row>
    <row r="12" spans="1:30" s="108" customFormat="1" ht="15">
      <c r="A12" s="379"/>
      <c r="B12" s="1889" t="s">
        <v>1870</v>
      </c>
      <c r="C12" s="380"/>
      <c r="D12" s="381">
        <v>100</v>
      </c>
      <c r="E12" s="413"/>
      <c r="F12" s="124">
        <f>SUMIF(81:81,E12,82:82)-SUMIF(81:81,C12,82:82)+100</f>
        <v>100</v>
      </c>
      <c r="G12" s="411"/>
      <c r="H12" s="124">
        <f>SUMIF(81:81,G12,82:82)-SUMIF(81:81,C12,82:82)+100</f>
        <v>100</v>
      </c>
      <c r="I12" s="413"/>
      <c r="J12" s="124">
        <f>SUMIF(81:81,I12,82:82)-SUMIF(81:81,C12,82:82)+100</f>
        <v>100</v>
      </c>
      <c r="K12" s="617"/>
      <c r="L12" s="2713"/>
      <c r="M12" s="2714"/>
      <c r="N12" s="2714"/>
      <c r="O12" s="2768"/>
      <c r="P12" s="3746"/>
      <c r="Q12" s="1339" t="str">
        <f t="shared" si="6"/>
        <v>配建</v>
      </c>
      <c r="R12" s="697" t="s">
        <v>14</v>
      </c>
      <c r="S12" s="698">
        <f t="shared" si="0"/>
        <v>100</v>
      </c>
      <c r="T12" s="697" t="s">
        <v>14</v>
      </c>
      <c r="U12" s="698">
        <f t="shared" si="1"/>
        <v>100</v>
      </c>
      <c r="V12" s="697" t="s">
        <v>14</v>
      </c>
      <c r="W12" s="698">
        <f t="shared" si="2"/>
        <v>100</v>
      </c>
      <c r="X12" s="699"/>
      <c r="Y12" s="3652"/>
      <c r="Z12" s="52" t="str">
        <f t="shared" si="7"/>
        <v>配建</v>
      </c>
      <c r="AA12" s="700">
        <f>D12/F12</f>
        <v>1</v>
      </c>
      <c r="AB12" s="700">
        <f>D12/H12</f>
        <v>1</v>
      </c>
      <c r="AC12" s="700">
        <f>D12/J12</f>
        <v>1</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8"/>
      <c r="M13" s="2712"/>
      <c r="N13" s="2712"/>
      <c r="O13" s="2770"/>
      <c r="P13" s="3746"/>
      <c r="Q13" s="1339">
        <f t="shared" si="6"/>
        <v>111</v>
      </c>
      <c r="R13" s="697" t="s">
        <v>14</v>
      </c>
      <c r="S13" s="698">
        <f t="shared" si="0"/>
        <v>100</v>
      </c>
      <c r="T13" s="697" t="s">
        <v>14</v>
      </c>
      <c r="U13" s="698">
        <f t="shared" si="1"/>
        <v>100</v>
      </c>
      <c r="V13" s="697" t="s">
        <v>14</v>
      </c>
      <c r="W13" s="698">
        <f t="shared" si="2"/>
        <v>100</v>
      </c>
      <c r="X13" s="699"/>
      <c r="Y13" s="3652"/>
      <c r="Z13" s="52">
        <f t="shared" si="7"/>
        <v>111</v>
      </c>
      <c r="AA13" s="700">
        <f>D13/F13</f>
        <v>1</v>
      </c>
      <c r="AB13" s="700">
        <f>D13/H13</f>
        <v>1</v>
      </c>
      <c r="AC13" s="700">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8"/>
      <c r="M14" s="2712"/>
      <c r="N14" s="2712"/>
      <c r="O14" s="2770"/>
      <c r="P14" s="3746"/>
      <c r="Q14" s="1339">
        <f t="shared" si="6"/>
        <v>111</v>
      </c>
      <c r="R14" s="697" t="s">
        <v>14</v>
      </c>
      <c r="S14" s="698">
        <f t="shared" si="0"/>
        <v>100</v>
      </c>
      <c r="T14" s="697" t="s">
        <v>14</v>
      </c>
      <c r="U14" s="698">
        <f t="shared" si="1"/>
        <v>100</v>
      </c>
      <c r="V14" s="697" t="s">
        <v>14</v>
      </c>
      <c r="W14" s="698">
        <f t="shared" si="2"/>
        <v>100</v>
      </c>
      <c r="X14" s="699"/>
      <c r="Y14" s="3652"/>
      <c r="Z14" s="52">
        <f t="shared" si="7"/>
        <v>111</v>
      </c>
      <c r="AA14" s="700">
        <f>D14/F14</f>
        <v>1</v>
      </c>
      <c r="AB14" s="700">
        <f>D14/H14</f>
        <v>1</v>
      </c>
      <c r="AC14" s="700">
        <f>D14/J14</f>
        <v>1</v>
      </c>
    </row>
    <row r="15" spans="1:30" ht="99.75">
      <c r="A15" s="388" t="s">
        <v>1690</v>
      </c>
      <c r="B15" s="61" t="s">
        <v>1257</v>
      </c>
      <c r="C15" s="1892"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8"/>
      <c r="M15" s="2712"/>
      <c r="N15" s="2712"/>
      <c r="O15" s="2770"/>
      <c r="P15" s="3753" t="s">
        <v>1691</v>
      </c>
      <c r="Q15" s="1348" t="str">
        <f t="shared" si="6"/>
        <v>居住社区成熟度</v>
      </c>
      <c r="R15" s="701" t="s">
        <v>14</v>
      </c>
      <c r="S15" s="702">
        <f t="shared" si="0"/>
        <v>100</v>
      </c>
      <c r="T15" s="701" t="s">
        <v>14</v>
      </c>
      <c r="U15" s="702">
        <f t="shared" si="1"/>
        <v>100</v>
      </c>
      <c r="V15" s="701" t="s">
        <v>14</v>
      </c>
      <c r="W15" s="702">
        <f t="shared" si="2"/>
        <v>100</v>
      </c>
      <c r="X15" s="1351"/>
      <c r="Y15" s="3753" t="s">
        <v>1691</v>
      </c>
      <c r="Z15" s="1352" t="str">
        <f t="shared" si="7"/>
        <v>居住社区成熟度</v>
      </c>
      <c r="AA15" s="1349">
        <f t="shared" si="3"/>
        <v>1</v>
      </c>
      <c r="AB15" s="1349">
        <f t="shared" si="4"/>
        <v>1</v>
      </c>
      <c r="AC15" s="1349">
        <f t="shared" si="5"/>
        <v>1</v>
      </c>
    </row>
    <row r="16" spans="1:30" ht="15">
      <c r="A16" s="376"/>
      <c r="B16" s="394"/>
      <c r="C16" s="395"/>
      <c r="D16" s="396"/>
      <c r="E16" s="1894"/>
      <c r="F16" s="396"/>
      <c r="G16" s="1894"/>
      <c r="H16" s="398"/>
      <c r="I16" s="1893"/>
      <c r="J16" s="396"/>
      <c r="K16" s="617"/>
      <c r="L16" s="2718"/>
      <c r="M16" s="2712"/>
      <c r="N16" s="2712"/>
      <c r="O16" s="2770"/>
      <c r="P16" s="3754"/>
      <c r="Q16" s="1348"/>
      <c r="R16" s="701"/>
      <c r="S16" s="702"/>
      <c r="T16" s="701"/>
      <c r="U16" s="702"/>
      <c r="V16" s="701"/>
      <c r="W16" s="702"/>
      <c r="X16" s="1351"/>
      <c r="Y16" s="3754"/>
      <c r="Z16" s="1352"/>
      <c r="AA16" s="1349">
        <v>1</v>
      </c>
      <c r="AB16" s="1349">
        <v>1</v>
      </c>
      <c r="AC16" s="1349">
        <v>1</v>
      </c>
    </row>
    <row r="17" spans="1:29" ht="71.25">
      <c r="A17" s="376"/>
      <c r="B17" s="399" t="s">
        <v>1777</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8"/>
      <c r="M17" s="2712"/>
      <c r="N17" s="2712"/>
      <c r="O17" s="2770"/>
      <c r="P17" s="3754"/>
      <c r="Q17" s="1348" t="str">
        <f>B17</f>
        <v>商业繁华度</v>
      </c>
      <c r="R17" s="701" t="s">
        <v>14</v>
      </c>
      <c r="S17" s="702">
        <f>F17</f>
        <v>100</v>
      </c>
      <c r="T17" s="701" t="s">
        <v>14</v>
      </c>
      <c r="U17" s="702">
        <f>H17</f>
        <v>100</v>
      </c>
      <c r="V17" s="701" t="s">
        <v>14</v>
      </c>
      <c r="W17" s="702">
        <f>J17</f>
        <v>100</v>
      </c>
      <c r="X17" s="1351"/>
      <c r="Y17" s="3754"/>
      <c r="Z17" s="1352" t="str">
        <f>Q17</f>
        <v>商业繁华度</v>
      </c>
      <c r="AA17" s="1349">
        <f t="shared" si="3"/>
        <v>1</v>
      </c>
      <c r="AB17" s="1349">
        <f t="shared" si="4"/>
        <v>1</v>
      </c>
      <c r="AC17" s="1349">
        <f t="shared" si="5"/>
        <v>1</v>
      </c>
    </row>
    <row r="18" spans="1:29" ht="15">
      <c r="A18" s="376"/>
      <c r="B18" s="404"/>
      <c r="C18" s="1897"/>
      <c r="D18" s="398"/>
      <c r="E18" s="1899"/>
      <c r="F18" s="398"/>
      <c r="G18" s="1899"/>
      <c r="H18" s="396"/>
      <c r="I18" s="1898"/>
      <c r="J18" s="396"/>
      <c r="K18" s="617"/>
      <c r="L18" s="2718"/>
      <c r="M18" s="2712"/>
      <c r="N18" s="2712"/>
      <c r="O18" s="2770"/>
      <c r="P18" s="3754"/>
      <c r="Q18" s="1348"/>
      <c r="R18" s="701"/>
      <c r="S18" s="702"/>
      <c r="T18" s="701"/>
      <c r="U18" s="702"/>
      <c r="V18" s="701"/>
      <c r="W18" s="702"/>
      <c r="X18" s="1351"/>
      <c r="Y18" s="3754"/>
      <c r="Z18" s="1352"/>
      <c r="AA18" s="1349">
        <v>1</v>
      </c>
      <c r="AB18" s="1349">
        <v>1</v>
      </c>
      <c r="AC18" s="1349">
        <v>1</v>
      </c>
    </row>
    <row r="19" spans="1:29" ht="71.25">
      <c r="A19" s="376"/>
      <c r="B19" s="399" t="s">
        <v>1811</v>
      </c>
      <c r="C19" s="195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8"/>
      <c r="M19" s="2712"/>
      <c r="N19" s="2712"/>
      <c r="O19" s="2770"/>
      <c r="P19" s="3754"/>
      <c r="Q19" s="1348" t="str">
        <f>B19</f>
        <v>办公集聚程度</v>
      </c>
      <c r="R19" s="701" t="s">
        <v>14</v>
      </c>
      <c r="S19" s="702">
        <f>F19</f>
        <v>100</v>
      </c>
      <c r="T19" s="701" t="s">
        <v>14</v>
      </c>
      <c r="U19" s="702">
        <f>H19</f>
        <v>100</v>
      </c>
      <c r="V19" s="701" t="s">
        <v>14</v>
      </c>
      <c r="W19" s="702">
        <f>J19</f>
        <v>100</v>
      </c>
      <c r="X19" s="1351"/>
      <c r="Y19" s="3754"/>
      <c r="Z19" s="1352" t="str">
        <f>Q19</f>
        <v>办公集聚程度</v>
      </c>
      <c r="AA19" s="1349">
        <f t="shared" si="3"/>
        <v>1</v>
      </c>
      <c r="AB19" s="1349">
        <f t="shared" si="4"/>
        <v>1</v>
      </c>
      <c r="AC19" s="1349">
        <f t="shared" si="5"/>
        <v>1</v>
      </c>
    </row>
    <row r="20" spans="1:29" ht="15">
      <c r="A20" s="376"/>
      <c r="B20" s="404"/>
      <c r="C20" s="395"/>
      <c r="D20" s="396"/>
      <c r="E20" s="1894"/>
      <c r="F20" s="396"/>
      <c r="G20" s="1894"/>
      <c r="H20" s="396"/>
      <c r="I20" s="1893"/>
      <c r="J20" s="396"/>
      <c r="K20" s="617"/>
      <c r="L20" s="2718"/>
      <c r="M20" s="2712"/>
      <c r="N20" s="2712"/>
      <c r="O20" s="2770"/>
      <c r="P20" s="3754"/>
      <c r="Q20" s="1348"/>
      <c r="R20" s="701"/>
      <c r="S20" s="702"/>
      <c r="T20" s="701"/>
      <c r="U20" s="702"/>
      <c r="V20" s="701"/>
      <c r="W20" s="702"/>
      <c r="X20" s="1351"/>
      <c r="Y20" s="3754"/>
      <c r="Z20" s="1352"/>
      <c r="AA20" s="1349">
        <v>1</v>
      </c>
      <c r="AB20" s="1349">
        <v>1</v>
      </c>
      <c r="AC20" s="1349">
        <v>1</v>
      </c>
    </row>
    <row r="21" spans="1:29" ht="85.5">
      <c r="A21" s="376"/>
      <c r="B21" s="399" t="s">
        <v>1833</v>
      </c>
      <c r="C21" s="1896"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8"/>
      <c r="M21" s="2712"/>
      <c r="N21" s="2712"/>
      <c r="O21" s="2770"/>
      <c r="P21" s="3754"/>
      <c r="Q21" s="1348" t="str">
        <f>B21</f>
        <v>交通便捷度</v>
      </c>
      <c r="R21" s="701" t="s">
        <v>14</v>
      </c>
      <c r="S21" s="702">
        <f>F21</f>
        <v>100</v>
      </c>
      <c r="T21" s="701" t="s">
        <v>14</v>
      </c>
      <c r="U21" s="702">
        <f>H21</f>
        <v>100</v>
      </c>
      <c r="V21" s="701" t="s">
        <v>14</v>
      </c>
      <c r="W21" s="702">
        <f>J21</f>
        <v>100</v>
      </c>
      <c r="X21" s="1351"/>
      <c r="Y21" s="3754"/>
      <c r="Z21" s="1352" t="str">
        <f>Q21</f>
        <v>交通便捷度</v>
      </c>
      <c r="AA21" s="1349">
        <f t="shared" si="3"/>
        <v>1</v>
      </c>
      <c r="AB21" s="1349">
        <f t="shared" si="4"/>
        <v>1</v>
      </c>
      <c r="AC21" s="1349">
        <f t="shared" si="5"/>
        <v>1</v>
      </c>
    </row>
    <row r="22" spans="1:29" ht="15">
      <c r="A22" s="376"/>
      <c r="B22" s="1127"/>
      <c r="C22" s="395"/>
      <c r="D22" s="398"/>
      <c r="E22" s="1894"/>
      <c r="F22" s="396"/>
      <c r="G22" s="1894"/>
      <c r="H22" s="396"/>
      <c r="I22" s="1893"/>
      <c r="J22" s="396"/>
      <c r="K22" s="617"/>
      <c r="L22" s="2718"/>
      <c r="M22" s="2712"/>
      <c r="N22" s="2712"/>
      <c r="O22" s="2770"/>
      <c r="P22" s="3754"/>
      <c r="Q22" s="1348"/>
      <c r="R22" s="701"/>
      <c r="S22" s="702"/>
      <c r="T22" s="701"/>
      <c r="U22" s="702"/>
      <c r="V22" s="701"/>
      <c r="W22" s="702"/>
      <c r="X22" s="1351"/>
      <c r="Y22" s="3754"/>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8"/>
      <c r="M23" s="2712"/>
      <c r="N23" s="2712"/>
      <c r="O23" s="2770"/>
      <c r="P23" s="3754"/>
      <c r="Q23" s="1348" t="str">
        <f t="shared" ref="Q23:Q37" si="8">B23</f>
        <v>区域土地利用方向</v>
      </c>
      <c r="R23" s="701" t="s">
        <v>14</v>
      </c>
      <c r="S23" s="702">
        <f>F23</f>
        <v>100</v>
      </c>
      <c r="T23" s="701" t="s">
        <v>14</v>
      </c>
      <c r="U23" s="702">
        <f>H23</f>
        <v>100</v>
      </c>
      <c r="V23" s="701" t="s">
        <v>14</v>
      </c>
      <c r="W23" s="702">
        <f>J23</f>
        <v>100</v>
      </c>
      <c r="X23" s="1351"/>
      <c r="Y23" s="3754"/>
      <c r="Z23" s="1352" t="str">
        <f>Q23</f>
        <v>区域土地利用方向</v>
      </c>
      <c r="AA23" s="1349">
        <f t="shared" si="3"/>
        <v>1</v>
      </c>
      <c r="AB23" s="1349">
        <f t="shared" si="4"/>
        <v>1</v>
      </c>
      <c r="AC23" s="1349">
        <f t="shared" si="5"/>
        <v>1</v>
      </c>
    </row>
    <row r="24" spans="1:29" ht="15">
      <c r="A24" s="355"/>
      <c r="B24" s="404"/>
      <c r="C24" s="562"/>
      <c r="D24" s="396"/>
      <c r="E24" s="1894"/>
      <c r="F24" s="396"/>
      <c r="G24" s="1893"/>
      <c r="H24" s="396"/>
      <c r="I24" s="1893"/>
      <c r="J24" s="396"/>
      <c r="K24" s="736"/>
      <c r="L24" s="2718"/>
      <c r="M24" s="2712"/>
      <c r="N24" s="2712"/>
      <c r="O24" s="2770"/>
      <c r="P24" s="3754"/>
      <c r="Q24" s="1348"/>
      <c r="R24" s="701"/>
      <c r="S24" s="702"/>
      <c r="T24" s="701"/>
      <c r="U24" s="702"/>
      <c r="V24" s="701"/>
      <c r="W24" s="702"/>
      <c r="X24" s="1351"/>
      <c r="Y24" s="3754"/>
      <c r="Z24" s="1352"/>
      <c r="AA24" s="1349"/>
      <c r="AB24" s="1349"/>
      <c r="AC24" s="1349"/>
    </row>
    <row r="25" spans="1:29" ht="57">
      <c r="A25" s="355"/>
      <c r="B25" s="1127" t="s">
        <v>1872</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8"/>
      <c r="M25" s="2712"/>
      <c r="N25" s="2712"/>
      <c r="O25" s="2770"/>
      <c r="P25" s="3754"/>
      <c r="Q25" s="1348" t="str">
        <f t="shared" si="8"/>
        <v>自然及人文环境状况</v>
      </c>
      <c r="R25" s="701" t="s">
        <v>14</v>
      </c>
      <c r="S25" s="702">
        <f>F25</f>
        <v>100</v>
      </c>
      <c r="T25" s="701" t="s">
        <v>14</v>
      </c>
      <c r="U25" s="702">
        <f>H25</f>
        <v>100</v>
      </c>
      <c r="V25" s="701" t="s">
        <v>14</v>
      </c>
      <c r="W25" s="702">
        <f>J25</f>
        <v>100</v>
      </c>
      <c r="X25" s="1351"/>
      <c r="Y25" s="3754"/>
      <c r="Z25" s="1352" t="str">
        <f>Q25</f>
        <v>自然及人文环境状况</v>
      </c>
      <c r="AA25" s="1349">
        <f t="shared" si="3"/>
        <v>1</v>
      </c>
      <c r="AB25" s="1349">
        <f t="shared" si="4"/>
        <v>1</v>
      </c>
      <c r="AC25" s="1349">
        <f t="shared" si="5"/>
        <v>1</v>
      </c>
    </row>
    <row r="26" spans="1:29" ht="15">
      <c r="A26" s="355"/>
      <c r="B26" s="404"/>
      <c r="C26" s="395"/>
      <c r="D26" s="396"/>
      <c r="E26" s="1900"/>
      <c r="F26" s="396"/>
      <c r="G26" s="1900"/>
      <c r="H26" s="396"/>
      <c r="I26" s="395"/>
      <c r="J26" s="396"/>
      <c r="K26" s="617"/>
      <c r="L26" s="2718"/>
      <c r="M26" s="2712"/>
      <c r="N26" s="2712"/>
      <c r="O26" s="2770"/>
      <c r="P26" s="3754"/>
      <c r="Q26" s="1348"/>
      <c r="R26" s="701"/>
      <c r="S26" s="702"/>
      <c r="T26" s="701"/>
      <c r="U26" s="702"/>
      <c r="V26" s="701"/>
      <c r="W26" s="702"/>
      <c r="X26" s="1351"/>
      <c r="Y26" s="3754"/>
      <c r="Z26" s="1352"/>
      <c r="AA26" s="1349">
        <v>1</v>
      </c>
      <c r="AB26" s="1349">
        <v>1</v>
      </c>
      <c r="AC26" s="1349">
        <v>1</v>
      </c>
    </row>
    <row r="27" spans="1:29" s="108" customFormat="1" ht="42.75">
      <c r="A27" s="594"/>
      <c r="B27" s="1127" t="s">
        <v>1778</v>
      </c>
      <c r="C27" s="1896"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3"/>
      <c r="M27" s="2714"/>
      <c r="N27" s="2714"/>
      <c r="O27" s="2768"/>
      <c r="P27" s="3754"/>
      <c r="Q27" s="1339" t="str">
        <f t="shared" si="8"/>
        <v>公共配套设施</v>
      </c>
      <c r="R27" s="697" t="s">
        <v>14</v>
      </c>
      <c r="S27" s="698">
        <f>F27</f>
        <v>100</v>
      </c>
      <c r="T27" s="697" t="s">
        <v>14</v>
      </c>
      <c r="U27" s="698">
        <f>H27</f>
        <v>100</v>
      </c>
      <c r="V27" s="697" t="s">
        <v>14</v>
      </c>
      <c r="W27" s="698">
        <f>J27</f>
        <v>100</v>
      </c>
      <c r="X27" s="699"/>
      <c r="Y27" s="3754"/>
      <c r="Z27" s="52" t="str">
        <f>Q27</f>
        <v>公共配套设施</v>
      </c>
      <c r="AA27" s="1349">
        <f>D27/F27</f>
        <v>1</v>
      </c>
      <c r="AB27" s="1349">
        <f>D27/H27</f>
        <v>1</v>
      </c>
      <c r="AC27" s="1349">
        <f>D27/J27</f>
        <v>1</v>
      </c>
    </row>
    <row r="28" spans="1:29" s="108" customFormat="1" ht="15">
      <c r="A28" s="594"/>
      <c r="B28" s="404"/>
      <c r="C28" s="1974"/>
      <c r="D28" s="396"/>
      <c r="E28" s="1900"/>
      <c r="F28" s="396"/>
      <c r="G28" s="1900"/>
      <c r="H28" s="396"/>
      <c r="I28" s="395"/>
      <c r="J28" s="396"/>
      <c r="K28" s="617"/>
      <c r="L28" s="2713"/>
      <c r="M28" s="2714"/>
      <c r="N28" s="2714"/>
      <c r="O28" s="2768"/>
      <c r="P28" s="3754"/>
      <c r="Q28" s="1339"/>
      <c r="R28" s="697"/>
      <c r="S28" s="698"/>
      <c r="T28" s="697"/>
      <c r="U28" s="698"/>
      <c r="V28" s="697"/>
      <c r="W28" s="698"/>
      <c r="X28" s="699"/>
      <c r="Y28" s="3754"/>
      <c r="Z28" s="52"/>
      <c r="AA28" s="1349">
        <v>1</v>
      </c>
      <c r="AB28" s="1349">
        <v>1</v>
      </c>
      <c r="AC28" s="1349">
        <v>1</v>
      </c>
    </row>
    <row r="29" spans="1:29" s="108" customFormat="1" ht="28.5">
      <c r="A29" s="594"/>
      <c r="B29" s="1127" t="s">
        <v>1779</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3"/>
      <c r="M29" s="2714"/>
      <c r="N29" s="2714"/>
      <c r="O29" s="2768"/>
      <c r="P29" s="3754"/>
      <c r="Q29" s="1339" t="str">
        <f t="shared" ref="Q29" si="9">B29</f>
        <v>基础设施水平</v>
      </c>
      <c r="R29" s="697" t="s">
        <v>14</v>
      </c>
      <c r="S29" s="698">
        <f>F29</f>
        <v>100</v>
      </c>
      <c r="T29" s="697" t="s">
        <v>14</v>
      </c>
      <c r="U29" s="698">
        <f>H29</f>
        <v>100</v>
      </c>
      <c r="V29" s="697" t="s">
        <v>14</v>
      </c>
      <c r="W29" s="698">
        <f>J29</f>
        <v>100</v>
      </c>
      <c r="X29" s="699"/>
      <c r="Y29" s="3754"/>
      <c r="Z29" s="52" t="str">
        <f>Q29</f>
        <v>基础设施水平</v>
      </c>
      <c r="AA29" s="1349">
        <f>D29/F29</f>
        <v>1</v>
      </c>
      <c r="AB29" s="1349">
        <f>D29/H29</f>
        <v>1</v>
      </c>
      <c r="AC29" s="1349">
        <f>D29/J29</f>
        <v>1</v>
      </c>
    </row>
    <row r="30" spans="1:29" s="108" customFormat="1" ht="15">
      <c r="A30" s="594"/>
      <c r="B30" s="404"/>
      <c r="C30" s="1974"/>
      <c r="D30" s="396"/>
      <c r="E30" s="1975"/>
      <c r="F30" s="396"/>
      <c r="G30" s="1975"/>
      <c r="H30" s="396"/>
      <c r="I30" s="1975"/>
      <c r="J30" s="396"/>
      <c r="K30" s="617"/>
      <c r="L30" s="2713"/>
      <c r="M30" s="2714"/>
      <c r="N30" s="2714"/>
      <c r="O30" s="2768"/>
      <c r="P30" s="3754"/>
      <c r="Q30" s="1339"/>
      <c r="R30" s="697"/>
      <c r="S30" s="698"/>
      <c r="T30" s="697"/>
      <c r="U30" s="698"/>
      <c r="V30" s="697"/>
      <c r="W30" s="698"/>
      <c r="X30" s="699"/>
      <c r="Y30" s="3754"/>
      <c r="Z30" s="52"/>
      <c r="AA30" s="1349">
        <v>1</v>
      </c>
      <c r="AB30" s="1349">
        <v>1</v>
      </c>
      <c r="AC30" s="1349">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8"/>
      <c r="M31" s="2712"/>
      <c r="N31" s="2712"/>
      <c r="O31" s="2770"/>
      <c r="P31" s="3754"/>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54"/>
      <c r="Z31" s="1352" t="str">
        <f t="shared" ref="Z31:Z45" si="13">Q31</f>
        <v>临街状况</v>
      </c>
      <c r="AA31" s="1349">
        <f t="shared" si="3"/>
        <v>1</v>
      </c>
      <c r="AB31" s="1349">
        <f t="shared" si="4"/>
        <v>1</v>
      </c>
      <c r="AC31" s="1349">
        <f t="shared" si="5"/>
        <v>1</v>
      </c>
    </row>
    <row r="32" spans="1:29" ht="27">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8"/>
      <c r="M32" s="2712"/>
      <c r="N32" s="2712"/>
      <c r="O32" s="2770"/>
      <c r="P32" s="3754"/>
      <c r="Q32" s="1348" t="str">
        <f t="shared" si="8"/>
        <v>毗邻道路的类型与等级</v>
      </c>
      <c r="R32" s="701" t="s">
        <v>14</v>
      </c>
      <c r="S32" s="702">
        <f t="shared" si="10"/>
        <v>100</v>
      </c>
      <c r="T32" s="701" t="s">
        <v>14</v>
      </c>
      <c r="U32" s="702">
        <f t="shared" si="11"/>
        <v>100</v>
      </c>
      <c r="V32" s="701" t="s">
        <v>14</v>
      </c>
      <c r="W32" s="702">
        <f t="shared" si="12"/>
        <v>100</v>
      </c>
      <c r="X32" s="1351"/>
      <c r="Y32" s="3754"/>
      <c r="Z32" s="1352" t="str">
        <f t="shared" si="13"/>
        <v>毗邻道路的类型与等级</v>
      </c>
      <c r="AA32" s="1349">
        <f t="shared" si="3"/>
        <v>1</v>
      </c>
      <c r="AB32" s="1349">
        <f t="shared" si="4"/>
        <v>1</v>
      </c>
      <c r="AC32" s="1349">
        <f t="shared" si="5"/>
        <v>1</v>
      </c>
    </row>
    <row r="33" spans="1:29" ht="15">
      <c r="A33" s="376"/>
      <c r="B33" s="404"/>
      <c r="C33" s="395"/>
      <c r="D33" s="396"/>
      <c r="E33" s="1900"/>
      <c r="F33" s="396"/>
      <c r="G33" s="1900"/>
      <c r="H33" s="396"/>
      <c r="I33" s="395"/>
      <c r="J33" s="396"/>
      <c r="K33" s="559"/>
      <c r="L33" s="2718"/>
      <c r="M33" s="2712"/>
      <c r="N33" s="2712"/>
      <c r="O33" s="2770"/>
      <c r="P33" s="3754"/>
      <c r="Q33" s="1348"/>
      <c r="R33" s="701"/>
      <c r="S33" s="702"/>
      <c r="T33" s="701"/>
      <c r="U33" s="702"/>
      <c r="V33" s="701"/>
      <c r="W33" s="702"/>
      <c r="X33" s="1351"/>
      <c r="Y33" s="3754"/>
      <c r="Z33" s="1352"/>
      <c r="AA33" s="1349">
        <v>1</v>
      </c>
      <c r="AB33" s="1349">
        <v>1</v>
      </c>
      <c r="AC33" s="1349">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8"/>
      <c r="M34" s="2712"/>
      <c r="N34" s="2712"/>
      <c r="O34" s="2770"/>
      <c r="P34" s="3754"/>
      <c r="Q34" s="1348" t="str">
        <f t="shared" si="8"/>
        <v>土地级别</v>
      </c>
      <c r="R34" s="701" t="s">
        <v>14</v>
      </c>
      <c r="S34" s="702">
        <f t="shared" si="10"/>
        <v>100</v>
      </c>
      <c r="T34" s="701" t="s">
        <v>14</v>
      </c>
      <c r="U34" s="702">
        <f t="shared" si="11"/>
        <v>100</v>
      </c>
      <c r="V34" s="701" t="s">
        <v>14</v>
      </c>
      <c r="W34" s="702">
        <f t="shared" si="12"/>
        <v>100</v>
      </c>
      <c r="X34" s="1351"/>
      <c r="Y34" s="3754"/>
      <c r="Z34" s="1352" t="str">
        <f t="shared" si="13"/>
        <v>土地级别</v>
      </c>
      <c r="AA34" s="1349">
        <f t="shared" si="3"/>
        <v>1</v>
      </c>
      <c r="AB34" s="1349">
        <f t="shared" si="4"/>
        <v>1</v>
      </c>
      <c r="AC34" s="1349">
        <f t="shared" si="5"/>
        <v>1</v>
      </c>
    </row>
    <row r="35" spans="1:29" ht="15">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8"/>
      <c r="M35" s="2712"/>
      <c r="N35" s="2712"/>
      <c r="O35" s="2770"/>
      <c r="P35" s="3754"/>
      <c r="Q35" s="1348">
        <f t="shared" si="8"/>
        <v>111</v>
      </c>
      <c r="R35" s="701" t="s">
        <v>14</v>
      </c>
      <c r="S35" s="702">
        <f t="shared" si="10"/>
        <v>100</v>
      </c>
      <c r="T35" s="701" t="s">
        <v>14</v>
      </c>
      <c r="U35" s="702">
        <f t="shared" si="11"/>
        <v>100</v>
      </c>
      <c r="V35" s="701" t="s">
        <v>14</v>
      </c>
      <c r="W35" s="702">
        <f t="shared" si="12"/>
        <v>100</v>
      </c>
      <c r="X35" s="1351"/>
      <c r="Y35" s="3754"/>
      <c r="Z35" s="1352">
        <f t="shared" si="13"/>
        <v>111</v>
      </c>
      <c r="AA35" s="1349">
        <f t="shared" si="3"/>
        <v>1</v>
      </c>
      <c r="AB35" s="1349">
        <f t="shared" si="4"/>
        <v>1</v>
      </c>
      <c r="AC35" s="1349">
        <f t="shared" si="5"/>
        <v>1</v>
      </c>
    </row>
    <row r="36" spans="1:29" ht="15">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8"/>
      <c r="M36" s="2712"/>
      <c r="N36" s="2712"/>
      <c r="O36" s="2770"/>
      <c r="P36" s="3835" t="s">
        <v>1696</v>
      </c>
      <c r="Q36" s="1348">
        <f t="shared" si="8"/>
        <v>111</v>
      </c>
      <c r="R36" s="701" t="s">
        <v>14</v>
      </c>
      <c r="S36" s="702">
        <f t="shared" si="10"/>
        <v>100</v>
      </c>
      <c r="T36" s="701" t="s">
        <v>14</v>
      </c>
      <c r="U36" s="702">
        <f t="shared" si="11"/>
        <v>100</v>
      </c>
      <c r="V36" s="701" t="s">
        <v>14</v>
      </c>
      <c r="W36" s="702">
        <f t="shared" si="12"/>
        <v>100</v>
      </c>
      <c r="X36" s="1351"/>
      <c r="Y36" s="3758" t="s">
        <v>1696</v>
      </c>
      <c r="Z36" s="1352">
        <f t="shared" si="13"/>
        <v>111</v>
      </c>
      <c r="AA36" s="1349">
        <f t="shared" si="3"/>
        <v>1</v>
      </c>
      <c r="AB36" s="1349">
        <f t="shared" si="4"/>
        <v>1</v>
      </c>
      <c r="AC36" s="1349">
        <f t="shared" si="5"/>
        <v>1</v>
      </c>
    </row>
    <row r="37" spans="1:29" s="419" customFormat="1" ht="15.75" thickBot="1">
      <c r="A37" s="621"/>
      <c r="B37" s="1131">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7"/>
      <c r="M37" s="2719"/>
      <c r="N37" s="2719"/>
      <c r="O37" s="2771"/>
      <c r="P37" s="3758"/>
      <c r="Q37" s="1348">
        <f t="shared" si="8"/>
        <v>111</v>
      </c>
      <c r="R37" s="704" t="s">
        <v>14</v>
      </c>
      <c r="S37" s="705">
        <f t="shared" si="10"/>
        <v>100</v>
      </c>
      <c r="T37" s="704" t="s">
        <v>14</v>
      </c>
      <c r="U37" s="705">
        <f t="shared" si="11"/>
        <v>100</v>
      </c>
      <c r="V37" s="704" t="s">
        <v>14</v>
      </c>
      <c r="W37" s="705">
        <f t="shared" si="12"/>
        <v>100</v>
      </c>
      <c r="X37" s="706"/>
      <c r="Y37" s="3758"/>
      <c r="Z37" s="707">
        <f t="shared" si="13"/>
        <v>111</v>
      </c>
      <c r="AA37" s="1349">
        <f t="shared" si="3"/>
        <v>1</v>
      </c>
      <c r="AB37" s="1349">
        <f t="shared" si="4"/>
        <v>1</v>
      </c>
      <c r="AC37" s="1349">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8"/>
      <c r="M38" s="2712"/>
      <c r="N38" s="2712"/>
      <c r="O38" s="2770"/>
      <c r="P38" s="3758"/>
      <c r="Q38" s="1348" t="str">
        <f>B38</f>
        <v>宗地面积</v>
      </c>
      <c r="R38" s="701" t="s">
        <v>14</v>
      </c>
      <c r="S38" s="702" t="e">
        <f t="shared" si="10"/>
        <v>#N/A</v>
      </c>
      <c r="T38" s="701" t="s">
        <v>14</v>
      </c>
      <c r="U38" s="702" t="e">
        <f t="shared" si="11"/>
        <v>#N/A</v>
      </c>
      <c r="V38" s="701" t="s">
        <v>14</v>
      </c>
      <c r="W38" s="702" t="e">
        <f t="shared" si="12"/>
        <v>#N/A</v>
      </c>
      <c r="X38" s="1351"/>
      <c r="Y38" s="3758"/>
      <c r="Z38" s="1352" t="str">
        <f t="shared" si="13"/>
        <v>宗地面积</v>
      </c>
      <c r="AA38" s="1349" t="e">
        <f t="shared" si="3"/>
        <v>#N/A</v>
      </c>
      <c r="AB38" s="1349" t="e">
        <f t="shared" si="4"/>
        <v>#N/A</v>
      </c>
      <c r="AC38" s="1349" t="e">
        <f t="shared" si="5"/>
        <v>#N/A</v>
      </c>
    </row>
    <row r="39" spans="1:29" ht="15">
      <c r="A39" s="420"/>
      <c r="B39" s="372" t="s">
        <v>1875</v>
      </c>
      <c r="C39" s="1902"/>
      <c r="D39" s="383">
        <v>100</v>
      </c>
      <c r="E39" s="1902"/>
      <c r="F39" s="383">
        <f>SUMIF(118:118,E39,119:119)-SUMIF(118:118,C39,119:119)+100</f>
        <v>100</v>
      </c>
      <c r="G39" s="1902"/>
      <c r="H39" s="383">
        <f>SUMIF(118:118,G39,119:119)-SUMIF(118:118,C39,119:119)+100</f>
        <v>100</v>
      </c>
      <c r="I39" s="1902"/>
      <c r="J39" s="383">
        <f>SUMIF(118:118,I39,119:119)-SUMIF(118:118,C39,119:119)+100</f>
        <v>100</v>
      </c>
      <c r="K39" s="558"/>
      <c r="L39" s="2718"/>
      <c r="M39" s="2712"/>
      <c r="N39" s="2712"/>
      <c r="O39" s="2770"/>
      <c r="P39" s="3758"/>
      <c r="Q39" s="1348" t="str">
        <f t="shared" ref="Q39:Q45" si="14">B39</f>
        <v>宗地形状</v>
      </c>
      <c r="R39" s="701" t="s">
        <v>14</v>
      </c>
      <c r="S39" s="702">
        <f t="shared" si="10"/>
        <v>100</v>
      </c>
      <c r="T39" s="701" t="s">
        <v>14</v>
      </c>
      <c r="U39" s="702">
        <f t="shared" si="11"/>
        <v>100</v>
      </c>
      <c r="V39" s="701" t="s">
        <v>14</v>
      </c>
      <c r="W39" s="702">
        <f t="shared" si="12"/>
        <v>100</v>
      </c>
      <c r="X39" s="1351"/>
      <c r="Y39" s="3758"/>
      <c r="Z39" s="1352" t="str">
        <f t="shared" si="13"/>
        <v>宗地形状</v>
      </c>
      <c r="AA39" s="1349">
        <f t="shared" si="3"/>
        <v>1</v>
      </c>
      <c r="AB39" s="1349">
        <f t="shared" si="4"/>
        <v>1</v>
      </c>
      <c r="AC39" s="1349">
        <f t="shared" si="5"/>
        <v>1</v>
      </c>
    </row>
    <row r="40" spans="1:29" ht="15">
      <c r="A40" s="420"/>
      <c r="B40" s="372" t="s">
        <v>1876</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8"/>
      <c r="M40" s="2712"/>
      <c r="N40" s="2712"/>
      <c r="O40" s="2770"/>
      <c r="P40" s="3758"/>
      <c r="Q40" s="1348" t="str">
        <f t="shared" si="14"/>
        <v>临街宽度及深度</v>
      </c>
      <c r="R40" s="701" t="s">
        <v>14</v>
      </c>
      <c r="S40" s="702">
        <f t="shared" si="10"/>
        <v>100</v>
      </c>
      <c r="T40" s="701" t="s">
        <v>14</v>
      </c>
      <c r="U40" s="702">
        <f t="shared" si="11"/>
        <v>100</v>
      </c>
      <c r="V40" s="701" t="s">
        <v>14</v>
      </c>
      <c r="W40" s="702">
        <f t="shared" si="12"/>
        <v>100</v>
      </c>
      <c r="X40" s="1351"/>
      <c r="Y40" s="3758"/>
      <c r="Z40" s="1352" t="str">
        <f t="shared" si="13"/>
        <v>临街宽度及深度</v>
      </c>
      <c r="AA40" s="1349">
        <f t="shared" si="3"/>
        <v>1</v>
      </c>
      <c r="AB40" s="1349">
        <f t="shared" si="4"/>
        <v>1</v>
      </c>
      <c r="AC40" s="1349">
        <f t="shared" si="5"/>
        <v>1</v>
      </c>
    </row>
    <row r="41" spans="1:29" s="108" customFormat="1" ht="15">
      <c r="A41" s="421"/>
      <c r="B41" s="372" t="s">
        <v>1877</v>
      </c>
      <c r="C41" s="1976"/>
      <c r="D41" s="124">
        <v>100</v>
      </c>
      <c r="E41" s="1976"/>
      <c r="F41" s="383">
        <f>SUMIF(122:122,E41,123:123)-SUMIF(122:122,C41,123:123)+100</f>
        <v>100</v>
      </c>
      <c r="G41" s="1976"/>
      <c r="H41" s="383">
        <f>SUMIF(122:122,G41,123:123)-SUMIF(122:122,C41,123:123)+100</f>
        <v>100</v>
      </c>
      <c r="I41" s="1976"/>
      <c r="J41" s="383">
        <f>SUMIF(122:122,I41,123:123)-SUMIF(122:122,C41,123:123)+100</f>
        <v>100</v>
      </c>
      <c r="K41" s="558"/>
      <c r="L41" s="2713"/>
      <c r="M41" s="2714"/>
      <c r="N41" s="2714"/>
      <c r="O41" s="2768"/>
      <c r="P41" s="3758"/>
      <c r="Q41" s="1348" t="str">
        <f t="shared" si="14"/>
        <v>宗地开发程度</v>
      </c>
      <c r="R41" s="697" t="s">
        <v>14</v>
      </c>
      <c r="S41" s="698">
        <f t="shared" si="10"/>
        <v>100</v>
      </c>
      <c r="T41" s="697" t="s">
        <v>14</v>
      </c>
      <c r="U41" s="698">
        <f t="shared" si="11"/>
        <v>100</v>
      </c>
      <c r="V41" s="697" t="s">
        <v>14</v>
      </c>
      <c r="W41" s="698">
        <f t="shared" si="12"/>
        <v>100</v>
      </c>
      <c r="X41" s="699"/>
      <c r="Y41" s="3758"/>
      <c r="Z41" s="52" t="str">
        <f t="shared" si="13"/>
        <v>宗地开发程度</v>
      </c>
      <c r="AA41" s="700">
        <f t="shared" si="3"/>
        <v>1</v>
      </c>
      <c r="AB41" s="700">
        <f t="shared" si="4"/>
        <v>1</v>
      </c>
      <c r="AC41" s="700">
        <f t="shared" si="5"/>
        <v>1</v>
      </c>
    </row>
    <row r="42" spans="1:29" ht="15">
      <c r="A42" s="420"/>
      <c r="B42" s="372" t="s">
        <v>1878</v>
      </c>
      <c r="C42" s="1902"/>
      <c r="D42" s="383">
        <v>100</v>
      </c>
      <c r="E42" s="1902"/>
      <c r="F42" s="383">
        <f>SUMIF(124:124,E42,125:125)-SUMIF(124:124,C42,125:125)+100</f>
        <v>100</v>
      </c>
      <c r="G42" s="1902"/>
      <c r="H42" s="383">
        <f>SUMIF(124:124,G42,125:125)-SUMIF(124:124,C42,125:125)+100</f>
        <v>100</v>
      </c>
      <c r="I42" s="1902"/>
      <c r="J42" s="383">
        <f>SUMIF(124:124,I42,125:125)-SUMIF(124:124,C42,125:125)+100</f>
        <v>100</v>
      </c>
      <c r="K42" s="558"/>
      <c r="L42" s="2718"/>
      <c r="M42" s="2712"/>
      <c r="N42" s="2712"/>
      <c r="O42" s="2770"/>
      <c r="P42" s="3758" t="s">
        <v>1696</v>
      </c>
      <c r="Q42" s="1348" t="str">
        <f t="shared" si="14"/>
        <v>工程地质条件</v>
      </c>
      <c r="R42" s="701" t="s">
        <v>14</v>
      </c>
      <c r="S42" s="702">
        <f t="shared" si="10"/>
        <v>100</v>
      </c>
      <c r="T42" s="701" t="s">
        <v>14</v>
      </c>
      <c r="U42" s="702">
        <f t="shared" si="11"/>
        <v>100</v>
      </c>
      <c r="V42" s="701" t="s">
        <v>14</v>
      </c>
      <c r="W42" s="702">
        <f t="shared" si="12"/>
        <v>100</v>
      </c>
      <c r="X42" s="1351"/>
      <c r="Y42" s="3758" t="s">
        <v>1696</v>
      </c>
      <c r="Z42" s="1352" t="str">
        <f t="shared" si="13"/>
        <v>工程地质条件</v>
      </c>
      <c r="AA42" s="1349">
        <f t="shared" si="3"/>
        <v>1</v>
      </c>
      <c r="AB42" s="1349">
        <f t="shared" si="4"/>
        <v>1</v>
      </c>
      <c r="AC42" s="1349">
        <f t="shared" si="5"/>
        <v>1</v>
      </c>
    </row>
    <row r="43" spans="1:29" ht="15">
      <c r="A43" s="420"/>
      <c r="B43" s="1130">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8"/>
      <c r="M43" s="2712"/>
      <c r="N43" s="2712"/>
      <c r="O43" s="2770"/>
      <c r="P43" s="3758"/>
      <c r="Q43" s="1348">
        <f t="shared" si="14"/>
        <v>111</v>
      </c>
      <c r="R43" s="701" t="s">
        <v>14</v>
      </c>
      <c r="S43" s="702">
        <f t="shared" si="10"/>
        <v>100</v>
      </c>
      <c r="T43" s="701" t="s">
        <v>14</v>
      </c>
      <c r="U43" s="702">
        <f t="shared" si="11"/>
        <v>100</v>
      </c>
      <c r="V43" s="701" t="s">
        <v>14</v>
      </c>
      <c r="W43" s="702">
        <f t="shared" si="12"/>
        <v>100</v>
      </c>
      <c r="X43" s="1351"/>
      <c r="Y43" s="3758"/>
      <c r="Z43" s="1352">
        <f t="shared" si="13"/>
        <v>111</v>
      </c>
      <c r="AA43" s="1349">
        <f t="shared" si="3"/>
        <v>1</v>
      </c>
      <c r="AB43" s="1349">
        <f t="shared" si="4"/>
        <v>1</v>
      </c>
      <c r="AC43" s="1349">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8"/>
      <c r="M44" s="2712"/>
      <c r="N44" s="2712"/>
      <c r="O44" s="2770"/>
      <c r="P44" s="3758"/>
      <c r="Q44" s="1348">
        <f t="shared" si="14"/>
        <v>111</v>
      </c>
      <c r="R44" s="701" t="s">
        <v>14</v>
      </c>
      <c r="S44" s="702">
        <f t="shared" si="10"/>
        <v>100</v>
      </c>
      <c r="T44" s="701" t="s">
        <v>14</v>
      </c>
      <c r="U44" s="702">
        <f t="shared" si="11"/>
        <v>100</v>
      </c>
      <c r="V44" s="701" t="s">
        <v>14</v>
      </c>
      <c r="W44" s="702">
        <f t="shared" si="12"/>
        <v>100</v>
      </c>
      <c r="X44" s="1351"/>
      <c r="Y44" s="3758"/>
      <c r="Z44" s="1352">
        <f t="shared" si="13"/>
        <v>111</v>
      </c>
      <c r="AA44" s="1349">
        <f t="shared" si="3"/>
        <v>1</v>
      </c>
      <c r="AB44" s="1349">
        <f t="shared" si="4"/>
        <v>1</v>
      </c>
      <c r="AC44" s="1349">
        <f t="shared" si="5"/>
        <v>1</v>
      </c>
    </row>
    <row r="45" spans="1:29" s="419" customFormat="1" ht="15.75" thickBot="1">
      <c r="A45" s="416"/>
      <c r="B45" s="1130">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7"/>
      <c r="M45" s="2719"/>
      <c r="N45" s="2719"/>
      <c r="O45" s="2771"/>
      <c r="P45" s="3758"/>
      <c r="Q45" s="1348">
        <f t="shared" si="14"/>
        <v>111</v>
      </c>
      <c r="R45" s="704" t="s">
        <v>14</v>
      </c>
      <c r="S45" s="705">
        <f t="shared" si="10"/>
        <v>100</v>
      </c>
      <c r="T45" s="704" t="s">
        <v>14</v>
      </c>
      <c r="U45" s="705">
        <f t="shared" si="11"/>
        <v>100</v>
      </c>
      <c r="V45" s="704" t="s">
        <v>14</v>
      </c>
      <c r="W45" s="705">
        <f t="shared" si="12"/>
        <v>100</v>
      </c>
      <c r="X45" s="706"/>
      <c r="Y45" s="3758"/>
      <c r="Z45" s="707">
        <f t="shared" si="13"/>
        <v>111</v>
      </c>
      <c r="AA45" s="1349">
        <f t="shared" si="3"/>
        <v>1</v>
      </c>
      <c r="AB45" s="1349">
        <f t="shared" si="4"/>
        <v>1</v>
      </c>
      <c r="AC45" s="1349">
        <f t="shared" si="5"/>
        <v>1</v>
      </c>
    </row>
    <row r="46" spans="1:29" ht="15">
      <c r="A46" s="427" t="s">
        <v>1844</v>
      </c>
      <c r="B46" s="1978" t="s">
        <v>1879</v>
      </c>
      <c r="C46" s="627" t="s">
        <v>0</v>
      </c>
      <c r="D46" s="429"/>
      <c r="E46" s="430"/>
      <c r="F46" s="431"/>
      <c r="G46" s="432"/>
      <c r="H46" s="433"/>
      <c r="I46" s="430"/>
      <c r="J46" s="433"/>
      <c r="K46" s="710"/>
      <c r="L46" s="2720"/>
      <c r="M46" s="2721"/>
      <c r="N46" s="2712"/>
      <c r="O46" s="2721"/>
      <c r="P46" s="3746" t="str">
        <f>A46</f>
        <v>成交单价</v>
      </c>
      <c r="Q46" s="3746"/>
      <c r="R46" s="3780">
        <f>E46</f>
        <v>0</v>
      </c>
      <c r="S46" s="3780"/>
      <c r="T46" s="3780">
        <f>G46</f>
        <v>0</v>
      </c>
      <c r="U46" s="3780"/>
      <c r="V46" s="3780">
        <f>I46</f>
        <v>0</v>
      </c>
      <c r="W46" s="3780"/>
      <c r="X46" s="686"/>
      <c r="Y46" s="708"/>
      <c r="Z46" s="686"/>
      <c r="AA46" s="686"/>
      <c r="AB46" s="686"/>
      <c r="AC46" s="686"/>
    </row>
    <row r="47" spans="1:29" ht="15.75" thickBot="1">
      <c r="A47" s="434" t="s">
        <v>1793</v>
      </c>
      <c r="B47" s="628"/>
      <c r="C47" s="437" t="e">
        <f>R48</f>
        <v>#DIV/0!</v>
      </c>
      <c r="D47" s="2313" t="s">
        <v>2138</v>
      </c>
      <c r="E47" s="437" t="e">
        <f>R47</f>
        <v>#DIV/0!</v>
      </c>
      <c r="F47" s="2314"/>
      <c r="G47" s="436" t="e">
        <f>T47</f>
        <v>#DIV/0!</v>
      </c>
      <c r="H47" s="2314"/>
      <c r="I47" s="437" t="e">
        <f>V47</f>
        <v>#DIV/0!</v>
      </c>
      <c r="J47" s="2314"/>
      <c r="K47" s="2316">
        <f>F47+H47+J47</f>
        <v>0</v>
      </c>
      <c r="L47" s="2720"/>
      <c r="M47" s="2721"/>
      <c r="N47" s="2721"/>
      <c r="O47" s="2721"/>
      <c r="P47" s="3746" t="str">
        <f>A47</f>
        <v>比较价值（元/平方米）</v>
      </c>
      <c r="Q47" s="3746"/>
      <c r="R47" s="3837" t="e">
        <f>ROUND(PRODUCT(R46,AA7:AA45),0)</f>
        <v>#DIV/0!</v>
      </c>
      <c r="S47" s="3837"/>
      <c r="T47" s="3837" t="e">
        <f>ROUND(PRODUCT(T46,AB7:AB45),0)</f>
        <v>#DIV/0!</v>
      </c>
      <c r="U47" s="3837"/>
      <c r="V47" s="3837" t="e">
        <f>ROUND(PRODUCT(V46,AC7:AC45),0)</f>
        <v>#DIV/0!</v>
      </c>
      <c r="W47" s="3837"/>
      <c r="X47" s="686"/>
      <c r="Y47" s="686"/>
      <c r="Z47" s="686"/>
      <c r="AA47" s="686"/>
      <c r="AB47" s="686"/>
      <c r="AC47" s="686"/>
    </row>
    <row r="48" spans="1:29" ht="15.75" thickBot="1">
      <c r="A48" s="438" t="s">
        <v>1880</v>
      </c>
      <c r="B48" s="439"/>
      <c r="C48" s="440" t="e">
        <f>R48</f>
        <v>#DIV/0!</v>
      </c>
      <c r="D48" s="440"/>
      <c r="E48" s="440"/>
      <c r="F48" s="440"/>
      <c r="G48" s="440"/>
      <c r="H48" s="440"/>
      <c r="I48" s="440"/>
      <c r="J48" s="440"/>
      <c r="K48" s="711"/>
      <c r="L48" s="2720"/>
      <c r="M48" s="2721"/>
      <c r="N48" s="2721"/>
      <c r="O48" s="2721"/>
      <c r="P48" s="3825" t="str">
        <f>A48</f>
        <v>估价对象XX用房的比较价值（楼面单价，元/平方米）</v>
      </c>
      <c r="Q48" s="3826"/>
      <c r="R48" s="3838" t="e">
        <f>ROUND(IF(D47="简单平均",AVERAGE(R47:W47),R47*F47+T47*H47+V47*J47),0)</f>
        <v>#DIV/0!</v>
      </c>
      <c r="S48" s="3838"/>
      <c r="T48" s="3838"/>
      <c r="U48" s="3838"/>
      <c r="V48" s="3838"/>
      <c r="W48" s="3838"/>
      <c r="X48" s="686"/>
      <c r="Y48" s="686"/>
      <c r="Z48" s="686"/>
      <c r="AA48" s="686"/>
      <c r="AB48" s="686"/>
      <c r="AC48" s="686"/>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8" customFormat="1" ht="13.5" customHeight="1">
      <c r="A53" s="2724"/>
      <c r="B53" s="2724"/>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8" customFormat="1" ht="15" thickBot="1">
      <c r="A54" s="2724"/>
      <c r="B54" s="2727"/>
      <c r="C54" s="689"/>
      <c r="D54" s="687"/>
      <c r="E54" s="687"/>
      <c r="F54" s="687"/>
      <c r="G54" s="687"/>
      <c r="H54" s="687"/>
      <c r="I54" s="687"/>
      <c r="J54" s="687"/>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29" t="s">
        <v>1881</v>
      </c>
      <c r="B55" s="630" t="s">
        <v>1882</v>
      </c>
      <c r="C55" s="1979" t="s">
        <v>1883</v>
      </c>
      <c r="D55" s="1980" t="s">
        <v>1884</v>
      </c>
      <c r="E55" s="631" t="s">
        <v>1885</v>
      </c>
      <c r="F55" s="886" t="s">
        <v>1886</v>
      </c>
      <c r="G55" s="3763" t="s">
        <v>1887</v>
      </c>
      <c r="H55" s="3839"/>
      <c r="I55" s="132"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7" customFormat="1">
      <c r="A56" s="633" t="s">
        <v>1890</v>
      </c>
      <c r="B56" s="634" t="e">
        <f>C48</f>
        <v>#DIV/0!</v>
      </c>
      <c r="C56" s="635">
        <v>1</v>
      </c>
      <c r="D56" s="940">
        <v>1</v>
      </c>
      <c r="E56" s="635">
        <f>'数据-汇总表'!E8+'数据-汇总表'!E9</f>
        <v>247091.11999999997</v>
      </c>
      <c r="F56" s="882" t="e">
        <f t="shared" ref="F56:F64" si="15">ROUND(B56*E56/10000,0)</f>
        <v>#DIV/0!</v>
      </c>
      <c r="G56" s="3745"/>
      <c r="H56" s="3746"/>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7" customFormat="1">
      <c r="A57" s="638" t="s">
        <v>1891</v>
      </c>
      <c r="B57" s="215" t="e">
        <f>ROUND($C$48*C57*D57,0)</f>
        <v>#DIV/0!</v>
      </c>
      <c r="C57" s="168">
        <f t="shared" ref="C57:C64" si="16">IF($C$55="北京市系数",I57,J57)</f>
        <v>0</v>
      </c>
      <c r="D57" s="941">
        <v>0.25</v>
      </c>
      <c r="E57" s="639"/>
      <c r="F57" s="882" t="e">
        <f t="shared" si="15"/>
        <v>#DIV/0!</v>
      </c>
      <c r="G57" s="3002" t="s">
        <v>1892</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7" customFormat="1">
      <c r="A58" s="638" t="s">
        <v>1893</v>
      </c>
      <c r="B58" s="215" t="e">
        <f t="shared" ref="B58:B64" si="17">ROUND($C$48*C58*D58,0)</f>
        <v>#DIV/0!</v>
      </c>
      <c r="C58" s="168">
        <f t="shared" si="16"/>
        <v>0</v>
      </c>
      <c r="D58" s="941">
        <v>0.25</v>
      </c>
      <c r="E58" s="639"/>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7" customFormat="1">
      <c r="A59" s="638" t="s">
        <v>1894</v>
      </c>
      <c r="B59" s="215" t="e">
        <f t="shared" si="17"/>
        <v>#DIV/0!</v>
      </c>
      <c r="C59" s="168">
        <f t="shared" si="16"/>
        <v>0</v>
      </c>
      <c r="D59" s="941">
        <v>0.25</v>
      </c>
      <c r="E59" s="639"/>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7" customFormat="1">
      <c r="A60" s="638" t="s">
        <v>1895</v>
      </c>
      <c r="B60" s="215" t="e">
        <f t="shared" si="17"/>
        <v>#DIV/0!</v>
      </c>
      <c r="C60" s="168">
        <f t="shared" si="16"/>
        <v>0</v>
      </c>
      <c r="D60" s="941">
        <v>0.25</v>
      </c>
      <c r="E60" s="214">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7" customFormat="1">
      <c r="A61" s="638" t="s">
        <v>1897</v>
      </c>
      <c r="B61" s="215" t="e">
        <f t="shared" si="17"/>
        <v>#DIV/0!</v>
      </c>
      <c r="C61" s="168">
        <f t="shared" si="16"/>
        <v>0</v>
      </c>
      <c r="D61" s="941">
        <v>0.25</v>
      </c>
      <c r="E61" s="214">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7" customFormat="1">
      <c r="A62" s="638" t="s">
        <v>1899</v>
      </c>
      <c r="B62" s="215" t="e">
        <f t="shared" si="17"/>
        <v>#DIV/0!</v>
      </c>
      <c r="C62" s="168">
        <f t="shared" si="16"/>
        <v>0</v>
      </c>
      <c r="D62" s="941">
        <v>0.25</v>
      </c>
      <c r="E62" s="214">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7" customFormat="1">
      <c r="A63" s="638" t="s">
        <v>1901</v>
      </c>
      <c r="B63" s="215" t="e">
        <f t="shared" si="17"/>
        <v>#DIV/0!</v>
      </c>
      <c r="C63" s="168">
        <f t="shared" si="16"/>
        <v>0</v>
      </c>
      <c r="D63" s="941">
        <v>0.25</v>
      </c>
      <c r="E63" s="214">
        <f>'数据-汇总表'!E14</f>
        <v>0</v>
      </c>
      <c r="F63" s="882" t="e">
        <f t="shared" si="15"/>
        <v>#DIV/0!</v>
      </c>
      <c r="G63" s="1983" t="s">
        <v>1892</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7" customFormat="1" ht="15" thickBot="1">
      <c r="A64" s="638" t="s">
        <v>1902</v>
      </c>
      <c r="B64" s="215" t="e">
        <f t="shared" si="17"/>
        <v>#DIV/0!</v>
      </c>
      <c r="C64" s="168">
        <f t="shared" si="16"/>
        <v>0</v>
      </c>
      <c r="D64" s="941">
        <v>0.25</v>
      </c>
      <c r="E64" s="214">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7" customFormat="1" ht="13.5" thickBot="1">
      <c r="A65" s="640" t="s">
        <v>1903</v>
      </c>
      <c r="B65" s="641" t="s">
        <v>22</v>
      </c>
      <c r="C65" s="641" t="s">
        <v>23</v>
      </c>
      <c r="D65" s="641" t="s">
        <v>392</v>
      </c>
      <c r="E65" s="641">
        <f>IF(B46="楼面地价",SUM(E56:E64),'数据-汇总表'!D3)</f>
        <v>247091.11999999997</v>
      </c>
      <c r="F65" s="642" t="e">
        <f>IF(B46="楼面地价",SUM(F56:F64),ROUND(C48*E65/10000,0))</f>
        <v>#DIV/0!</v>
      </c>
      <c r="G65" s="713"/>
      <c r="H65" s="713"/>
      <c r="I65" s="713"/>
      <c r="J65" s="713"/>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6"/>
      <c r="B66" s="688"/>
      <c r="C66" s="689"/>
      <c r="D66" s="686"/>
      <c r="E66" s="686"/>
      <c r="F66" s="686"/>
      <c r="G66" s="686"/>
      <c r="H66" s="686"/>
      <c r="I66" s="686"/>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6"/>
      <c r="B67" s="688"/>
      <c r="C67" s="688" t="str">
        <f>YEAR(C7)&amp;"-"&amp;MONTH(C7)&amp;"-1"</f>
        <v>2024-5-1</v>
      </c>
      <c r="D67" s="688">
        <f>EDATE(C67,-3)</f>
        <v>45323</v>
      </c>
      <c r="E67" s="688">
        <f>EDATE(D67,-3)</f>
        <v>45231</v>
      </c>
      <c r="F67" s="688">
        <f t="shared" ref="F67:O67" si="18">EDATE(E67,-3)</f>
        <v>45139</v>
      </c>
      <c r="G67" s="688">
        <f t="shared" si="18"/>
        <v>45047</v>
      </c>
      <c r="H67" s="688">
        <f t="shared" si="18"/>
        <v>44958</v>
      </c>
      <c r="I67" s="688">
        <f t="shared" si="18"/>
        <v>44866</v>
      </c>
      <c r="J67" s="688">
        <f t="shared" si="18"/>
        <v>44774</v>
      </c>
      <c r="K67" s="688">
        <f t="shared" si="18"/>
        <v>44682</v>
      </c>
      <c r="L67" s="688">
        <f t="shared" si="18"/>
        <v>44593</v>
      </c>
      <c r="M67" s="688">
        <f t="shared" si="18"/>
        <v>44501</v>
      </c>
      <c r="N67" s="688">
        <f t="shared" si="18"/>
        <v>44409</v>
      </c>
      <c r="O67" s="688">
        <f t="shared" si="18"/>
        <v>44317</v>
      </c>
      <c r="P67" s="2721"/>
      <c r="Q67" s="2721"/>
      <c r="R67" s="2721"/>
      <c r="S67" s="2721"/>
      <c r="T67" s="2721"/>
      <c r="U67" s="2721"/>
      <c r="V67" s="2721"/>
      <c r="W67" s="2721"/>
      <c r="X67" s="2721"/>
      <c r="Y67" s="2721"/>
      <c r="Z67" s="2721"/>
      <c r="AA67" s="2721"/>
      <c r="AB67" s="2721"/>
      <c r="AC67" s="2721"/>
    </row>
    <row r="68" spans="1:29" ht="21.75" thickBot="1">
      <c r="A68" s="690" t="s">
        <v>1798</v>
      </c>
      <c r="B68" s="686"/>
      <c r="C68" s="691"/>
      <c r="D68" s="691"/>
      <c r="E68" s="691"/>
      <c r="F68" s="692"/>
      <c r="G68" s="692"/>
      <c r="H68" s="691"/>
      <c r="I68" s="691"/>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4" customFormat="1" ht="15">
      <c r="A69" s="1985"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35"/>
      <c r="Q70" s="2657"/>
      <c r="R70" s="2657"/>
      <c r="S70" s="2657"/>
      <c r="T70" s="2657"/>
      <c r="U70" s="2657"/>
      <c r="V70" s="2657"/>
      <c r="W70" s="2657"/>
      <c r="X70" s="2657"/>
      <c r="Y70" s="2657"/>
      <c r="Z70" s="2657"/>
      <c r="AA70" s="2657"/>
      <c r="AB70" s="2657"/>
      <c r="AC70" s="2657"/>
    </row>
    <row r="71" spans="1:29" s="108" customFormat="1" ht="15.75" thickBot="1">
      <c r="A71" s="461" t="s">
        <v>1716</v>
      </c>
      <c r="B71" s="462"/>
      <c r="C71" s="463"/>
      <c r="D71" s="464"/>
      <c r="E71" s="464"/>
      <c r="F71" s="464"/>
      <c r="G71" s="464"/>
      <c r="H71" s="464"/>
      <c r="I71" s="464"/>
      <c r="J71" s="464"/>
      <c r="K71" s="464"/>
      <c r="L71" s="464"/>
      <c r="M71" s="465"/>
      <c r="N71" s="464"/>
      <c r="O71" s="939"/>
      <c r="P71" s="2735"/>
      <c r="Q71" s="2735"/>
      <c r="R71" s="2657"/>
      <c r="S71" s="2657"/>
      <c r="T71" s="2657"/>
      <c r="U71" s="2657"/>
      <c r="V71" s="2657"/>
      <c r="W71" s="2657"/>
      <c r="X71" s="2657"/>
      <c r="Y71" s="2657"/>
      <c r="Z71" s="2657"/>
      <c r="AA71" s="2657"/>
      <c r="AB71" s="2657"/>
      <c r="AC71" s="2657"/>
    </row>
    <row r="72" spans="1:29" s="108" customFormat="1" ht="15">
      <c r="A72" s="467" t="s">
        <v>1681</v>
      </c>
      <c r="B72" s="456"/>
      <c r="C72" s="468" t="s">
        <v>1776</v>
      </c>
      <c r="D72" s="469"/>
      <c r="E72" s="469"/>
      <c r="F72" s="469"/>
      <c r="G72" s="469"/>
      <c r="H72" s="469"/>
      <c r="I72" s="469"/>
      <c r="J72" s="469"/>
      <c r="K72" s="469"/>
      <c r="L72" s="470"/>
      <c r="M72" s="471"/>
      <c r="N72" s="2748"/>
      <c r="O72" s="2748"/>
      <c r="P72" s="2773"/>
      <c r="Q72" s="2735"/>
      <c r="R72" s="2657"/>
      <c r="S72" s="2657"/>
      <c r="T72" s="2657"/>
      <c r="U72" s="2657"/>
      <c r="V72" s="2657"/>
      <c r="W72" s="2657"/>
      <c r="X72" s="2657"/>
      <c r="Y72" s="2657"/>
      <c r="Z72" s="2657"/>
      <c r="AA72" s="2657"/>
      <c r="AB72" s="2657"/>
      <c r="AC72" s="2657"/>
    </row>
    <row r="73" spans="1:29" s="108" customFormat="1" ht="15.75" thickBot="1">
      <c r="A73" s="467"/>
      <c r="B73" s="456"/>
      <c r="C73" s="584">
        <v>100</v>
      </c>
      <c r="D73" s="458"/>
      <c r="E73" s="458"/>
      <c r="F73" s="458"/>
      <c r="G73" s="458"/>
      <c r="H73" s="458"/>
      <c r="I73" s="458"/>
      <c r="J73" s="458"/>
      <c r="K73" s="458"/>
      <c r="L73" s="458"/>
      <c r="M73" s="460"/>
      <c r="N73" s="2748"/>
      <c r="O73" s="2748"/>
      <c r="P73" s="2735"/>
      <c r="Q73" s="2735"/>
      <c r="R73" s="2657"/>
      <c r="S73" s="2657"/>
      <c r="T73" s="2657"/>
      <c r="U73" s="2657"/>
      <c r="V73" s="2657"/>
      <c r="W73" s="2657"/>
      <c r="X73" s="2657"/>
      <c r="Y73" s="2657"/>
      <c r="Z73" s="2657"/>
      <c r="AA73" s="2657"/>
      <c r="AB73" s="2657"/>
      <c r="AC73" s="2657"/>
    </row>
    <row r="74" spans="1:29">
      <c r="A74" s="473" t="s">
        <v>1719</v>
      </c>
      <c r="B74" s="474" t="s">
        <v>1685</v>
      </c>
      <c r="C74" s="476"/>
      <c r="D74" s="476"/>
      <c r="E74" s="476"/>
      <c r="F74" s="476"/>
      <c r="G74" s="476"/>
      <c r="H74" s="476"/>
      <c r="I74" s="476"/>
      <c r="J74" s="476"/>
      <c r="K74" s="477"/>
      <c r="L74" s="478"/>
      <c r="M74" s="479"/>
      <c r="N74" s="2749"/>
      <c r="O74" s="2749"/>
      <c r="P74" s="2774"/>
      <c r="Q74" s="2735"/>
      <c r="R74" s="2721"/>
      <c r="S74" s="2721"/>
      <c r="T74" s="2721"/>
      <c r="U74" s="2721"/>
      <c r="V74" s="2721"/>
      <c r="W74" s="2721"/>
      <c r="X74" s="2721"/>
      <c r="Y74" s="2721"/>
      <c r="Z74" s="2721"/>
      <c r="AA74" s="2721"/>
      <c r="AB74" s="2721"/>
      <c r="AC74" s="2721"/>
    </row>
    <row r="75" spans="1:29" ht="15.75" thickBot="1">
      <c r="A75" s="480"/>
      <c r="B75" s="481"/>
      <c r="C75" s="482"/>
      <c r="D75" s="482"/>
      <c r="E75" s="482"/>
      <c r="F75" s="482"/>
      <c r="G75" s="482"/>
      <c r="H75" s="482"/>
      <c r="I75" s="482"/>
      <c r="J75" s="482"/>
      <c r="K75" s="482"/>
      <c r="L75" s="482"/>
      <c r="M75" s="483"/>
      <c r="N75" s="2750"/>
      <c r="O75" s="2750"/>
      <c r="P75" s="2774"/>
      <c r="Q75" s="2735"/>
      <c r="R75" s="2721"/>
      <c r="S75" s="2721"/>
      <c r="T75" s="2721"/>
      <c r="U75" s="2721"/>
      <c r="V75" s="2721"/>
      <c r="W75" s="2721"/>
      <c r="X75" s="2721"/>
      <c r="Y75" s="2721"/>
      <c r="Z75" s="2721"/>
      <c r="AA75" s="2721"/>
      <c r="AB75" s="2721"/>
      <c r="AC75" s="2721"/>
    </row>
    <row r="76" spans="1:29" ht="27.75" thickTop="1">
      <c r="A76" s="480"/>
      <c r="B76" s="484" t="s">
        <v>1688</v>
      </c>
      <c r="C76" s="485"/>
      <c r="D76" s="485"/>
      <c r="E76" s="485"/>
      <c r="F76" s="485"/>
      <c r="G76" s="485"/>
      <c r="H76" s="485"/>
      <c r="I76" s="485"/>
      <c r="J76" s="485"/>
      <c r="K76" s="486"/>
      <c r="L76" s="487"/>
      <c r="M76" s="488"/>
      <c r="N76" s="2749"/>
      <c r="O76" s="2749"/>
      <c r="P76" s="2774"/>
      <c r="Q76" s="2735"/>
      <c r="R76" s="2721"/>
      <c r="S76" s="2721"/>
      <c r="T76" s="2721"/>
      <c r="U76" s="2721"/>
      <c r="V76" s="2721"/>
      <c r="W76" s="2721"/>
      <c r="X76" s="2721"/>
      <c r="Y76" s="2721"/>
      <c r="Z76" s="2721"/>
      <c r="AA76" s="2721"/>
      <c r="AB76" s="2721"/>
      <c r="AC76" s="2721"/>
    </row>
    <row r="77" spans="1:29" ht="15.75" thickBot="1">
      <c r="A77" s="480"/>
      <c r="B77" s="489"/>
      <c r="C77" s="490"/>
      <c r="D77" s="490"/>
      <c r="E77" s="490"/>
      <c r="F77" s="490"/>
      <c r="G77" s="490"/>
      <c r="H77" s="490"/>
      <c r="I77" s="490"/>
      <c r="J77" s="490"/>
      <c r="K77" s="490"/>
      <c r="L77" s="490"/>
      <c r="M77" s="491"/>
      <c r="N77" s="2750"/>
      <c r="O77" s="2750"/>
      <c r="P77" s="2774"/>
      <c r="Q77" s="2735"/>
      <c r="R77" s="2721"/>
      <c r="S77" s="2721"/>
      <c r="T77" s="2721"/>
      <c r="U77" s="2721"/>
      <c r="V77" s="2721"/>
      <c r="W77" s="2721"/>
      <c r="X77" s="2721"/>
      <c r="Y77" s="2721"/>
      <c r="Z77" s="2721"/>
      <c r="AA77" s="2721"/>
      <c r="AB77" s="2721"/>
      <c r="AC77" s="2721"/>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0"/>
      <c r="B79" s="494"/>
      <c r="C79" s="495"/>
      <c r="D79" s="495"/>
      <c r="E79" s="495"/>
      <c r="F79" s="495"/>
      <c r="G79" s="495"/>
      <c r="H79" s="495"/>
      <c r="I79" s="495"/>
      <c r="J79" s="495"/>
      <c r="K79" s="496"/>
      <c r="L79" s="497"/>
      <c r="M79" s="498"/>
      <c r="N79" s="2749"/>
      <c r="O79" s="2749"/>
      <c r="P79" s="2774"/>
      <c r="Q79" s="2735"/>
      <c r="R79" s="2721"/>
      <c r="S79" s="2721"/>
      <c r="T79" s="2721"/>
      <c r="U79" s="2721"/>
      <c r="V79" s="2721"/>
      <c r="W79" s="2721"/>
      <c r="X79" s="2721"/>
      <c r="Y79" s="2721"/>
      <c r="Z79" s="2721"/>
      <c r="AA79" s="2721"/>
      <c r="AB79" s="2721"/>
      <c r="AC79" s="2721"/>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50"/>
      <c r="O80" s="2750"/>
      <c r="P80" s="2774"/>
      <c r="Q80" s="2735"/>
      <c r="R80" s="2721"/>
      <c r="S80" s="2721"/>
      <c r="T80" s="2721"/>
      <c r="U80" s="2721"/>
      <c r="V80" s="2721"/>
      <c r="W80" s="2721"/>
      <c r="X80" s="2721"/>
      <c r="Y80" s="2721"/>
      <c r="Z80" s="2721"/>
      <c r="AA80" s="2721"/>
      <c r="AB80" s="2721"/>
      <c r="AC80" s="2721"/>
    </row>
    <row r="81" spans="1:29" s="419" customFormat="1" ht="15.75" thickTop="1">
      <c r="A81" s="499"/>
      <c r="B81" s="484" t="str">
        <f>B12</f>
        <v>配建</v>
      </c>
      <c r="C81" s="500"/>
      <c r="D81" s="500"/>
      <c r="E81" s="500"/>
      <c r="F81" s="500"/>
      <c r="G81" s="500"/>
      <c r="H81" s="501"/>
      <c r="I81" s="501"/>
      <c r="J81" s="501"/>
      <c r="K81" s="501"/>
      <c r="L81" s="502"/>
      <c r="M81" s="503"/>
      <c r="N81" s="2751"/>
      <c r="O81" s="2751"/>
      <c r="P81" s="2775"/>
      <c r="Q81" s="2742"/>
      <c r="R81" s="2743"/>
      <c r="S81" s="2743"/>
      <c r="T81" s="2743"/>
      <c r="U81" s="2743"/>
      <c r="V81" s="2743"/>
      <c r="W81" s="2743"/>
      <c r="X81" s="2743"/>
      <c r="Y81" s="2743"/>
      <c r="Z81" s="2743"/>
      <c r="AA81" s="2743"/>
      <c r="AB81" s="2743"/>
      <c r="AC81" s="2743"/>
    </row>
    <row r="82" spans="1:29" s="419" customFormat="1" ht="15.75" thickBot="1">
      <c r="A82" s="499"/>
      <c r="B82" s="489"/>
      <c r="C82" s="506"/>
      <c r="D82" s="482"/>
      <c r="E82" s="482"/>
      <c r="F82" s="482"/>
      <c r="G82" s="482"/>
      <c r="H82" s="482"/>
      <c r="I82" s="482"/>
      <c r="J82" s="482"/>
      <c r="K82" s="482"/>
      <c r="L82" s="482"/>
      <c r="M82" s="483"/>
      <c r="N82" s="2750"/>
      <c r="O82" s="2750"/>
      <c r="P82" s="2775"/>
      <c r="Q82" s="2742"/>
      <c r="R82" s="2743"/>
      <c r="S82" s="2743"/>
      <c r="T82" s="2743"/>
      <c r="U82" s="2743"/>
      <c r="V82" s="2743"/>
      <c r="W82" s="2743"/>
      <c r="X82" s="2743"/>
      <c r="Y82" s="2743"/>
      <c r="Z82" s="2743"/>
      <c r="AA82" s="2743"/>
      <c r="AB82" s="2743"/>
      <c r="AC82" s="2743"/>
    </row>
    <row r="83" spans="1:29" s="419" customFormat="1" ht="15.75" thickTop="1">
      <c r="A83" s="499"/>
      <c r="B83" s="484">
        <f>B13</f>
        <v>111</v>
      </c>
      <c r="C83" s="500"/>
      <c r="D83" s="500"/>
      <c r="E83" s="500"/>
      <c r="F83" s="500"/>
      <c r="G83" s="500"/>
      <c r="H83" s="501"/>
      <c r="I83" s="501"/>
      <c r="J83" s="501"/>
      <c r="K83" s="501"/>
      <c r="L83" s="502"/>
      <c r="M83" s="503"/>
      <c r="N83" s="2751"/>
      <c r="O83" s="2751"/>
      <c r="P83" s="2719"/>
      <c r="Q83" s="2745"/>
      <c r="R83" s="2743"/>
      <c r="S83" s="2743"/>
      <c r="T83" s="2743"/>
      <c r="U83" s="2743"/>
      <c r="V83" s="2743"/>
      <c r="W83" s="2743"/>
      <c r="X83" s="2743"/>
      <c r="Y83" s="2743"/>
      <c r="Z83" s="2743"/>
      <c r="AA83" s="2743"/>
      <c r="AB83" s="2743"/>
      <c r="AC83" s="2743"/>
    </row>
    <row r="84" spans="1:29" s="419" customFormat="1" ht="15.75" thickBot="1">
      <c r="A84" s="499"/>
      <c r="B84" s="489"/>
      <c r="C84" s="506"/>
      <c r="D84" s="506"/>
      <c r="E84" s="506"/>
      <c r="F84" s="506"/>
      <c r="G84" s="506"/>
      <c r="H84" s="508"/>
      <c r="I84" s="508"/>
      <c r="J84" s="508"/>
      <c r="K84" s="508"/>
      <c r="L84" s="508"/>
      <c r="M84" s="509"/>
      <c r="N84" s="2751"/>
      <c r="O84" s="2751"/>
      <c r="P84" s="2775"/>
      <c r="Q84" s="2742"/>
      <c r="R84" s="2743"/>
      <c r="S84" s="2743"/>
      <c r="T84" s="2743"/>
      <c r="U84" s="2743"/>
      <c r="V84" s="2743"/>
      <c r="W84" s="2743"/>
      <c r="X84" s="2743"/>
      <c r="Y84" s="2743"/>
      <c r="Z84" s="2743"/>
      <c r="AA84" s="2743"/>
      <c r="AB84" s="2743"/>
      <c r="AC84" s="2743"/>
    </row>
    <row r="85" spans="1:29" s="419" customFormat="1" ht="15.75" thickTop="1">
      <c r="A85" s="499"/>
      <c r="B85" s="492">
        <f>B14</f>
        <v>111</v>
      </c>
      <c r="C85" s="469"/>
      <c r="D85" s="469"/>
      <c r="E85" s="469"/>
      <c r="F85" s="469"/>
      <c r="G85" s="469"/>
      <c r="H85" s="510"/>
      <c r="I85" s="510"/>
      <c r="J85" s="510"/>
      <c r="K85" s="510"/>
      <c r="L85" s="511"/>
      <c r="M85" s="512"/>
      <c r="N85" s="2751"/>
      <c r="O85" s="2751"/>
      <c r="P85" s="2780"/>
      <c r="Q85" s="2742"/>
      <c r="R85" s="2743"/>
      <c r="S85" s="2743"/>
      <c r="T85" s="2743"/>
      <c r="U85" s="2743"/>
      <c r="V85" s="2743"/>
      <c r="W85" s="2743"/>
      <c r="X85" s="2743"/>
      <c r="Y85" s="2743"/>
      <c r="Z85" s="2743"/>
      <c r="AA85" s="2743"/>
      <c r="AB85" s="2743"/>
      <c r="AC85" s="2743"/>
    </row>
    <row r="86" spans="1:29" s="419" customFormat="1" ht="15.75" thickBot="1">
      <c r="A86" s="514"/>
      <c r="B86" s="515"/>
      <c r="C86" s="516"/>
      <c r="D86" s="516"/>
      <c r="E86" s="516"/>
      <c r="F86" s="516"/>
      <c r="G86" s="516"/>
      <c r="H86" s="517"/>
      <c r="I86" s="517"/>
      <c r="J86" s="517"/>
      <c r="K86" s="517"/>
      <c r="L86" s="517"/>
      <c r="M86" s="518"/>
      <c r="N86" s="2751"/>
      <c r="O86" s="2751"/>
      <c r="P86" s="2775"/>
      <c r="Q86" s="2742"/>
      <c r="R86" s="2743"/>
      <c r="S86" s="2743"/>
      <c r="T86" s="2743"/>
      <c r="U86" s="2743"/>
      <c r="V86" s="2743"/>
      <c r="W86" s="2743"/>
      <c r="X86" s="2743"/>
      <c r="Y86" s="2743"/>
      <c r="Z86" s="2743"/>
      <c r="AA86" s="2743"/>
      <c r="AB86" s="2743"/>
      <c r="AC86" s="2743"/>
    </row>
    <row r="87" spans="1:29">
      <c r="A87" s="473" t="s">
        <v>1690</v>
      </c>
      <c r="B87" s="474" t="s">
        <v>1720</v>
      </c>
      <c r="C87" s="519" t="s">
        <v>1721</v>
      </c>
      <c r="D87" s="519" t="s">
        <v>1722</v>
      </c>
      <c r="E87" s="519" t="s">
        <v>1723</v>
      </c>
      <c r="F87" s="519" t="s">
        <v>1724</v>
      </c>
      <c r="G87" s="519" t="s">
        <v>1725</v>
      </c>
      <c r="H87" s="475"/>
      <c r="I87" s="475"/>
      <c r="J87" s="475"/>
      <c r="K87" s="520"/>
      <c r="L87" s="521"/>
      <c r="M87" s="522"/>
      <c r="N87" s="2749"/>
      <c r="O87" s="2749"/>
      <c r="P87" s="2776"/>
      <c r="Q87" s="2735"/>
      <c r="R87" s="2721"/>
      <c r="S87" s="2721"/>
      <c r="T87" s="2721"/>
      <c r="U87" s="2721"/>
      <c r="V87" s="2721"/>
      <c r="W87" s="2721"/>
      <c r="X87" s="2721"/>
      <c r="Y87" s="2721"/>
      <c r="Z87" s="2721"/>
      <c r="AA87" s="2721"/>
      <c r="AB87" s="2721"/>
      <c r="AC87" s="2721"/>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50"/>
      <c r="O88" s="2750"/>
      <c r="P88" s="2774"/>
      <c r="Q88" s="2735"/>
      <c r="R88" s="2721"/>
      <c r="S88" s="2721"/>
      <c r="T88" s="2721"/>
      <c r="U88" s="2721"/>
      <c r="V88" s="2721"/>
      <c r="W88" s="2721"/>
      <c r="X88" s="2721"/>
      <c r="Y88" s="2721"/>
      <c r="Z88" s="2721"/>
      <c r="AA88" s="2721"/>
      <c r="AB88" s="2721"/>
      <c r="AC88" s="2721"/>
    </row>
    <row r="89" spans="1:29" ht="15.75" thickTop="1">
      <c r="A89" s="480"/>
      <c r="B89" s="484" t="s">
        <v>1906</v>
      </c>
      <c r="C89" s="524" t="s">
        <v>1721</v>
      </c>
      <c r="D89" s="524" t="s">
        <v>1722</v>
      </c>
      <c r="E89" s="524" t="s">
        <v>1723</v>
      </c>
      <c r="F89" s="524" t="s">
        <v>1724</v>
      </c>
      <c r="G89" s="524" t="s">
        <v>1725</v>
      </c>
      <c r="H89" s="485"/>
      <c r="I89" s="485"/>
      <c r="J89" s="485"/>
      <c r="K89" s="486"/>
      <c r="L89" s="487"/>
      <c r="M89" s="488"/>
      <c r="N89" s="2749"/>
      <c r="O89" s="2749"/>
      <c r="P89" s="2774"/>
      <c r="Q89" s="2735"/>
      <c r="R89" s="2721"/>
      <c r="S89" s="2721"/>
      <c r="T89" s="2721"/>
      <c r="U89" s="2721"/>
      <c r="V89" s="2721"/>
      <c r="W89" s="2721"/>
      <c r="X89" s="2721"/>
      <c r="Y89" s="2721"/>
      <c r="Z89" s="2721"/>
      <c r="AA89" s="2721"/>
      <c r="AB89" s="2721"/>
      <c r="AC89" s="2721"/>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50"/>
      <c r="O90" s="2750"/>
      <c r="P90" s="2774"/>
      <c r="Q90" s="2735"/>
      <c r="R90" s="2721"/>
      <c r="S90" s="2721"/>
      <c r="T90" s="2721"/>
      <c r="U90" s="2721"/>
      <c r="V90" s="2721"/>
      <c r="W90" s="2721"/>
      <c r="X90" s="2721"/>
      <c r="Y90" s="2721"/>
      <c r="Z90" s="2721"/>
      <c r="AA90" s="2721"/>
      <c r="AB90" s="2721"/>
      <c r="AC90" s="2721"/>
    </row>
    <row r="91" spans="1:29" ht="15.75" thickTop="1">
      <c r="A91" s="480"/>
      <c r="B91" s="484" t="s">
        <v>1821</v>
      </c>
      <c r="C91" s="524" t="s">
        <v>1721</v>
      </c>
      <c r="D91" s="524" t="s">
        <v>1722</v>
      </c>
      <c r="E91" s="524" t="s">
        <v>1723</v>
      </c>
      <c r="F91" s="524" t="s">
        <v>1724</v>
      </c>
      <c r="G91" s="524" t="s">
        <v>1725</v>
      </c>
      <c r="H91" s="485"/>
      <c r="I91" s="485"/>
      <c r="J91" s="485"/>
      <c r="K91" s="486"/>
      <c r="L91" s="487"/>
      <c r="M91" s="488"/>
      <c r="N91" s="2749"/>
      <c r="O91" s="2749"/>
      <c r="P91" s="2774"/>
      <c r="Q91" s="2735"/>
      <c r="R91" s="2721"/>
      <c r="S91" s="2721"/>
      <c r="T91" s="2721"/>
      <c r="U91" s="2721"/>
      <c r="V91" s="2721"/>
      <c r="W91" s="2721"/>
      <c r="X91" s="2721"/>
      <c r="Y91" s="2721"/>
      <c r="Z91" s="2721"/>
      <c r="AA91" s="2721"/>
      <c r="AB91" s="2721"/>
      <c r="AC91" s="2721"/>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50"/>
      <c r="O92" s="2750"/>
      <c r="P92" s="2774"/>
      <c r="Q92" s="2735"/>
      <c r="R92" s="2721"/>
      <c r="S92" s="2721"/>
      <c r="T92" s="2721"/>
      <c r="U92" s="2721"/>
      <c r="V92" s="2721"/>
      <c r="W92" s="2721"/>
      <c r="X92" s="2721"/>
      <c r="Y92" s="2721"/>
      <c r="Z92" s="2721"/>
      <c r="AA92" s="2721"/>
      <c r="AB92" s="2721"/>
      <c r="AC92" s="2721"/>
    </row>
    <row r="93" spans="1:29" ht="15.75" thickTop="1">
      <c r="A93" s="480"/>
      <c r="B93" s="484" t="s">
        <v>1726</v>
      </c>
      <c r="C93" s="524" t="s">
        <v>1721</v>
      </c>
      <c r="D93" s="524" t="s">
        <v>1722</v>
      </c>
      <c r="E93" s="524" t="s">
        <v>1723</v>
      </c>
      <c r="F93" s="524" t="s">
        <v>1724</v>
      </c>
      <c r="G93" s="524" t="s">
        <v>1725</v>
      </c>
      <c r="H93" s="485"/>
      <c r="I93" s="485"/>
      <c r="J93" s="485"/>
      <c r="K93" s="486"/>
      <c r="L93" s="487"/>
      <c r="M93" s="488"/>
      <c r="N93" s="2749"/>
      <c r="O93" s="2749"/>
      <c r="P93" s="2774"/>
      <c r="Q93" s="2735"/>
      <c r="R93" s="2721"/>
      <c r="S93" s="2721"/>
      <c r="T93" s="2721"/>
      <c r="U93" s="2721"/>
      <c r="V93" s="2721"/>
      <c r="W93" s="2721"/>
      <c r="X93" s="2721"/>
      <c r="Y93" s="2721"/>
      <c r="Z93" s="2721"/>
      <c r="AA93" s="2721"/>
      <c r="AB93" s="2721"/>
      <c r="AC93" s="2721"/>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50"/>
      <c r="O94" s="2750"/>
      <c r="P94" s="2774"/>
      <c r="Q94" s="2735"/>
      <c r="R94" s="2721"/>
      <c r="S94" s="2721"/>
      <c r="T94" s="2721"/>
      <c r="U94" s="2721"/>
      <c r="V94" s="2721"/>
      <c r="W94" s="2721"/>
      <c r="X94" s="2721"/>
      <c r="Y94" s="2721"/>
      <c r="Z94" s="2721"/>
      <c r="AA94" s="2721"/>
      <c r="AB94" s="2721"/>
      <c r="AC94" s="2721"/>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8"/>
      <c r="O95" s="2748"/>
      <c r="P95" s="2774"/>
      <c r="Q95" s="2735"/>
      <c r="R95" s="2657"/>
      <c r="S95" s="2657"/>
      <c r="T95" s="2657"/>
      <c r="U95" s="2657"/>
      <c r="V95" s="2657"/>
      <c r="W95" s="2657"/>
      <c r="X95" s="2657"/>
      <c r="Y95" s="2657"/>
      <c r="Z95" s="2657"/>
      <c r="AA95" s="2657"/>
      <c r="AB95" s="2657"/>
      <c r="AC95" s="2657"/>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50"/>
      <c r="O96" s="2750"/>
      <c r="P96" s="2774"/>
      <c r="Q96" s="2735"/>
      <c r="R96" s="2657"/>
      <c r="S96" s="2657"/>
      <c r="T96" s="2657"/>
      <c r="U96" s="2657"/>
      <c r="V96" s="2657"/>
      <c r="W96" s="2657"/>
      <c r="X96" s="2657"/>
      <c r="Y96" s="2657"/>
      <c r="Z96" s="2657"/>
      <c r="AA96" s="2657"/>
      <c r="AB96" s="2657"/>
      <c r="AC96" s="2657"/>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8"/>
      <c r="O97" s="2748"/>
      <c r="P97" s="2774"/>
      <c r="Q97" s="2735"/>
      <c r="R97" s="2657"/>
      <c r="S97" s="2657"/>
      <c r="T97" s="2657"/>
      <c r="U97" s="2657"/>
      <c r="V97" s="2657"/>
      <c r="W97" s="2657"/>
      <c r="X97" s="2657"/>
      <c r="Y97" s="2657"/>
      <c r="Z97" s="2657"/>
      <c r="AA97" s="2657"/>
      <c r="AB97" s="2657"/>
      <c r="AC97" s="2657"/>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50"/>
      <c r="O98" s="2750"/>
      <c r="P98" s="2774"/>
      <c r="Q98" s="2735"/>
      <c r="R98" s="2657"/>
      <c r="S98" s="2657"/>
      <c r="T98" s="2657"/>
      <c r="U98" s="2657"/>
      <c r="V98" s="2657"/>
      <c r="W98" s="2657"/>
      <c r="X98" s="2657"/>
      <c r="Y98" s="2657"/>
      <c r="Z98" s="2657"/>
      <c r="AA98" s="2657"/>
      <c r="AB98" s="2657"/>
      <c r="AC98" s="2657"/>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51"/>
      <c r="O99" s="2751"/>
      <c r="P99" s="2775"/>
      <c r="Q99" s="2742"/>
      <c r="R99" s="2743"/>
      <c r="S99" s="2743"/>
      <c r="T99" s="2743"/>
      <c r="U99" s="2743"/>
      <c r="V99" s="2743"/>
      <c r="W99" s="2743"/>
      <c r="X99" s="2743"/>
      <c r="Y99" s="2743"/>
      <c r="Z99" s="2743"/>
      <c r="AA99" s="2743"/>
      <c r="AB99" s="2743"/>
      <c r="AC99" s="2743"/>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51"/>
      <c r="O100" s="2751"/>
      <c r="P100" s="2775"/>
      <c r="Q100" s="2742"/>
      <c r="R100" s="2743"/>
      <c r="S100" s="2743"/>
      <c r="T100" s="2743"/>
      <c r="U100" s="2743"/>
      <c r="V100" s="2743"/>
      <c r="W100" s="2743"/>
      <c r="X100" s="2743"/>
      <c r="Y100" s="2743"/>
      <c r="Z100" s="2743"/>
      <c r="AA100" s="2743"/>
      <c r="AB100" s="2743"/>
      <c r="AC100" s="2743"/>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51"/>
      <c r="O101" s="2751"/>
      <c r="P101" s="2775"/>
      <c r="Q101" s="2742"/>
      <c r="R101" s="2743"/>
      <c r="S101" s="2743"/>
      <c r="T101" s="2743"/>
      <c r="U101" s="2743"/>
      <c r="V101" s="2743"/>
      <c r="W101" s="2743"/>
      <c r="X101" s="2743"/>
      <c r="Y101" s="2743"/>
      <c r="Z101" s="2743"/>
      <c r="AA101" s="2743"/>
      <c r="AB101" s="2743"/>
      <c r="AC101" s="2743"/>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9"/>
      <c r="O103" s="2749"/>
      <c r="P103" s="2774"/>
      <c r="Q103" s="2735"/>
      <c r="R103" s="2721"/>
      <c r="S103" s="2721"/>
      <c r="T103" s="2721"/>
      <c r="U103" s="2721"/>
      <c r="V103" s="2721"/>
      <c r="W103" s="2721"/>
      <c r="X103" s="2721"/>
      <c r="Y103" s="2721"/>
      <c r="Z103" s="2721"/>
      <c r="AA103" s="2721"/>
      <c r="AB103" s="2721"/>
      <c r="AC103" s="2721"/>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0"/>
      <c r="B105" s="484" t="s">
        <v>1815</v>
      </c>
      <c r="C105" s="500"/>
      <c r="D105" s="500"/>
      <c r="E105" s="500"/>
      <c r="F105" s="500"/>
      <c r="G105" s="500"/>
      <c r="H105" s="529"/>
      <c r="I105" s="529"/>
      <c r="J105" s="529"/>
      <c r="K105" s="530"/>
      <c r="L105" s="531"/>
      <c r="M105" s="532"/>
      <c r="N105" s="2749"/>
      <c r="O105" s="2749"/>
      <c r="P105" s="2774"/>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0"/>
      <c r="B107" s="484" t="s">
        <v>1873</v>
      </c>
      <c r="C107" s="529"/>
      <c r="D107" s="529"/>
      <c r="E107" s="529"/>
      <c r="F107" s="529"/>
      <c r="G107" s="529"/>
      <c r="H107" s="529"/>
      <c r="I107" s="529"/>
      <c r="J107" s="529"/>
      <c r="K107" s="530"/>
      <c r="L107" s="531"/>
      <c r="M107" s="532"/>
      <c r="N107" s="2749"/>
      <c r="O107" s="2749"/>
      <c r="P107" s="2774"/>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0"/>
      <c r="B109" s="492">
        <f>B35</f>
        <v>111</v>
      </c>
      <c r="C109" s="500"/>
      <c r="D109" s="500"/>
      <c r="E109" s="500"/>
      <c r="F109" s="500"/>
      <c r="G109" s="533"/>
      <c r="H109" s="533"/>
      <c r="I109" s="533"/>
      <c r="J109" s="533"/>
      <c r="K109" s="534"/>
      <c r="L109" s="535"/>
      <c r="M109" s="536"/>
      <c r="N109" s="2749"/>
      <c r="O109" s="2749"/>
      <c r="P109" s="2774"/>
      <c r="Q109" s="2735"/>
      <c r="R109" s="2721"/>
      <c r="S109" s="2721"/>
      <c r="T109" s="2721"/>
      <c r="U109" s="2721"/>
      <c r="V109" s="2721"/>
      <c r="W109" s="2721"/>
      <c r="X109" s="2721"/>
      <c r="Y109" s="2721"/>
      <c r="Z109" s="2721"/>
      <c r="AA109" s="2721"/>
      <c r="AB109" s="2721"/>
      <c r="AC109" s="2721"/>
    </row>
    <row r="110" spans="1:29" ht="15.75" thickBot="1">
      <c r="A110" s="480"/>
      <c r="B110" s="515"/>
      <c r="C110" s="506"/>
      <c r="D110" s="506"/>
      <c r="E110" s="506"/>
      <c r="F110" s="506"/>
      <c r="G110" s="537"/>
      <c r="H110" s="537"/>
      <c r="I110" s="537"/>
      <c r="J110" s="537"/>
      <c r="K110" s="537"/>
      <c r="L110" s="537"/>
      <c r="M110" s="538"/>
      <c r="N110" s="2750"/>
      <c r="O110" s="2750"/>
      <c r="P110" s="2774"/>
      <c r="Q110" s="2735"/>
      <c r="R110" s="2721"/>
      <c r="S110" s="2721"/>
      <c r="T110" s="2721"/>
      <c r="U110" s="2721"/>
      <c r="V110" s="2721"/>
      <c r="W110" s="2721"/>
      <c r="X110" s="2721"/>
      <c r="Y110" s="2721"/>
      <c r="Z110" s="2721"/>
      <c r="AA110" s="2721"/>
      <c r="AB110" s="2721"/>
      <c r="AC110" s="2721"/>
    </row>
    <row r="111" spans="1:29" ht="15" thickTop="1">
      <c r="A111" s="620"/>
      <c r="B111" s="484">
        <f>B36</f>
        <v>111</v>
      </c>
      <c r="C111" s="469"/>
      <c r="D111" s="469"/>
      <c r="E111" s="469"/>
      <c r="F111" s="469"/>
      <c r="G111" s="529"/>
      <c r="H111" s="529"/>
      <c r="I111" s="529"/>
      <c r="J111" s="529"/>
      <c r="K111" s="530"/>
      <c r="L111" s="531"/>
      <c r="M111" s="532"/>
      <c r="N111" s="2749"/>
      <c r="O111" s="2749"/>
      <c r="P111" s="2774"/>
      <c r="Q111" s="2735"/>
      <c r="R111" s="2721"/>
      <c r="S111" s="2721"/>
      <c r="T111" s="2721"/>
      <c r="U111" s="2721"/>
      <c r="V111" s="2721"/>
      <c r="W111" s="2721"/>
      <c r="X111" s="2721"/>
      <c r="Y111" s="2721"/>
      <c r="Z111" s="2721"/>
      <c r="AA111" s="2721"/>
      <c r="AB111" s="2721"/>
      <c r="AC111" s="2721"/>
    </row>
    <row r="112" spans="1:29" ht="15.75" thickBot="1">
      <c r="A112" s="480"/>
      <c r="B112" s="489"/>
      <c r="C112" s="516"/>
      <c r="D112" s="516"/>
      <c r="E112" s="516"/>
      <c r="F112" s="516"/>
      <c r="G112" s="482"/>
      <c r="H112" s="482"/>
      <c r="I112" s="482"/>
      <c r="J112" s="482"/>
      <c r="K112" s="482"/>
      <c r="L112" s="482"/>
      <c r="M112" s="483"/>
      <c r="N112" s="2750"/>
      <c r="O112" s="2750"/>
      <c r="P112" s="2774"/>
      <c r="Q112" s="2735"/>
      <c r="R112" s="2721"/>
      <c r="S112" s="2721"/>
      <c r="T112" s="2721"/>
      <c r="U112" s="2721"/>
      <c r="V112" s="2721"/>
      <c r="W112" s="2721"/>
      <c r="X112" s="2721"/>
      <c r="Y112" s="2721"/>
      <c r="Z112" s="2721"/>
      <c r="AA112" s="2721"/>
      <c r="AB112" s="2721"/>
      <c r="AC112" s="2721"/>
    </row>
    <row r="113" spans="1:29" s="419" customFormat="1" ht="15" thickTop="1">
      <c r="A113" s="539"/>
      <c r="B113" s="540">
        <f>B37</f>
        <v>111</v>
      </c>
      <c r="C113" s="541"/>
      <c r="D113" s="541"/>
      <c r="E113" s="541"/>
      <c r="F113" s="541"/>
      <c r="G113" s="541"/>
      <c r="H113" s="541"/>
      <c r="I113" s="541"/>
      <c r="J113" s="542"/>
      <c r="K113" s="542"/>
      <c r="L113" s="543"/>
      <c r="M113" s="544"/>
      <c r="N113" s="2751"/>
      <c r="O113" s="2751"/>
      <c r="P113" s="2775"/>
      <c r="Q113" s="2742"/>
      <c r="R113" s="2743"/>
      <c r="S113" s="2743"/>
      <c r="T113" s="2743"/>
      <c r="U113" s="2743"/>
      <c r="V113" s="2743"/>
      <c r="W113" s="2743"/>
      <c r="X113" s="2743"/>
      <c r="Y113" s="2743"/>
      <c r="Z113" s="2743"/>
      <c r="AA113" s="2743"/>
      <c r="AB113" s="2743"/>
      <c r="AC113" s="2743"/>
    </row>
    <row r="114" spans="1:29" s="419" customFormat="1" ht="15.75" thickBot="1">
      <c r="A114" s="499"/>
      <c r="B114" s="492"/>
      <c r="C114" s="458"/>
      <c r="D114" s="622"/>
      <c r="E114" s="622"/>
      <c r="F114" s="622"/>
      <c r="G114" s="622"/>
      <c r="H114" s="622"/>
      <c r="I114" s="622"/>
      <c r="J114" s="622"/>
      <c r="K114" s="622"/>
      <c r="L114" s="622"/>
      <c r="M114" s="644"/>
      <c r="N114" s="2750"/>
      <c r="O114" s="2750"/>
      <c r="P114" s="2775"/>
      <c r="Q114" s="2742"/>
      <c r="R114" s="2743"/>
      <c r="S114" s="2743"/>
      <c r="T114" s="2743"/>
      <c r="U114" s="2743"/>
      <c r="V114" s="2743"/>
      <c r="W114" s="2743"/>
      <c r="X114" s="2743"/>
      <c r="Y114" s="2743"/>
      <c r="Z114" s="2743"/>
      <c r="AA114" s="2743"/>
      <c r="AB114" s="2743"/>
      <c r="AC114" s="2743"/>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0"/>
      <c r="B116" s="492"/>
      <c r="C116" s="541"/>
      <c r="D116" s="541"/>
      <c r="E116" s="541"/>
      <c r="F116" s="541"/>
      <c r="G116" s="541"/>
      <c r="H116" s="541"/>
      <c r="I116" s="541"/>
      <c r="J116" s="542"/>
      <c r="K116" s="542"/>
      <c r="L116" s="543"/>
      <c r="M116" s="544"/>
      <c r="N116" s="2749"/>
      <c r="O116" s="2749"/>
      <c r="P116" s="2774"/>
      <c r="Q116" s="2735"/>
      <c r="R116" s="2721"/>
      <c r="S116" s="2721"/>
      <c r="T116" s="2721"/>
      <c r="U116" s="2721"/>
      <c r="V116" s="2721"/>
      <c r="W116" s="2721"/>
      <c r="X116" s="2721"/>
      <c r="Y116" s="2721"/>
      <c r="Z116" s="2721"/>
      <c r="AA116" s="2721"/>
      <c r="AB116" s="2721"/>
      <c r="AC116" s="2721"/>
    </row>
    <row r="117" spans="1:29" ht="15.75" thickBot="1">
      <c r="A117" s="480"/>
      <c r="B117" s="489"/>
      <c r="C117" s="516"/>
      <c r="D117" s="537"/>
      <c r="E117" s="537"/>
      <c r="F117" s="537"/>
      <c r="G117" s="537"/>
      <c r="H117" s="537"/>
      <c r="I117" s="537"/>
      <c r="J117" s="537"/>
      <c r="K117" s="537"/>
      <c r="L117" s="537"/>
      <c r="M117" s="538"/>
      <c r="N117" s="2750"/>
      <c r="O117" s="2750"/>
      <c r="P117" s="2774"/>
      <c r="Q117" s="2735"/>
      <c r="R117" s="2721"/>
      <c r="S117" s="2721"/>
      <c r="T117" s="2721"/>
      <c r="U117" s="2721"/>
      <c r="V117" s="2721"/>
      <c r="W117" s="2721"/>
      <c r="X117" s="2721"/>
      <c r="Y117" s="2721"/>
      <c r="Z117" s="2721"/>
      <c r="AA117" s="2721"/>
      <c r="AB117" s="2721"/>
      <c r="AC117" s="2721"/>
    </row>
    <row r="118" spans="1:29" ht="15" thickTop="1">
      <c r="A118" s="545"/>
      <c r="B118" s="484" t="s">
        <v>1914</v>
      </c>
      <c r="C118" s="529"/>
      <c r="D118" s="529"/>
      <c r="E118" s="529"/>
      <c r="F118" s="529"/>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5"/>
      <c r="B120" s="484" t="s">
        <v>1915</v>
      </c>
      <c r="C120" s="500"/>
      <c r="D120" s="500"/>
      <c r="E120" s="500"/>
      <c r="F120" s="529"/>
      <c r="G120" s="529"/>
      <c r="H120" s="529"/>
      <c r="I120" s="529"/>
      <c r="J120" s="529"/>
      <c r="K120" s="530"/>
      <c r="L120" s="531"/>
      <c r="M120" s="532"/>
      <c r="N120" s="2749"/>
      <c r="O120" s="2749"/>
      <c r="P120" s="2774"/>
      <c r="Q120" s="2735"/>
      <c r="R120" s="2721"/>
      <c r="S120" s="2721"/>
      <c r="T120" s="2721"/>
      <c r="U120" s="2721"/>
      <c r="V120" s="2721"/>
      <c r="W120" s="2721"/>
      <c r="X120" s="2721"/>
      <c r="Y120" s="2721"/>
      <c r="Z120" s="2721"/>
      <c r="AA120" s="2721"/>
      <c r="AB120" s="2721"/>
      <c r="AC120" s="2721"/>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50"/>
      <c r="O121" s="2750"/>
      <c r="P121" s="2774"/>
      <c r="Q121" s="2735"/>
      <c r="R121" s="2721"/>
      <c r="S121" s="2721"/>
      <c r="T121" s="2721"/>
      <c r="U121" s="2721"/>
      <c r="V121" s="2721"/>
      <c r="W121" s="2721"/>
      <c r="X121" s="2721"/>
      <c r="Y121" s="2721"/>
      <c r="Z121" s="2721"/>
      <c r="AA121" s="2721"/>
      <c r="AB121" s="2721"/>
      <c r="AC121" s="2721"/>
    </row>
    <row r="122" spans="1:29" s="419" customFormat="1" ht="15" thickTop="1">
      <c r="A122" s="539"/>
      <c r="B122" s="484" t="s">
        <v>1916</v>
      </c>
      <c r="C122" s="500"/>
      <c r="D122" s="500"/>
      <c r="E122" s="500"/>
      <c r="F122" s="500"/>
      <c r="G122" s="500"/>
      <c r="H122" s="529"/>
      <c r="I122" s="529"/>
      <c r="J122" s="529"/>
      <c r="K122" s="530"/>
      <c r="L122" s="531"/>
      <c r="M122" s="532"/>
      <c r="N122" s="2751"/>
      <c r="O122" s="2751"/>
      <c r="P122" s="2775"/>
      <c r="Q122" s="2742"/>
      <c r="R122" s="2743"/>
      <c r="S122" s="2743"/>
      <c r="T122" s="2743"/>
      <c r="U122" s="2743"/>
      <c r="V122" s="2743"/>
      <c r="W122" s="2743"/>
      <c r="X122" s="2743"/>
      <c r="Y122" s="2743"/>
      <c r="Z122" s="2743"/>
      <c r="AA122" s="2743"/>
      <c r="AB122" s="2743"/>
      <c r="AC122" s="2743"/>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5"/>
      <c r="B124" s="484" t="s">
        <v>1917</v>
      </c>
      <c r="C124" s="500"/>
      <c r="D124" s="500"/>
      <c r="E124" s="529"/>
      <c r="F124" s="529"/>
      <c r="G124" s="529"/>
      <c r="H124" s="529"/>
      <c r="I124" s="529"/>
      <c r="J124" s="529"/>
      <c r="K124" s="530"/>
      <c r="L124" s="531"/>
      <c r="M124" s="532"/>
      <c r="N124" s="2749"/>
      <c r="O124" s="2749"/>
      <c r="P124" s="2774"/>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5"/>
      <c r="B126" s="484">
        <f>B43</f>
        <v>111</v>
      </c>
      <c r="C126" s="500"/>
      <c r="D126" s="500"/>
      <c r="E126" s="500"/>
      <c r="F126" s="500"/>
      <c r="G126" s="500"/>
      <c r="H126" s="529"/>
      <c r="I126" s="529"/>
      <c r="J126" s="529"/>
      <c r="K126" s="530"/>
      <c r="L126" s="531"/>
      <c r="M126" s="532"/>
      <c r="N126" s="2749"/>
      <c r="O126" s="2749"/>
      <c r="P126" s="2774"/>
      <c r="Q126" s="2735"/>
      <c r="R126" s="2721"/>
      <c r="S126" s="2721"/>
      <c r="T126" s="2721"/>
      <c r="U126" s="2721"/>
      <c r="V126" s="2721"/>
      <c r="W126" s="2721"/>
      <c r="X126" s="2721"/>
      <c r="Y126" s="2721"/>
      <c r="Z126" s="2721"/>
      <c r="AA126" s="2721"/>
      <c r="AB126" s="2721"/>
      <c r="AC126" s="2721"/>
    </row>
    <row r="127" spans="1:29" ht="15.75" thickBot="1">
      <c r="A127" s="480"/>
      <c r="B127" s="489"/>
      <c r="C127" s="506"/>
      <c r="D127" s="506"/>
      <c r="E127" s="506"/>
      <c r="F127" s="506"/>
      <c r="G127" s="482"/>
      <c r="H127" s="482"/>
      <c r="I127" s="482"/>
      <c r="J127" s="482"/>
      <c r="K127" s="482"/>
      <c r="L127" s="482"/>
      <c r="M127" s="483"/>
      <c r="N127" s="2750"/>
      <c r="O127" s="2750"/>
      <c r="P127" s="2774"/>
      <c r="Q127" s="2735"/>
      <c r="R127" s="2721"/>
      <c r="S127" s="2721"/>
      <c r="T127" s="2721"/>
      <c r="U127" s="2721"/>
      <c r="V127" s="2721"/>
      <c r="W127" s="2721"/>
      <c r="X127" s="2721"/>
      <c r="Y127" s="2721"/>
      <c r="Z127" s="2721"/>
      <c r="AA127" s="2721"/>
      <c r="AB127" s="2721"/>
      <c r="AC127" s="2721"/>
    </row>
    <row r="128" spans="1:29" ht="15" thickTop="1">
      <c r="A128" s="545"/>
      <c r="B128" s="484">
        <f>B44</f>
        <v>111</v>
      </c>
      <c r="C128" s="469"/>
      <c r="D128" s="469"/>
      <c r="E128" s="469"/>
      <c r="F128" s="469"/>
      <c r="G128" s="529"/>
      <c r="H128" s="529"/>
      <c r="I128" s="529"/>
      <c r="J128" s="529"/>
      <c r="K128" s="530"/>
      <c r="L128" s="531"/>
      <c r="M128" s="532"/>
      <c r="N128" s="2749"/>
      <c r="O128" s="2749"/>
      <c r="P128" s="2774"/>
      <c r="Q128" s="2735"/>
      <c r="R128" s="2721"/>
      <c r="S128" s="2721"/>
      <c r="T128" s="2721"/>
      <c r="U128" s="2721"/>
      <c r="V128" s="2721"/>
      <c r="W128" s="2721"/>
      <c r="X128" s="2721"/>
      <c r="Y128" s="2721"/>
      <c r="Z128" s="2721"/>
      <c r="AA128" s="2721"/>
      <c r="AB128" s="2721"/>
      <c r="AC128" s="2721"/>
    </row>
    <row r="129" spans="1:29" ht="15.75" thickBot="1">
      <c r="A129" s="480"/>
      <c r="B129" s="489"/>
      <c r="C129" s="516"/>
      <c r="D129" s="516"/>
      <c r="E129" s="516"/>
      <c r="F129" s="516"/>
      <c r="G129" s="482"/>
      <c r="H129" s="482"/>
      <c r="I129" s="482"/>
      <c r="J129" s="482"/>
      <c r="K129" s="482"/>
      <c r="L129" s="482"/>
      <c r="M129" s="483"/>
      <c r="N129" s="2750"/>
      <c r="O129" s="2750"/>
      <c r="P129" s="2774"/>
      <c r="Q129" s="2735"/>
      <c r="R129" s="2721"/>
      <c r="S129" s="2721"/>
      <c r="T129" s="2721"/>
      <c r="U129" s="2721"/>
      <c r="V129" s="2721"/>
      <c r="W129" s="2721"/>
      <c r="X129" s="2721"/>
      <c r="Y129" s="2721"/>
      <c r="Z129" s="2721"/>
      <c r="AA129" s="2721"/>
      <c r="AB129" s="2721"/>
      <c r="AC129" s="2721"/>
    </row>
    <row r="130" spans="1:29" s="419" customFormat="1" ht="15" thickTop="1">
      <c r="A130" s="539"/>
      <c r="B130" s="484">
        <f>B45</f>
        <v>111</v>
      </c>
      <c r="C130" s="469"/>
      <c r="D130" s="469"/>
      <c r="E130" s="469"/>
      <c r="F130" s="469"/>
      <c r="G130" s="501"/>
      <c r="H130" s="501"/>
      <c r="I130" s="501"/>
      <c r="J130" s="501"/>
      <c r="K130" s="501"/>
      <c r="L130" s="502"/>
      <c r="M130" s="503"/>
      <c r="N130" s="2751"/>
      <c r="O130" s="2751"/>
      <c r="P130" s="2775"/>
      <c r="Q130" s="2742"/>
      <c r="R130" s="2743"/>
      <c r="S130" s="2743"/>
      <c r="T130" s="2743"/>
      <c r="U130" s="2743"/>
      <c r="V130" s="2743"/>
      <c r="W130" s="2743"/>
      <c r="X130" s="2743"/>
      <c r="Y130" s="2743"/>
      <c r="Z130" s="2743"/>
      <c r="AA130" s="2743"/>
      <c r="AB130" s="2743"/>
      <c r="AC130" s="2743"/>
    </row>
    <row r="131" spans="1:29" s="419" customFormat="1" ht="15.75" thickBot="1">
      <c r="A131" s="514"/>
      <c r="B131" s="645"/>
      <c r="C131" s="516"/>
      <c r="D131" s="516"/>
      <c r="E131" s="516"/>
      <c r="F131" s="516"/>
      <c r="G131" s="537"/>
      <c r="H131" s="537"/>
      <c r="I131" s="537"/>
      <c r="J131" s="537"/>
      <c r="K131" s="537"/>
      <c r="L131" s="537"/>
      <c r="M131" s="538"/>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1769</v>
      </c>
      <c r="B4" s="353"/>
      <c r="C4" s="3763" t="s">
        <v>1770</v>
      </c>
      <c r="D4" s="3764"/>
      <c r="E4" s="3765" t="s">
        <v>1771</v>
      </c>
      <c r="F4" s="3766"/>
      <c r="G4" s="3763" t="s">
        <v>1772</v>
      </c>
      <c r="H4" s="3764"/>
      <c r="I4" s="3763" t="s">
        <v>1773</v>
      </c>
      <c r="J4" s="3764"/>
      <c r="K4" s="556" t="s">
        <v>1774</v>
      </c>
      <c r="L4" s="2711"/>
      <c r="M4" s="2712"/>
      <c r="N4" s="2712"/>
      <c r="O4" s="2712"/>
      <c r="P4" s="3829" t="s">
        <v>1775</v>
      </c>
      <c r="Q4" s="3830"/>
      <c r="R4" s="3833" t="s">
        <v>1771</v>
      </c>
      <c r="S4" s="3834"/>
      <c r="T4" s="3833" t="s">
        <v>1772</v>
      </c>
      <c r="U4" s="3834"/>
      <c r="V4" s="3780" t="s">
        <v>1773</v>
      </c>
      <c r="W4" s="3780"/>
      <c r="X4" s="1351"/>
      <c r="Y4" s="3833" t="s">
        <v>1775</v>
      </c>
      <c r="Z4" s="3834"/>
      <c r="AA4" s="3828" t="s">
        <v>1771</v>
      </c>
      <c r="AB4" s="3792" t="s">
        <v>1772</v>
      </c>
      <c r="AC4" s="3828" t="s">
        <v>1773</v>
      </c>
    </row>
    <row r="5" spans="1:29" ht="15">
      <c r="A5" s="355"/>
      <c r="B5" s="356"/>
      <c r="C5" s="3783" t="s">
        <v>1673</v>
      </c>
      <c r="D5" s="3784"/>
      <c r="E5" s="3794" t="s">
        <v>1674</v>
      </c>
      <c r="F5" s="3795"/>
      <c r="G5" s="3783" t="s">
        <v>1675</v>
      </c>
      <c r="H5" s="3784"/>
      <c r="I5" s="3783" t="s">
        <v>1676</v>
      </c>
      <c r="J5" s="3784"/>
      <c r="K5" s="556"/>
      <c r="L5" s="2711"/>
      <c r="M5" s="2712"/>
      <c r="N5" s="2712"/>
      <c r="O5" s="2712"/>
      <c r="P5" s="3831"/>
      <c r="Q5" s="3770"/>
      <c r="R5" s="3775"/>
      <c r="S5" s="3776"/>
      <c r="T5" s="3775"/>
      <c r="U5" s="3776"/>
      <c r="V5" s="3780"/>
      <c r="W5" s="3780"/>
      <c r="X5" s="1351"/>
      <c r="Y5" s="3775"/>
      <c r="Z5" s="3776"/>
      <c r="AA5" s="3792"/>
      <c r="AB5" s="3792"/>
      <c r="AC5" s="3792"/>
    </row>
    <row r="6" spans="1:29" ht="15.75" thickBot="1">
      <c r="A6" s="357"/>
      <c r="B6" s="358"/>
      <c r="C6" s="3840" t="s">
        <v>1919</v>
      </c>
      <c r="D6" s="3841"/>
      <c r="E6" s="3842" t="s">
        <v>1919</v>
      </c>
      <c r="F6" s="3843"/>
      <c r="G6" s="3840" t="s">
        <v>1919</v>
      </c>
      <c r="H6" s="3841"/>
      <c r="I6" s="3840" t="s">
        <v>1919</v>
      </c>
      <c r="J6" s="3841"/>
      <c r="K6" s="556" t="s">
        <v>1678</v>
      </c>
      <c r="L6" s="2711"/>
      <c r="M6" s="2712"/>
      <c r="N6" s="2712"/>
      <c r="O6" s="2712"/>
      <c r="P6" s="3832"/>
      <c r="Q6" s="3772"/>
      <c r="R6" s="3775"/>
      <c r="S6" s="3776"/>
      <c r="T6" s="3777"/>
      <c r="U6" s="3778"/>
      <c r="V6" s="3780"/>
      <c r="W6" s="3780"/>
      <c r="X6" s="1351"/>
      <c r="Y6" s="3777"/>
      <c r="Z6" s="3778"/>
      <c r="AA6" s="3793"/>
      <c r="AB6" s="3793"/>
      <c r="AC6" s="3793"/>
    </row>
    <row r="7" spans="1:29" s="108" customFormat="1" ht="15.75" thickBot="1">
      <c r="A7" s="359" t="s">
        <v>1679</v>
      </c>
      <c r="B7" s="360"/>
      <c r="C7" s="361">
        <f>'数据-取费表'!B2</f>
        <v>45421</v>
      </c>
      <c r="D7" s="362">
        <v>100</v>
      </c>
      <c r="E7" s="363"/>
      <c r="F7" s="364">
        <f>SUMIF(65:65,YEAR(E7)&amp;"-"&amp;INT((MONTH(E7)+2)/3),66:66)</f>
        <v>0</v>
      </c>
      <c r="G7" s="1970"/>
      <c r="H7" s="362">
        <f>SUMIF(65:65,YEAR(G7)&amp;"-"&amp;INT((MONTH(G7)+2)/3),66:66)</f>
        <v>0</v>
      </c>
      <c r="I7" s="1970"/>
      <c r="J7" s="362">
        <f>SUMIF(65:65,YEAR(I7)&amp;"-"&amp;INT((MONTH(I7)+2)/3),66:66)</f>
        <v>0</v>
      </c>
      <c r="K7" s="557"/>
      <c r="L7" s="2713"/>
      <c r="M7" s="2714"/>
      <c r="N7" s="2714"/>
      <c r="O7" s="2714"/>
      <c r="P7" s="3787" t="s">
        <v>1680</v>
      </c>
      <c r="Q7" s="3788"/>
      <c r="R7" s="697" t="s">
        <v>14</v>
      </c>
      <c r="S7" s="698">
        <f t="shared" ref="S7:S15" si="0">F7</f>
        <v>0</v>
      </c>
      <c r="T7" s="697" t="s">
        <v>14</v>
      </c>
      <c r="U7" s="698">
        <f t="shared" ref="U7:U15" si="1">H7</f>
        <v>0</v>
      </c>
      <c r="V7" s="697" t="s">
        <v>14</v>
      </c>
      <c r="W7" s="698">
        <f t="shared" ref="W7:W15" si="2">J7</f>
        <v>0</v>
      </c>
      <c r="X7" s="699"/>
      <c r="Y7" s="3787" t="s">
        <v>1680</v>
      </c>
      <c r="Z7" s="3786"/>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13"/>
      <c r="M8" s="2714"/>
      <c r="N8" s="2714"/>
      <c r="O8" s="2714"/>
      <c r="P8" s="3787" t="s">
        <v>1683</v>
      </c>
      <c r="Q8" s="3786"/>
      <c r="R8" s="697" t="s">
        <v>14</v>
      </c>
      <c r="S8" s="698">
        <f t="shared" si="0"/>
        <v>0</v>
      </c>
      <c r="T8" s="697" t="s">
        <v>14</v>
      </c>
      <c r="U8" s="698">
        <f t="shared" si="1"/>
        <v>0</v>
      </c>
      <c r="V8" s="697" t="s">
        <v>14</v>
      </c>
      <c r="W8" s="698">
        <f t="shared" si="2"/>
        <v>0</v>
      </c>
      <c r="X8" s="699"/>
      <c r="Y8" s="3787" t="s">
        <v>1683</v>
      </c>
      <c r="Z8" s="3786"/>
      <c r="AA8" s="700" t="e">
        <f t="shared" ref="AA8:AA40" si="3">D8/F8</f>
        <v>#DIV/0!</v>
      </c>
      <c r="AB8" s="700" t="e">
        <f t="shared" ref="AB8:AB40" si="4">D8/H8</f>
        <v>#DIV/0!</v>
      </c>
      <c r="AC8" s="700" t="e">
        <f t="shared" ref="AC8:AC40" si="5">D8/J8</f>
        <v>#DIV/0!</v>
      </c>
    </row>
    <row r="9" spans="1:29" s="108" customFormat="1">
      <c r="A9" s="366" t="s">
        <v>1684</v>
      </c>
      <c r="B9" s="63" t="s">
        <v>1685</v>
      </c>
      <c r="C9" s="1973"/>
      <c r="D9" s="123">
        <v>100</v>
      </c>
      <c r="E9" s="1973"/>
      <c r="F9" s="123">
        <f>SUMIF(70:70,E9,71:71)-SUMIF(70:70,C9,71:71)+100</f>
        <v>100</v>
      </c>
      <c r="G9" s="1973"/>
      <c r="H9" s="123">
        <f>SUMIF(70:70,G9,71:71)-SUMIF(70:70,C9,71:71)+100</f>
        <v>100</v>
      </c>
      <c r="I9" s="1973"/>
      <c r="J9" s="123">
        <f>SUMIF(70:70,I9,71:71)-SUMIF(70:70,C9,71:71)+100</f>
        <v>100</v>
      </c>
      <c r="K9" s="557"/>
      <c r="L9" s="2713"/>
      <c r="M9" s="2714"/>
      <c r="N9" s="2714"/>
      <c r="O9" s="2768"/>
      <c r="P9" s="3746" t="s">
        <v>1686</v>
      </c>
      <c r="Q9" s="1339" t="str">
        <f t="shared" ref="Q9:Q15" si="6">B9</f>
        <v>用途</v>
      </c>
      <c r="R9" s="697" t="s">
        <v>14</v>
      </c>
      <c r="S9" s="698">
        <f t="shared" si="0"/>
        <v>100</v>
      </c>
      <c r="T9" s="697" t="s">
        <v>14</v>
      </c>
      <c r="U9" s="698">
        <f t="shared" si="1"/>
        <v>100</v>
      </c>
      <c r="V9" s="697" t="s">
        <v>14</v>
      </c>
      <c r="W9" s="698">
        <f t="shared" si="2"/>
        <v>100</v>
      </c>
      <c r="X9" s="699"/>
      <c r="Y9" s="3652" t="s">
        <v>1687</v>
      </c>
      <c r="Z9" s="52" t="str">
        <f t="shared" ref="Z9:Z15" si="7">Q9</f>
        <v>用途</v>
      </c>
      <c r="AA9" s="700">
        <f t="shared" si="3"/>
        <v>1</v>
      </c>
      <c r="AB9" s="700">
        <f t="shared" si="4"/>
        <v>1</v>
      </c>
      <c r="AC9" s="700">
        <f t="shared" si="5"/>
        <v>1</v>
      </c>
    </row>
    <row r="10" spans="1:29" s="375" customFormat="1" ht="27">
      <c r="A10" s="371"/>
      <c r="B10" s="372" t="s">
        <v>1688</v>
      </c>
      <c r="C10" s="380"/>
      <c r="D10" s="124">
        <v>100</v>
      </c>
      <c r="E10" s="380"/>
      <c r="F10" s="124">
        <f>ROUND(100/'数据-取费表'!G16,0)</f>
        <v>115</v>
      </c>
      <c r="G10" s="380"/>
      <c r="H10" s="124">
        <f>ROUND(100/'数据-取费表'!G16,0)</f>
        <v>115</v>
      </c>
      <c r="I10" s="380"/>
      <c r="J10" s="124">
        <f>ROUND(100/'数据-取费表'!G16,0)</f>
        <v>115</v>
      </c>
      <c r="K10" s="617"/>
      <c r="L10" s="2715"/>
      <c r="M10" s="2716"/>
      <c r="N10" s="2716"/>
      <c r="O10" s="2769"/>
      <c r="P10" s="3746"/>
      <c r="Q10" s="1339" t="str">
        <f t="shared" si="6"/>
        <v>土地使用年限（年）</v>
      </c>
      <c r="R10" s="697" t="s">
        <v>14</v>
      </c>
      <c r="S10" s="698">
        <f t="shared" si="0"/>
        <v>115</v>
      </c>
      <c r="T10" s="697" t="s">
        <v>14</v>
      </c>
      <c r="U10" s="698">
        <f t="shared" si="1"/>
        <v>115</v>
      </c>
      <c r="V10" s="697" t="s">
        <v>14</v>
      </c>
      <c r="W10" s="698">
        <f t="shared" si="2"/>
        <v>115</v>
      </c>
      <c r="X10" s="699"/>
      <c r="Y10" s="3652"/>
      <c r="Z10" s="52" t="str">
        <f t="shared" si="7"/>
        <v>土地使用年限（年）</v>
      </c>
      <c r="AA10" s="700">
        <f t="shared" si="3"/>
        <v>0.86956521739130432</v>
      </c>
      <c r="AB10" s="700">
        <f t="shared" si="4"/>
        <v>0.86956521739130432</v>
      </c>
      <c r="AC10" s="700">
        <f t="shared" si="5"/>
        <v>0.86956521739130432</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7"/>
      <c r="M11" s="2712"/>
      <c r="N11" s="2712"/>
      <c r="O11" s="2770"/>
      <c r="P11" s="3746"/>
      <c r="Q11" s="1339" t="str">
        <f t="shared" si="6"/>
        <v>容积率</v>
      </c>
      <c r="R11" s="697" t="s">
        <v>14</v>
      </c>
      <c r="S11" s="698" t="e">
        <f t="shared" si="0"/>
        <v>#N/A</v>
      </c>
      <c r="T11" s="697" t="s">
        <v>14</v>
      </c>
      <c r="U11" s="698" t="e">
        <f t="shared" si="1"/>
        <v>#N/A</v>
      </c>
      <c r="V11" s="697" t="s">
        <v>14</v>
      </c>
      <c r="W11" s="698" t="e">
        <f t="shared" si="2"/>
        <v>#N/A</v>
      </c>
      <c r="X11" s="699"/>
      <c r="Y11" s="3652"/>
      <c r="Z11" s="52" t="str">
        <f t="shared" si="7"/>
        <v>容积率</v>
      </c>
      <c r="AA11" s="700" t="e">
        <f t="shared" si="3"/>
        <v>#N/A</v>
      </c>
      <c r="AB11" s="700" t="e">
        <f t="shared" si="4"/>
        <v>#N/A</v>
      </c>
      <c r="AC11" s="700" t="e">
        <f t="shared" si="5"/>
        <v>#N/A</v>
      </c>
    </row>
    <row r="12" spans="1:29" s="108"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13"/>
      <c r="M12" s="2714"/>
      <c r="N12" s="2714"/>
      <c r="O12" s="2768"/>
      <c r="P12" s="3746"/>
      <c r="Q12" s="1339">
        <f t="shared" si="6"/>
        <v>111</v>
      </c>
      <c r="R12" s="697" t="s">
        <v>14</v>
      </c>
      <c r="S12" s="698">
        <f t="shared" si="0"/>
        <v>100</v>
      </c>
      <c r="T12" s="697" t="s">
        <v>14</v>
      </c>
      <c r="U12" s="698">
        <f t="shared" si="1"/>
        <v>100</v>
      </c>
      <c r="V12" s="697" t="s">
        <v>14</v>
      </c>
      <c r="W12" s="698">
        <f t="shared" si="2"/>
        <v>100</v>
      </c>
      <c r="X12" s="699"/>
      <c r="Y12" s="3652"/>
      <c r="Z12" s="52">
        <f t="shared" si="7"/>
        <v>111</v>
      </c>
      <c r="AA12" s="700">
        <f>D12/F12</f>
        <v>1</v>
      </c>
      <c r="AB12" s="700">
        <f>D12/H12</f>
        <v>1</v>
      </c>
      <c r="AC12" s="700">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8"/>
      <c r="M13" s="2712"/>
      <c r="N13" s="2712"/>
      <c r="O13" s="2770"/>
      <c r="P13" s="3746"/>
      <c r="Q13" s="1339">
        <f t="shared" si="6"/>
        <v>111</v>
      </c>
      <c r="R13" s="697" t="s">
        <v>14</v>
      </c>
      <c r="S13" s="698">
        <f t="shared" si="0"/>
        <v>100</v>
      </c>
      <c r="T13" s="697" t="s">
        <v>14</v>
      </c>
      <c r="U13" s="698">
        <f t="shared" si="1"/>
        <v>100</v>
      </c>
      <c r="V13" s="697" t="s">
        <v>14</v>
      </c>
      <c r="W13" s="698">
        <f t="shared" si="2"/>
        <v>100</v>
      </c>
      <c r="X13" s="699"/>
      <c r="Y13" s="3652"/>
      <c r="Z13" s="52">
        <f t="shared" si="7"/>
        <v>111</v>
      </c>
      <c r="AA13" s="700">
        <f t="shared" si="3"/>
        <v>1</v>
      </c>
      <c r="AB13" s="700">
        <f t="shared" si="4"/>
        <v>1</v>
      </c>
      <c r="AC13" s="700">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8"/>
      <c r="M14" s="2712"/>
      <c r="N14" s="2712"/>
      <c r="O14" s="2770"/>
      <c r="P14" s="3746"/>
      <c r="Q14" s="1339">
        <f t="shared" si="6"/>
        <v>111</v>
      </c>
      <c r="R14" s="697" t="s">
        <v>14</v>
      </c>
      <c r="S14" s="698">
        <f t="shared" si="0"/>
        <v>100</v>
      </c>
      <c r="T14" s="697" t="s">
        <v>14</v>
      </c>
      <c r="U14" s="698">
        <f t="shared" si="1"/>
        <v>100</v>
      </c>
      <c r="V14" s="697" t="s">
        <v>14</v>
      </c>
      <c r="W14" s="698">
        <f t="shared" si="2"/>
        <v>100</v>
      </c>
      <c r="X14" s="699"/>
      <c r="Y14" s="3652"/>
      <c r="Z14" s="52">
        <f t="shared" si="7"/>
        <v>111</v>
      </c>
      <c r="AA14" s="700">
        <f t="shared" si="3"/>
        <v>1</v>
      </c>
      <c r="AB14" s="700">
        <f t="shared" si="4"/>
        <v>1</v>
      </c>
      <c r="AC14" s="700">
        <f t="shared" si="5"/>
        <v>1</v>
      </c>
    </row>
    <row r="15" spans="1:29" ht="57">
      <c r="A15" s="388" t="s">
        <v>1690</v>
      </c>
      <c r="B15" s="574" t="s">
        <v>1920</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8"/>
      <c r="M15" s="2712"/>
      <c r="N15" s="2712"/>
      <c r="O15" s="2770"/>
      <c r="P15" s="3753" t="s">
        <v>1691</v>
      </c>
      <c r="Q15" s="1348" t="str">
        <f t="shared" si="6"/>
        <v>产业集聚程度</v>
      </c>
      <c r="R15" s="701" t="s">
        <v>14</v>
      </c>
      <c r="S15" s="702">
        <f t="shared" si="0"/>
        <v>100</v>
      </c>
      <c r="T15" s="701" t="s">
        <v>14</v>
      </c>
      <c r="U15" s="702">
        <f t="shared" si="1"/>
        <v>100</v>
      </c>
      <c r="V15" s="701" t="s">
        <v>14</v>
      </c>
      <c r="W15" s="702">
        <f t="shared" si="2"/>
        <v>100</v>
      </c>
      <c r="X15" s="1351"/>
      <c r="Y15" s="3753" t="s">
        <v>1691</v>
      </c>
      <c r="Z15" s="1352" t="str">
        <f t="shared" si="7"/>
        <v>产业集聚程度</v>
      </c>
      <c r="AA15" s="1349">
        <f t="shared" si="3"/>
        <v>1</v>
      </c>
      <c r="AB15" s="1349">
        <f t="shared" si="4"/>
        <v>1</v>
      </c>
      <c r="AC15" s="1349">
        <f t="shared" si="5"/>
        <v>1</v>
      </c>
    </row>
    <row r="16" spans="1:29" ht="15">
      <c r="A16" s="376"/>
      <c r="B16" s="575"/>
      <c r="C16" s="395"/>
      <c r="D16" s="396"/>
      <c r="E16" s="1900"/>
      <c r="F16" s="396"/>
      <c r="G16" s="1900"/>
      <c r="H16" s="398"/>
      <c r="I16" s="1900"/>
      <c r="J16" s="396"/>
      <c r="K16" s="617"/>
      <c r="L16" s="2718"/>
      <c r="M16" s="2712"/>
      <c r="N16" s="2712"/>
      <c r="O16" s="2770"/>
      <c r="P16" s="3754"/>
      <c r="Q16" s="1348"/>
      <c r="R16" s="701"/>
      <c r="S16" s="702"/>
      <c r="T16" s="701"/>
      <c r="U16" s="702"/>
      <c r="V16" s="701"/>
      <c r="W16" s="702"/>
      <c r="X16" s="1351"/>
      <c r="Y16" s="3754"/>
      <c r="Z16" s="1352"/>
      <c r="AA16" s="1349">
        <v>1</v>
      </c>
      <c r="AB16" s="1349">
        <v>1</v>
      </c>
      <c r="AC16" s="1349">
        <v>1</v>
      </c>
    </row>
    <row r="17" spans="1:29" ht="85.5">
      <c r="A17" s="376"/>
      <c r="B17" s="576" t="s">
        <v>1833</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8"/>
      <c r="M17" s="2712"/>
      <c r="N17" s="2712"/>
      <c r="O17" s="2770"/>
      <c r="P17" s="3754"/>
      <c r="Q17" s="1348" t="str">
        <f>B17</f>
        <v>交通便捷度</v>
      </c>
      <c r="R17" s="701" t="s">
        <v>14</v>
      </c>
      <c r="S17" s="702">
        <f>F17</f>
        <v>100</v>
      </c>
      <c r="T17" s="701" t="s">
        <v>14</v>
      </c>
      <c r="U17" s="702">
        <f>H17</f>
        <v>100</v>
      </c>
      <c r="V17" s="701" t="s">
        <v>14</v>
      </c>
      <c r="W17" s="702">
        <f>J17</f>
        <v>100</v>
      </c>
      <c r="X17" s="1351"/>
      <c r="Y17" s="3754"/>
      <c r="Z17" s="1352" t="str">
        <f>Q17</f>
        <v>交通便捷度</v>
      </c>
      <c r="AA17" s="1349">
        <f t="shared" si="3"/>
        <v>1</v>
      </c>
      <c r="AB17" s="1349">
        <f t="shared" si="4"/>
        <v>1</v>
      </c>
      <c r="AC17" s="1349">
        <f t="shared" si="5"/>
        <v>1</v>
      </c>
    </row>
    <row r="18" spans="1:29" ht="15">
      <c r="A18" s="376"/>
      <c r="B18" s="577"/>
      <c r="C18" s="395"/>
      <c r="D18" s="396"/>
      <c r="E18" s="1894"/>
      <c r="F18" s="396"/>
      <c r="G18" s="1894"/>
      <c r="H18" s="396"/>
      <c r="I18" s="1893"/>
      <c r="J18" s="396"/>
      <c r="K18" s="617"/>
      <c r="L18" s="2718"/>
      <c r="M18" s="2712"/>
      <c r="N18" s="2712"/>
      <c r="O18" s="2770"/>
      <c r="P18" s="3754"/>
      <c r="Q18" s="1348"/>
      <c r="R18" s="701"/>
      <c r="S18" s="702"/>
      <c r="T18" s="701"/>
      <c r="U18" s="702"/>
      <c r="V18" s="701"/>
      <c r="W18" s="702"/>
      <c r="X18" s="1351"/>
      <c r="Y18" s="3754"/>
      <c r="Z18" s="1352"/>
      <c r="AA18" s="1349">
        <v>1</v>
      </c>
      <c r="AB18" s="1349">
        <v>1</v>
      </c>
      <c r="AC18" s="1349">
        <v>1</v>
      </c>
    </row>
    <row r="19" spans="1:29" ht="15">
      <c r="A19" s="376"/>
      <c r="B19" s="576" t="s">
        <v>1871</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8"/>
      <c r="M19" s="2712"/>
      <c r="N19" s="2712"/>
      <c r="O19" s="2770"/>
      <c r="P19" s="3754"/>
      <c r="Q19" s="1348" t="str">
        <f t="shared" ref="Q19:Q33" si="8">B19</f>
        <v>区域土地利用方向</v>
      </c>
      <c r="R19" s="701" t="s">
        <v>14</v>
      </c>
      <c r="S19" s="702">
        <f>F19</f>
        <v>100</v>
      </c>
      <c r="T19" s="701" t="s">
        <v>14</v>
      </c>
      <c r="U19" s="702">
        <f>H19</f>
        <v>100</v>
      </c>
      <c r="V19" s="701" t="s">
        <v>14</v>
      </c>
      <c r="W19" s="702">
        <f>J19</f>
        <v>100</v>
      </c>
      <c r="X19" s="1351"/>
      <c r="Y19" s="3754"/>
      <c r="Z19" s="1352" t="str">
        <f>Q19</f>
        <v>区域土地利用方向</v>
      </c>
      <c r="AA19" s="1349">
        <f t="shared" si="3"/>
        <v>1</v>
      </c>
      <c r="AB19" s="1349">
        <f t="shared" si="4"/>
        <v>1</v>
      </c>
      <c r="AC19" s="1349">
        <f t="shared" si="5"/>
        <v>1</v>
      </c>
    </row>
    <row r="20" spans="1:29" ht="15">
      <c r="A20" s="355"/>
      <c r="B20" s="577"/>
      <c r="C20" s="395"/>
      <c r="D20" s="396"/>
      <c r="E20" s="1894"/>
      <c r="F20" s="396"/>
      <c r="G20" s="1894"/>
      <c r="H20" s="396"/>
      <c r="I20" s="1894"/>
      <c r="J20" s="396"/>
      <c r="K20" s="736"/>
      <c r="L20" s="2718"/>
      <c r="M20" s="2712"/>
      <c r="N20" s="2712"/>
      <c r="O20" s="2770"/>
      <c r="P20" s="3754"/>
      <c r="Q20" s="1348"/>
      <c r="R20" s="701"/>
      <c r="S20" s="702"/>
      <c r="T20" s="701"/>
      <c r="U20" s="702"/>
      <c r="V20" s="701"/>
      <c r="W20" s="702"/>
      <c r="X20" s="1351"/>
      <c r="Y20" s="3754"/>
      <c r="Z20" s="1352"/>
      <c r="AA20" s="1349"/>
      <c r="AB20" s="1349"/>
      <c r="AC20" s="1349"/>
    </row>
    <row r="21" spans="1:29" ht="71.25">
      <c r="A21" s="355"/>
      <c r="B21" s="576" t="s">
        <v>1921</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8"/>
      <c r="M21" s="2712"/>
      <c r="N21" s="2712"/>
      <c r="O21" s="2770"/>
      <c r="P21" s="3754"/>
      <c r="Q21" s="1348" t="str">
        <f t="shared" si="8"/>
        <v>环境状况</v>
      </c>
      <c r="R21" s="701" t="s">
        <v>14</v>
      </c>
      <c r="S21" s="702">
        <f>F21</f>
        <v>100</v>
      </c>
      <c r="T21" s="701" t="s">
        <v>14</v>
      </c>
      <c r="U21" s="702">
        <f>H21</f>
        <v>100</v>
      </c>
      <c r="V21" s="701" t="s">
        <v>14</v>
      </c>
      <c r="W21" s="702">
        <f>J21</f>
        <v>100</v>
      </c>
      <c r="X21" s="1351"/>
      <c r="Y21" s="3754"/>
      <c r="Z21" s="1352" t="str">
        <f>Q21</f>
        <v>环境状况</v>
      </c>
      <c r="AA21" s="1349">
        <f t="shared" si="3"/>
        <v>1</v>
      </c>
      <c r="AB21" s="1349">
        <f t="shared" si="4"/>
        <v>1</v>
      </c>
      <c r="AC21" s="1349">
        <f t="shared" si="5"/>
        <v>1</v>
      </c>
    </row>
    <row r="22" spans="1:29" ht="15">
      <c r="A22" s="355"/>
      <c r="B22" s="577"/>
      <c r="C22" s="395"/>
      <c r="D22" s="396"/>
      <c r="E22" s="1900"/>
      <c r="F22" s="396"/>
      <c r="G22" s="1900"/>
      <c r="H22" s="396"/>
      <c r="I22" s="395"/>
      <c r="J22" s="396"/>
      <c r="K22" s="617"/>
      <c r="L22" s="2718"/>
      <c r="M22" s="2712"/>
      <c r="N22" s="2712"/>
      <c r="O22" s="2770"/>
      <c r="P22" s="3754"/>
      <c r="Q22" s="1348"/>
      <c r="R22" s="701"/>
      <c r="S22" s="702"/>
      <c r="T22" s="701"/>
      <c r="U22" s="702"/>
      <c r="V22" s="701"/>
      <c r="W22" s="702"/>
      <c r="X22" s="1351"/>
      <c r="Y22" s="3754"/>
      <c r="Z22" s="1352"/>
      <c r="AA22" s="1349">
        <v>1</v>
      </c>
      <c r="AB22" s="1349">
        <v>1</v>
      </c>
      <c r="AC22" s="1349">
        <v>1</v>
      </c>
    </row>
    <row r="23" spans="1:29" s="108" customFormat="1" ht="42.75">
      <c r="A23" s="594"/>
      <c r="B23" s="578" t="s">
        <v>1778</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13"/>
      <c r="M23" s="2714"/>
      <c r="N23" s="2714"/>
      <c r="O23" s="2768"/>
      <c r="P23" s="3754"/>
      <c r="Q23" s="1339" t="str">
        <f t="shared" si="8"/>
        <v>公共配套设施</v>
      </c>
      <c r="R23" s="697" t="s">
        <v>14</v>
      </c>
      <c r="S23" s="698">
        <f>F23</f>
        <v>100</v>
      </c>
      <c r="T23" s="697" t="s">
        <v>14</v>
      </c>
      <c r="U23" s="698">
        <f>H23</f>
        <v>100</v>
      </c>
      <c r="V23" s="697" t="s">
        <v>14</v>
      </c>
      <c r="W23" s="698">
        <f>J23</f>
        <v>100</v>
      </c>
      <c r="X23" s="699"/>
      <c r="Y23" s="3754"/>
      <c r="Z23" s="52" t="str">
        <f>Q23</f>
        <v>公共配套设施</v>
      </c>
      <c r="AA23" s="1349">
        <f>D23/F23</f>
        <v>1</v>
      </c>
      <c r="AB23" s="1349">
        <f>D23/H23</f>
        <v>1</v>
      </c>
      <c r="AC23" s="1349">
        <f>D23/J23</f>
        <v>1</v>
      </c>
    </row>
    <row r="24" spans="1:29" s="108" customFormat="1" ht="15">
      <c r="A24" s="594"/>
      <c r="B24" s="577"/>
      <c r="C24" s="1974"/>
      <c r="D24" s="396"/>
      <c r="E24" s="1900"/>
      <c r="F24" s="396"/>
      <c r="G24" s="1900"/>
      <c r="H24" s="396"/>
      <c r="I24" s="395"/>
      <c r="J24" s="396"/>
      <c r="K24" s="617"/>
      <c r="L24" s="2713"/>
      <c r="M24" s="2714"/>
      <c r="N24" s="2714"/>
      <c r="O24" s="2768"/>
      <c r="P24" s="3754"/>
      <c r="Q24" s="1339"/>
      <c r="R24" s="697"/>
      <c r="S24" s="698"/>
      <c r="T24" s="697"/>
      <c r="U24" s="698"/>
      <c r="V24" s="697"/>
      <c r="W24" s="698"/>
      <c r="X24" s="699"/>
      <c r="Y24" s="3754"/>
      <c r="Z24" s="52"/>
      <c r="AA24" s="700">
        <v>1</v>
      </c>
      <c r="AB24" s="700">
        <v>1</v>
      </c>
      <c r="AC24" s="700">
        <v>1</v>
      </c>
    </row>
    <row r="25" spans="1:29" s="108" customFormat="1" ht="28.5">
      <c r="A25" s="594"/>
      <c r="B25" s="578" t="s">
        <v>1779</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13"/>
      <c r="M25" s="2714"/>
      <c r="N25" s="2714"/>
      <c r="O25" s="2768"/>
      <c r="P25" s="3754"/>
      <c r="Q25" s="1339" t="str">
        <f t="shared" ref="Q25" si="9">B25</f>
        <v>基础设施水平</v>
      </c>
      <c r="R25" s="697" t="s">
        <v>14</v>
      </c>
      <c r="S25" s="698">
        <f>F25</f>
        <v>100</v>
      </c>
      <c r="T25" s="697" t="s">
        <v>14</v>
      </c>
      <c r="U25" s="698">
        <f>H25</f>
        <v>100</v>
      </c>
      <c r="V25" s="697" t="s">
        <v>14</v>
      </c>
      <c r="W25" s="698">
        <f>J25</f>
        <v>100</v>
      </c>
      <c r="X25" s="699"/>
      <c r="Y25" s="3754"/>
      <c r="Z25" s="52" t="str">
        <f>Q25</f>
        <v>基础设施水平</v>
      </c>
      <c r="AA25" s="1349">
        <f>D25/F25</f>
        <v>1</v>
      </c>
      <c r="AB25" s="1349">
        <f>D25/H25</f>
        <v>1</v>
      </c>
      <c r="AC25" s="1349">
        <f>D25/J25</f>
        <v>1</v>
      </c>
    </row>
    <row r="26" spans="1:29" s="108" customFormat="1" ht="15">
      <c r="A26" s="594"/>
      <c r="B26" s="577"/>
      <c r="C26" s="1974"/>
      <c r="D26" s="396"/>
      <c r="E26" s="1975"/>
      <c r="F26" s="396"/>
      <c r="G26" s="1975"/>
      <c r="H26" s="396"/>
      <c r="I26" s="1975"/>
      <c r="J26" s="396"/>
      <c r="K26" s="617"/>
      <c r="L26" s="2713"/>
      <c r="M26" s="2714"/>
      <c r="N26" s="2714"/>
      <c r="O26" s="2768"/>
      <c r="P26" s="3754"/>
      <c r="Q26" s="1339"/>
      <c r="R26" s="697"/>
      <c r="S26" s="698"/>
      <c r="T26" s="697"/>
      <c r="U26" s="698"/>
      <c r="V26" s="697"/>
      <c r="W26" s="698"/>
      <c r="X26" s="699"/>
      <c r="Y26" s="3754"/>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8"/>
      <c r="M27" s="2712"/>
      <c r="N27" s="2712"/>
      <c r="O27" s="2770"/>
      <c r="P27" s="3754"/>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54"/>
      <c r="Z27" s="1352" t="str">
        <f t="shared" ref="Z27:Z40" si="13">Q27</f>
        <v>临街状况</v>
      </c>
      <c r="AA27" s="1349">
        <f t="shared" si="3"/>
        <v>1</v>
      </c>
      <c r="AB27" s="1349">
        <f t="shared" si="4"/>
        <v>1</v>
      </c>
      <c r="AC27" s="1349">
        <f t="shared" si="5"/>
        <v>1</v>
      </c>
    </row>
    <row r="28" spans="1:29" ht="27">
      <c r="A28" s="376"/>
      <c r="B28" s="578" t="s">
        <v>1815</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8"/>
      <c r="M28" s="2712"/>
      <c r="N28" s="2712"/>
      <c r="O28" s="2770"/>
      <c r="P28" s="3754"/>
      <c r="Q28" s="1348" t="str">
        <f t="shared" si="8"/>
        <v>毗邻道路的类型与等级</v>
      </c>
      <c r="R28" s="701" t="s">
        <v>14</v>
      </c>
      <c r="S28" s="702">
        <f t="shared" si="10"/>
        <v>100</v>
      </c>
      <c r="T28" s="701" t="s">
        <v>14</v>
      </c>
      <c r="U28" s="702">
        <f t="shared" si="11"/>
        <v>100</v>
      </c>
      <c r="V28" s="701" t="s">
        <v>14</v>
      </c>
      <c r="W28" s="702">
        <f t="shared" si="12"/>
        <v>100</v>
      </c>
      <c r="X28" s="1351"/>
      <c r="Y28" s="3754"/>
      <c r="Z28" s="1352" t="str">
        <f t="shared" si="13"/>
        <v>毗邻道路的类型与等级</v>
      </c>
      <c r="AA28" s="1349">
        <f t="shared" si="3"/>
        <v>1</v>
      </c>
      <c r="AB28" s="1349">
        <f t="shared" si="4"/>
        <v>1</v>
      </c>
      <c r="AC28" s="1349">
        <f t="shared" si="5"/>
        <v>1</v>
      </c>
    </row>
    <row r="29" spans="1:29" ht="15">
      <c r="A29" s="376"/>
      <c r="B29" s="577"/>
      <c r="C29" s="395"/>
      <c r="D29" s="396"/>
      <c r="E29" s="1900"/>
      <c r="F29" s="396"/>
      <c r="G29" s="1900"/>
      <c r="H29" s="396"/>
      <c r="I29" s="1900"/>
      <c r="J29" s="396"/>
      <c r="K29" s="559"/>
      <c r="L29" s="2718"/>
      <c r="M29" s="2712"/>
      <c r="N29" s="2712"/>
      <c r="O29" s="2770"/>
      <c r="P29" s="3754"/>
      <c r="Q29" s="1348"/>
      <c r="R29" s="701"/>
      <c r="S29" s="702"/>
      <c r="T29" s="701"/>
      <c r="U29" s="702"/>
      <c r="V29" s="701"/>
      <c r="W29" s="702"/>
      <c r="X29" s="1351"/>
      <c r="Y29" s="3754"/>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8"/>
      <c r="M30" s="2712"/>
      <c r="N30" s="2712"/>
      <c r="O30" s="2770"/>
      <c r="P30" s="3754"/>
      <c r="Q30" s="1348" t="str">
        <f t="shared" si="8"/>
        <v>土地级别</v>
      </c>
      <c r="R30" s="701" t="s">
        <v>14</v>
      </c>
      <c r="S30" s="702">
        <f t="shared" si="10"/>
        <v>100</v>
      </c>
      <c r="T30" s="701" t="s">
        <v>14</v>
      </c>
      <c r="U30" s="702">
        <f t="shared" si="11"/>
        <v>100</v>
      </c>
      <c r="V30" s="701" t="s">
        <v>14</v>
      </c>
      <c r="W30" s="702">
        <f t="shared" si="12"/>
        <v>100</v>
      </c>
      <c r="X30" s="1351"/>
      <c r="Y30" s="3754"/>
      <c r="Z30" s="1352" t="str">
        <f t="shared" si="13"/>
        <v>土地级别</v>
      </c>
      <c r="AA30" s="1349">
        <f t="shared" si="3"/>
        <v>1</v>
      </c>
      <c r="AB30" s="1349">
        <f t="shared" si="4"/>
        <v>1</v>
      </c>
      <c r="AC30" s="1349">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8"/>
      <c r="M31" s="2712"/>
      <c r="N31" s="2712"/>
      <c r="O31" s="2770"/>
      <c r="P31" s="3754"/>
      <c r="Q31" s="1348">
        <f t="shared" si="8"/>
        <v>111</v>
      </c>
      <c r="R31" s="701" t="s">
        <v>14</v>
      </c>
      <c r="S31" s="702">
        <f t="shared" si="10"/>
        <v>100</v>
      </c>
      <c r="T31" s="701" t="s">
        <v>14</v>
      </c>
      <c r="U31" s="702">
        <f t="shared" si="11"/>
        <v>100</v>
      </c>
      <c r="V31" s="701" t="s">
        <v>14</v>
      </c>
      <c r="W31" s="702">
        <f t="shared" si="12"/>
        <v>100</v>
      </c>
      <c r="X31" s="1351"/>
      <c r="Y31" s="3754"/>
      <c r="Z31" s="1352">
        <f t="shared" si="13"/>
        <v>111</v>
      </c>
      <c r="AA31" s="1349">
        <f t="shared" si="3"/>
        <v>1</v>
      </c>
      <c r="AB31" s="1349">
        <f t="shared" si="4"/>
        <v>1</v>
      </c>
      <c r="AC31" s="1349">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8"/>
      <c r="M32" s="2712"/>
      <c r="N32" s="2712"/>
      <c r="O32" s="2770"/>
      <c r="P32" s="3835" t="s">
        <v>1696</v>
      </c>
      <c r="Q32" s="1348">
        <f t="shared" si="8"/>
        <v>111</v>
      </c>
      <c r="R32" s="701" t="s">
        <v>14</v>
      </c>
      <c r="S32" s="702">
        <f t="shared" si="10"/>
        <v>100</v>
      </c>
      <c r="T32" s="701" t="s">
        <v>14</v>
      </c>
      <c r="U32" s="702">
        <f t="shared" si="11"/>
        <v>100</v>
      </c>
      <c r="V32" s="701" t="s">
        <v>14</v>
      </c>
      <c r="W32" s="702">
        <f t="shared" si="12"/>
        <v>100</v>
      </c>
      <c r="X32" s="1351"/>
      <c r="Y32" s="3758" t="s">
        <v>1696</v>
      </c>
      <c r="Z32" s="1352">
        <f t="shared" si="13"/>
        <v>111</v>
      </c>
      <c r="AA32" s="1349">
        <f t="shared" si="3"/>
        <v>1</v>
      </c>
      <c r="AB32" s="1349">
        <f t="shared" si="4"/>
        <v>1</v>
      </c>
      <c r="AC32" s="1349">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7"/>
      <c r="M33" s="2719"/>
      <c r="N33" s="2719"/>
      <c r="O33" s="2771"/>
      <c r="P33" s="3758"/>
      <c r="Q33" s="1348">
        <f t="shared" si="8"/>
        <v>111</v>
      </c>
      <c r="R33" s="704" t="s">
        <v>14</v>
      </c>
      <c r="S33" s="705">
        <f t="shared" si="10"/>
        <v>100</v>
      </c>
      <c r="T33" s="704" t="s">
        <v>14</v>
      </c>
      <c r="U33" s="705">
        <f t="shared" si="11"/>
        <v>100</v>
      </c>
      <c r="V33" s="704" t="s">
        <v>14</v>
      </c>
      <c r="W33" s="705">
        <f t="shared" si="12"/>
        <v>100</v>
      </c>
      <c r="X33" s="706"/>
      <c r="Y33" s="3758"/>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8"/>
      <c r="M34" s="2712"/>
      <c r="N34" s="2712"/>
      <c r="O34" s="2770"/>
      <c r="P34" s="3758"/>
      <c r="Q34" s="1348" t="str">
        <f>B34</f>
        <v>宗地面积</v>
      </c>
      <c r="R34" s="701" t="s">
        <v>14</v>
      </c>
      <c r="S34" s="702" t="e">
        <f t="shared" si="10"/>
        <v>#N/A</v>
      </c>
      <c r="T34" s="701" t="s">
        <v>14</v>
      </c>
      <c r="U34" s="702" t="e">
        <f t="shared" si="11"/>
        <v>#N/A</v>
      </c>
      <c r="V34" s="701" t="s">
        <v>14</v>
      </c>
      <c r="W34" s="702" t="e">
        <f t="shared" si="12"/>
        <v>#N/A</v>
      </c>
      <c r="X34" s="1351"/>
      <c r="Y34" s="3758"/>
      <c r="Z34" s="1352" t="str">
        <f t="shared" si="13"/>
        <v>宗地面积</v>
      </c>
      <c r="AA34" s="1349" t="e">
        <f t="shared" si="3"/>
        <v>#N/A</v>
      </c>
      <c r="AB34" s="1349" t="e">
        <f t="shared" si="4"/>
        <v>#N/A</v>
      </c>
      <c r="AC34" s="1349" t="e">
        <f t="shared" si="5"/>
        <v>#N/A</v>
      </c>
    </row>
    <row r="35" spans="1:31" ht="15">
      <c r="A35" s="420"/>
      <c r="B35" s="372" t="s">
        <v>1875</v>
      </c>
      <c r="C35" s="1902"/>
      <c r="D35" s="383">
        <v>100</v>
      </c>
      <c r="E35" s="1902"/>
      <c r="F35" s="383">
        <f>SUMIF(110:110,E35,111:111)-SUMIF(110:110,C35,111:111)+100</f>
        <v>100</v>
      </c>
      <c r="G35" s="1902"/>
      <c r="H35" s="383">
        <f>SUMIF(110:110,G35,111:111)-SUMIF(110:110,C35,111:111)+100</f>
        <v>100</v>
      </c>
      <c r="I35" s="1902"/>
      <c r="J35" s="383">
        <f>SUMIF(110:110,I35,111:111)-SUMIF(110:110,C35,111:111)+100</f>
        <v>100</v>
      </c>
      <c r="K35" s="558"/>
      <c r="L35" s="2718"/>
      <c r="M35" s="2712"/>
      <c r="N35" s="2712"/>
      <c r="O35" s="2770"/>
      <c r="P35" s="3758"/>
      <c r="Q35" s="1348" t="str">
        <f t="shared" ref="Q35:Q40" si="14">B35</f>
        <v>宗地形状</v>
      </c>
      <c r="R35" s="701" t="s">
        <v>14</v>
      </c>
      <c r="S35" s="702">
        <f t="shared" si="10"/>
        <v>100</v>
      </c>
      <c r="T35" s="701" t="s">
        <v>14</v>
      </c>
      <c r="U35" s="702">
        <f t="shared" si="11"/>
        <v>100</v>
      </c>
      <c r="V35" s="701" t="s">
        <v>14</v>
      </c>
      <c r="W35" s="702">
        <f t="shared" si="12"/>
        <v>100</v>
      </c>
      <c r="X35" s="1351"/>
      <c r="Y35" s="3758"/>
      <c r="Z35" s="1352" t="str">
        <f t="shared" si="13"/>
        <v>宗地形状</v>
      </c>
      <c r="AA35" s="1349">
        <f t="shared" si="3"/>
        <v>1</v>
      </c>
      <c r="AB35" s="1349">
        <f t="shared" si="4"/>
        <v>1</v>
      </c>
      <c r="AC35" s="1349">
        <f t="shared" si="5"/>
        <v>1</v>
      </c>
    </row>
    <row r="36" spans="1:31" s="108" customFormat="1" ht="15">
      <c r="A36" s="421"/>
      <c r="B36" s="372" t="s">
        <v>1877</v>
      </c>
      <c r="C36" s="1976"/>
      <c r="D36" s="124">
        <v>100</v>
      </c>
      <c r="E36" s="1976"/>
      <c r="F36" s="383">
        <f>SUMIF(112:112,E36,113:113)-SUMIF(112:112,C36,113:113)+100</f>
        <v>100</v>
      </c>
      <c r="G36" s="1976"/>
      <c r="H36" s="383">
        <f>SUMIF(112:112,G36,113:113)-SUMIF(112:112,C36,113:113)+100</f>
        <v>100</v>
      </c>
      <c r="I36" s="1976"/>
      <c r="J36" s="383">
        <f>SUMIF(112:112,I36,113:113)-SUMIF(112:112,C36,113:113)+100</f>
        <v>100</v>
      </c>
      <c r="K36" s="558"/>
      <c r="L36" s="2713"/>
      <c r="M36" s="2714"/>
      <c r="N36" s="2714"/>
      <c r="O36" s="2768"/>
      <c r="P36" s="3758"/>
      <c r="Q36" s="1348" t="str">
        <f t="shared" si="14"/>
        <v>宗地开发程度</v>
      </c>
      <c r="R36" s="697" t="s">
        <v>14</v>
      </c>
      <c r="S36" s="698">
        <f t="shared" si="10"/>
        <v>100</v>
      </c>
      <c r="T36" s="697" t="s">
        <v>14</v>
      </c>
      <c r="U36" s="698">
        <f t="shared" si="11"/>
        <v>100</v>
      </c>
      <c r="V36" s="697" t="s">
        <v>14</v>
      </c>
      <c r="W36" s="698">
        <f t="shared" si="12"/>
        <v>100</v>
      </c>
      <c r="X36" s="699"/>
      <c r="Y36" s="3758"/>
      <c r="Z36" s="52" t="str">
        <f t="shared" si="13"/>
        <v>宗地开发程度</v>
      </c>
      <c r="AA36" s="700">
        <f t="shared" si="3"/>
        <v>1</v>
      </c>
      <c r="AB36" s="700">
        <f t="shared" si="4"/>
        <v>1</v>
      </c>
      <c r="AC36" s="700">
        <f t="shared" si="5"/>
        <v>1</v>
      </c>
    </row>
    <row r="37" spans="1:31" ht="15">
      <c r="A37" s="420"/>
      <c r="B37" s="372" t="s">
        <v>1878</v>
      </c>
      <c r="C37" s="1902"/>
      <c r="D37" s="383">
        <v>100</v>
      </c>
      <c r="E37" s="1902"/>
      <c r="F37" s="383">
        <f>SUMIF(114:114,E37,115:115)-SUMIF(114:114,C37,115:115)+100</f>
        <v>100</v>
      </c>
      <c r="G37" s="1902"/>
      <c r="H37" s="383">
        <f>SUMIF(114:114,G37,115:115)-SUMIF(114:114,C37,115:115)+100</f>
        <v>100</v>
      </c>
      <c r="I37" s="1902"/>
      <c r="J37" s="383">
        <f>SUMIF(114:114,I37,115:115)-SUMIF(114:114,C37,115:115)+100</f>
        <v>100</v>
      </c>
      <c r="K37" s="558"/>
      <c r="L37" s="2718"/>
      <c r="M37" s="2712"/>
      <c r="N37" s="2712"/>
      <c r="O37" s="2770"/>
      <c r="P37" s="3758" t="s">
        <v>1696</v>
      </c>
      <c r="Q37" s="1348" t="str">
        <f t="shared" si="14"/>
        <v>工程地质条件</v>
      </c>
      <c r="R37" s="701" t="s">
        <v>14</v>
      </c>
      <c r="S37" s="702">
        <f t="shared" si="10"/>
        <v>100</v>
      </c>
      <c r="T37" s="701" t="s">
        <v>14</v>
      </c>
      <c r="U37" s="702">
        <f t="shared" si="11"/>
        <v>100</v>
      </c>
      <c r="V37" s="701" t="s">
        <v>14</v>
      </c>
      <c r="W37" s="702">
        <f t="shared" si="12"/>
        <v>100</v>
      </c>
      <c r="X37" s="1351"/>
      <c r="Y37" s="3758"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8"/>
      <c r="M38" s="2712"/>
      <c r="N38" s="2712"/>
      <c r="O38" s="2770"/>
      <c r="P38" s="3758"/>
      <c r="Q38" s="1348">
        <f t="shared" si="14"/>
        <v>111</v>
      </c>
      <c r="R38" s="701" t="s">
        <v>14</v>
      </c>
      <c r="S38" s="702">
        <f t="shared" si="10"/>
        <v>100</v>
      </c>
      <c r="T38" s="701" t="s">
        <v>14</v>
      </c>
      <c r="U38" s="702">
        <f t="shared" si="11"/>
        <v>100</v>
      </c>
      <c r="V38" s="701" t="s">
        <v>14</v>
      </c>
      <c r="W38" s="702">
        <f t="shared" si="12"/>
        <v>100</v>
      </c>
      <c r="X38" s="1351"/>
      <c r="Y38" s="3758"/>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8"/>
      <c r="M39" s="2712"/>
      <c r="N39" s="2712"/>
      <c r="O39" s="2770"/>
      <c r="P39" s="3758"/>
      <c r="Q39" s="1348">
        <f t="shared" si="14"/>
        <v>111</v>
      </c>
      <c r="R39" s="701" t="s">
        <v>14</v>
      </c>
      <c r="S39" s="702">
        <f t="shared" si="10"/>
        <v>100</v>
      </c>
      <c r="T39" s="701" t="s">
        <v>14</v>
      </c>
      <c r="U39" s="702">
        <f t="shared" si="11"/>
        <v>100</v>
      </c>
      <c r="V39" s="701" t="s">
        <v>14</v>
      </c>
      <c r="W39" s="702">
        <f t="shared" si="12"/>
        <v>100</v>
      </c>
      <c r="X39" s="1351"/>
      <c r="Y39" s="3758"/>
      <c r="Z39" s="1352">
        <f t="shared" si="13"/>
        <v>111</v>
      </c>
      <c r="AA39" s="1349">
        <f t="shared" si="3"/>
        <v>1</v>
      </c>
      <c r="AB39" s="1349">
        <f t="shared" si="4"/>
        <v>1</v>
      </c>
      <c r="AC39" s="1349">
        <f t="shared" si="5"/>
        <v>1</v>
      </c>
    </row>
    <row r="40" spans="1:31" s="419" customFormat="1" ht="15.75" thickBot="1">
      <c r="A40" s="416"/>
      <c r="B40" s="1130">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7"/>
      <c r="M40" s="2719"/>
      <c r="N40" s="2719"/>
      <c r="O40" s="2771"/>
      <c r="P40" s="3758"/>
      <c r="Q40" s="1348">
        <f t="shared" si="14"/>
        <v>111</v>
      </c>
      <c r="R40" s="704" t="s">
        <v>14</v>
      </c>
      <c r="S40" s="705">
        <f t="shared" si="10"/>
        <v>100</v>
      </c>
      <c r="T40" s="704" t="s">
        <v>14</v>
      </c>
      <c r="U40" s="705">
        <f t="shared" si="11"/>
        <v>100</v>
      </c>
      <c r="V40" s="704" t="s">
        <v>14</v>
      </c>
      <c r="W40" s="705">
        <f t="shared" si="12"/>
        <v>100</v>
      </c>
      <c r="X40" s="706"/>
      <c r="Y40" s="3758"/>
      <c r="Z40" s="707">
        <f t="shared" si="13"/>
        <v>111</v>
      </c>
      <c r="AA40" s="1349">
        <f t="shared" si="3"/>
        <v>1</v>
      </c>
      <c r="AB40" s="1349">
        <f t="shared" si="4"/>
        <v>1</v>
      </c>
      <c r="AC40" s="1349">
        <f t="shared" si="5"/>
        <v>1</v>
      </c>
    </row>
    <row r="41" spans="1:31" ht="15">
      <c r="A41" s="427" t="s">
        <v>1844</v>
      </c>
      <c r="B41" s="1978" t="s">
        <v>1922</v>
      </c>
      <c r="C41" s="627" t="s">
        <v>0</v>
      </c>
      <c r="D41" s="429"/>
      <c r="E41" s="430"/>
      <c r="F41" s="431"/>
      <c r="G41" s="432"/>
      <c r="H41" s="433"/>
      <c r="I41" s="430"/>
      <c r="J41" s="433"/>
      <c r="K41" s="710"/>
      <c r="L41" s="2720"/>
      <c r="M41" s="2712"/>
      <c r="N41" s="2712"/>
      <c r="O41" s="2721"/>
      <c r="P41" s="3746" t="str">
        <f>A41</f>
        <v>成交单价</v>
      </c>
      <c r="Q41" s="3746"/>
      <c r="R41" s="3780">
        <f>E41</f>
        <v>0</v>
      </c>
      <c r="S41" s="3780"/>
      <c r="T41" s="3780">
        <f>G41</f>
        <v>0</v>
      </c>
      <c r="U41" s="3780"/>
      <c r="V41" s="3780">
        <f>I41</f>
        <v>0</v>
      </c>
      <c r="W41" s="3780"/>
      <c r="X41" s="686"/>
      <c r="Y41" s="708"/>
      <c r="Z41" s="686"/>
      <c r="AA41" s="686"/>
      <c r="AB41" s="686"/>
      <c r="AC41" s="686"/>
    </row>
    <row r="42" spans="1:31" ht="15.75" thickBot="1">
      <c r="A42" s="434" t="s">
        <v>1793</v>
      </c>
      <c r="B42" s="628"/>
      <c r="C42" s="437" t="e">
        <f>R43</f>
        <v>#DIV/0!</v>
      </c>
      <c r="D42" s="2313" t="s">
        <v>2138</v>
      </c>
      <c r="E42" s="437" t="e">
        <f>R42</f>
        <v>#DIV/0!</v>
      </c>
      <c r="F42" s="2314"/>
      <c r="G42" s="436" t="e">
        <f>T42</f>
        <v>#DIV/0!</v>
      </c>
      <c r="H42" s="2314"/>
      <c r="I42" s="437" t="e">
        <f>V42</f>
        <v>#DIV/0!</v>
      </c>
      <c r="J42" s="2314"/>
      <c r="K42" s="2316">
        <f>F42+H42+J42</f>
        <v>0</v>
      </c>
      <c r="L42" s="2720"/>
      <c r="M42" s="2712"/>
      <c r="N42" s="2712"/>
      <c r="O42" s="2721"/>
      <c r="P42" s="3746" t="str">
        <f>A42</f>
        <v>比较价值（元/平方米）</v>
      </c>
      <c r="Q42" s="3746"/>
      <c r="R42" s="3837" t="e">
        <f>ROUND(PRODUCT(R41,AA7:AA40),0)</f>
        <v>#DIV/0!</v>
      </c>
      <c r="S42" s="3837"/>
      <c r="T42" s="3837" t="e">
        <f>ROUND(PRODUCT(T41,AB7:AB40),0)</f>
        <v>#DIV/0!</v>
      </c>
      <c r="U42" s="3837"/>
      <c r="V42" s="3837" t="e">
        <f>ROUND(PRODUCT(V41,AC7:AC40),0)</f>
        <v>#DIV/0!</v>
      </c>
      <c r="W42" s="3837"/>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20"/>
      <c r="M43" s="2712"/>
      <c r="N43" s="2712"/>
      <c r="O43" s="2721"/>
      <c r="P43" s="3825" t="str">
        <f>A43</f>
        <v>估价对象XX用房的比较价值（楼面单价，元/平方米）</v>
      </c>
      <c r="Q43" s="3826"/>
      <c r="R43" s="3838" t="e">
        <f>ROUND(IF(D42="简单平均",AVERAGE(R42:W42),R42*F42+T42*H42+V42*J42),0)</f>
        <v>#DIV/0!</v>
      </c>
      <c r="S43" s="3838"/>
      <c r="T43" s="3838"/>
      <c r="U43" s="3838"/>
      <c r="V43" s="3838"/>
      <c r="W43" s="3838"/>
      <c r="X43" s="686"/>
      <c r="Y43" s="686"/>
      <c r="Z43" s="686"/>
      <c r="AA43" s="686"/>
      <c r="AB43" s="686"/>
      <c r="AC43" s="686"/>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8" customFormat="1" ht="13.5" customHeight="1">
      <c r="A48" s="2724"/>
      <c r="B48" s="2724"/>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8" customFormat="1" ht="15" thickBot="1">
      <c r="A49" s="2724"/>
      <c r="B49" s="2727"/>
      <c r="C49" s="689"/>
      <c r="D49" s="687"/>
      <c r="E49" s="687"/>
      <c r="F49" s="687"/>
      <c r="G49" s="687"/>
      <c r="H49" s="687"/>
      <c r="I49" s="687"/>
      <c r="J49" s="687"/>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29" t="s">
        <v>1881</v>
      </c>
      <c r="B50" s="630" t="s">
        <v>1882</v>
      </c>
      <c r="C50" s="1979" t="s">
        <v>1883</v>
      </c>
      <c r="D50" s="1980" t="s">
        <v>1884</v>
      </c>
      <c r="E50" s="631" t="s">
        <v>1885</v>
      </c>
      <c r="F50" s="632" t="s">
        <v>1886</v>
      </c>
      <c r="G50" s="3763" t="s">
        <v>1887</v>
      </c>
      <c r="H50" s="3839"/>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7" customFormat="1">
      <c r="A51" s="633" t="s">
        <v>1890</v>
      </c>
      <c r="B51" s="634" t="e">
        <f>C43</f>
        <v>#DIV/0!</v>
      </c>
      <c r="C51" s="635">
        <v>1</v>
      </c>
      <c r="D51" s="940">
        <v>1</v>
      </c>
      <c r="E51" s="635">
        <f>'数据-汇总表'!E8+'数据-汇总表'!E9</f>
        <v>247091.11999999997</v>
      </c>
      <c r="F51" s="636" t="e">
        <f t="shared" ref="F51:F60" si="15">ROUND(B51*E51/10000,0)</f>
        <v>#DIV/0!</v>
      </c>
      <c r="G51" s="3745"/>
      <c r="H51" s="3746"/>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7" customFormat="1">
      <c r="A52" s="638" t="s">
        <v>1891</v>
      </c>
      <c r="B52" s="215" t="e">
        <f>ROUND($C$43*C52*D52,0)</f>
        <v>#DIV/0!</v>
      </c>
      <c r="C52" s="168">
        <f t="shared" ref="C52:C60" si="16">IF($C$50="北京市系数",I52,J52)</f>
        <v>0</v>
      </c>
      <c r="D52" s="941">
        <v>0.25</v>
      </c>
      <c r="E52" s="639"/>
      <c r="F52" s="636" t="e">
        <f t="shared" si="15"/>
        <v>#DIV/0!</v>
      </c>
      <c r="G52" s="3002" t="s">
        <v>1892</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7" customFormat="1">
      <c r="A53" s="638" t="s">
        <v>1893</v>
      </c>
      <c r="B53" s="215" t="e">
        <f t="shared" ref="B53:B60" si="17">ROUND($C$43*C53*D53,0)</f>
        <v>#DIV/0!</v>
      </c>
      <c r="C53" s="168">
        <f t="shared" si="16"/>
        <v>0</v>
      </c>
      <c r="D53" s="941">
        <v>0.25</v>
      </c>
      <c r="E53" s="639"/>
      <c r="F53" s="636"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7" customFormat="1">
      <c r="A54" s="638" t="s">
        <v>1894</v>
      </c>
      <c r="B54" s="215" t="e">
        <f t="shared" si="17"/>
        <v>#DIV/0!</v>
      </c>
      <c r="C54" s="168">
        <f t="shared" si="16"/>
        <v>0</v>
      </c>
      <c r="D54" s="941">
        <v>0.25</v>
      </c>
      <c r="E54" s="639"/>
      <c r="F54" s="636"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7" customFormat="1" hidden="1">
      <c r="A55" s="638"/>
      <c r="B55" s="215"/>
      <c r="C55" s="168"/>
      <c r="D55" s="941"/>
      <c r="E55" s="639"/>
      <c r="F55" s="636"/>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7" customFormat="1">
      <c r="A56" s="638" t="s">
        <v>1895</v>
      </c>
      <c r="B56" s="215" t="e">
        <f t="shared" si="17"/>
        <v>#DIV/0!</v>
      </c>
      <c r="C56" s="168">
        <f t="shared" si="16"/>
        <v>0</v>
      </c>
      <c r="D56" s="941">
        <v>0.25</v>
      </c>
      <c r="E56" s="214">
        <f>'数据-汇总表'!E11</f>
        <v>0</v>
      </c>
      <c r="F56" s="636"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7" customFormat="1">
      <c r="A59" s="638" t="s">
        <v>1901</v>
      </c>
      <c r="B59" s="215" t="e">
        <f t="shared" si="17"/>
        <v>#DIV/0!</v>
      </c>
      <c r="C59" s="168">
        <f t="shared" si="16"/>
        <v>0</v>
      </c>
      <c r="D59" s="941">
        <v>0.25</v>
      </c>
      <c r="E59" s="214">
        <f>'数据-汇总表'!E14</f>
        <v>0</v>
      </c>
      <c r="F59" s="636" t="e">
        <f t="shared" si="15"/>
        <v>#DIV/0!</v>
      </c>
      <c r="G59" s="1983" t="s">
        <v>1892</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7" customFormat="1" ht="15" thickBot="1">
      <c r="A60" s="638" t="s">
        <v>1902</v>
      </c>
      <c r="B60" s="215" t="e">
        <f t="shared" si="17"/>
        <v>#DIV/0!</v>
      </c>
      <c r="C60" s="168">
        <f t="shared" si="16"/>
        <v>0</v>
      </c>
      <c r="D60" s="941">
        <v>0.25</v>
      </c>
      <c r="E60" s="214">
        <f>'数据-汇总表'!E15</f>
        <v>0</v>
      </c>
      <c r="F60" s="636"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7" customFormat="1" ht="15" thickBot="1">
      <c r="A61" s="640" t="s">
        <v>1903</v>
      </c>
      <c r="B61" s="641" t="s">
        <v>22</v>
      </c>
      <c r="C61" s="641" t="s">
        <v>23</v>
      </c>
      <c r="D61" s="641" t="s">
        <v>392</v>
      </c>
      <c r="E61" s="641">
        <f>IF(B41="楼面地价",SUM(E51:E60),'数据-汇总表'!D3)</f>
        <v>65012.5</v>
      </c>
      <c r="F61" s="642"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88" t="str">
        <f>YEAR(C7)&amp;"-"&amp;MONTH(C7)&amp;"-1"</f>
        <v>2024-5-1</v>
      </c>
      <c r="D63" s="688">
        <f>EDATE(C63,-3)</f>
        <v>45323</v>
      </c>
      <c r="E63" s="688">
        <f>EDATE(D63,-3)</f>
        <v>45231</v>
      </c>
      <c r="F63" s="688">
        <f t="shared" ref="F63:O63" si="18">EDATE(E63,-3)</f>
        <v>45139</v>
      </c>
      <c r="G63" s="688">
        <f t="shared" si="18"/>
        <v>45047</v>
      </c>
      <c r="H63" s="688">
        <f t="shared" si="18"/>
        <v>44958</v>
      </c>
      <c r="I63" s="688">
        <f t="shared" si="18"/>
        <v>44866</v>
      </c>
      <c r="J63" s="688">
        <f t="shared" si="18"/>
        <v>44774</v>
      </c>
      <c r="K63" s="688">
        <f t="shared" si="18"/>
        <v>44682</v>
      </c>
      <c r="L63" s="688">
        <f t="shared" si="18"/>
        <v>44593</v>
      </c>
      <c r="M63" s="688">
        <f t="shared" si="18"/>
        <v>44501</v>
      </c>
      <c r="N63" s="688">
        <f t="shared" si="18"/>
        <v>44409</v>
      </c>
      <c r="O63" s="688">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0" t="s">
        <v>1798</v>
      </c>
      <c r="B64" s="686"/>
      <c r="C64" s="691"/>
      <c r="D64" s="691"/>
      <c r="E64" s="691"/>
      <c r="F64" s="692"/>
      <c r="G64" s="692"/>
      <c r="H64" s="691"/>
      <c r="I64" s="691"/>
      <c r="J64" s="691"/>
      <c r="K64" s="693"/>
      <c r="L64" s="694"/>
      <c r="M64" s="691"/>
      <c r="N64" s="691"/>
      <c r="O64" s="936"/>
      <c r="P64" s="2765"/>
      <c r="Q64" s="2735"/>
      <c r="R64" s="2721"/>
      <c r="S64" s="2721"/>
      <c r="T64" s="2721"/>
      <c r="U64" s="2721"/>
      <c r="V64" s="2721"/>
      <c r="W64" s="2721"/>
      <c r="X64" s="2721"/>
      <c r="Y64" s="2721"/>
      <c r="Z64" s="2721"/>
      <c r="AA64" s="2721"/>
      <c r="AB64" s="2721"/>
      <c r="AC64" s="2721"/>
      <c r="AD64" s="2721"/>
      <c r="AE64" s="2721"/>
    </row>
    <row r="65" spans="1:31" s="454" customFormat="1" ht="15">
      <c r="A65" s="1985"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1" t="s">
        <v>1716</v>
      </c>
      <c r="B67" s="462"/>
      <c r="C67" s="463"/>
      <c r="D67" s="464"/>
      <c r="E67" s="464"/>
      <c r="F67" s="464"/>
      <c r="G67" s="464"/>
      <c r="H67" s="464"/>
      <c r="I67" s="464"/>
      <c r="J67" s="464"/>
      <c r="K67" s="464"/>
      <c r="L67" s="464"/>
      <c r="M67" s="465"/>
      <c r="N67" s="465"/>
      <c r="O67" s="466"/>
      <c r="P67" s="2735"/>
      <c r="Q67" s="2735"/>
      <c r="R67" s="2657"/>
      <c r="S67" s="2657"/>
      <c r="T67" s="2657"/>
      <c r="U67" s="2657"/>
      <c r="V67" s="2657"/>
      <c r="W67" s="2657"/>
      <c r="X67" s="2657"/>
      <c r="Y67" s="2657"/>
      <c r="Z67" s="2657"/>
      <c r="AA67" s="2657"/>
      <c r="AB67" s="2657"/>
      <c r="AC67" s="2657"/>
      <c r="AD67" s="2657"/>
      <c r="AE67" s="2657"/>
    </row>
    <row r="68" spans="1:31" s="108" customFormat="1" ht="15">
      <c r="A68" s="467" t="s">
        <v>1681</v>
      </c>
      <c r="B68" s="456"/>
      <c r="C68" s="468" t="s">
        <v>1776</v>
      </c>
      <c r="D68" s="469"/>
      <c r="E68" s="469"/>
      <c r="F68" s="469"/>
      <c r="G68" s="469"/>
      <c r="H68" s="469"/>
      <c r="I68" s="469"/>
      <c r="J68" s="469"/>
      <c r="K68" s="469"/>
      <c r="L68" s="470"/>
      <c r="M68" s="471"/>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7"/>
      <c r="B69" s="456"/>
      <c r="C69" s="584">
        <v>100</v>
      </c>
      <c r="D69" s="458"/>
      <c r="E69" s="458"/>
      <c r="F69" s="458"/>
      <c r="G69" s="458"/>
      <c r="H69" s="458"/>
      <c r="I69" s="458"/>
      <c r="J69" s="458"/>
      <c r="K69" s="458"/>
      <c r="L69" s="458"/>
      <c r="M69" s="460"/>
      <c r="N69" s="2748"/>
      <c r="O69" s="2748"/>
      <c r="P69" s="2735"/>
      <c r="Q69" s="2735"/>
      <c r="R69" s="2657"/>
      <c r="S69" s="2657"/>
      <c r="T69" s="2657"/>
      <c r="U69" s="2657"/>
      <c r="V69" s="2657"/>
      <c r="W69" s="2657"/>
      <c r="X69" s="2657"/>
      <c r="Y69" s="2657"/>
      <c r="Z69" s="2657"/>
      <c r="AA69" s="2657"/>
      <c r="AB69" s="2657"/>
      <c r="AC69" s="2657"/>
      <c r="AD69" s="2657"/>
      <c r="AE69" s="2657"/>
    </row>
    <row r="70" spans="1:31">
      <c r="A70" s="473" t="s">
        <v>1719</v>
      </c>
      <c r="B70" s="474" t="s">
        <v>1685</v>
      </c>
      <c r="C70" s="476"/>
      <c r="D70" s="476"/>
      <c r="E70" s="476"/>
      <c r="F70" s="476"/>
      <c r="G70" s="476"/>
      <c r="H70" s="476"/>
      <c r="I70" s="476"/>
      <c r="J70" s="476"/>
      <c r="K70" s="477"/>
      <c r="L70" s="478"/>
      <c r="M70" s="479"/>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0"/>
      <c r="B71" s="481"/>
      <c r="C71" s="482"/>
      <c r="D71" s="482"/>
      <c r="E71" s="482"/>
      <c r="F71" s="482"/>
      <c r="G71" s="482"/>
      <c r="H71" s="482"/>
      <c r="I71" s="482"/>
      <c r="J71" s="482"/>
      <c r="K71" s="482"/>
      <c r="L71" s="482"/>
      <c r="M71" s="483"/>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0"/>
      <c r="B72" s="484" t="s">
        <v>1688</v>
      </c>
      <c r="C72" s="485"/>
      <c r="D72" s="485"/>
      <c r="E72" s="485"/>
      <c r="F72" s="485"/>
      <c r="G72" s="485"/>
      <c r="H72" s="485"/>
      <c r="I72" s="485"/>
      <c r="J72" s="485"/>
      <c r="K72" s="486"/>
      <c r="L72" s="487"/>
      <c r="M72" s="488"/>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0"/>
      <c r="B73" s="489"/>
      <c r="C73" s="490"/>
      <c r="D73" s="490"/>
      <c r="E73" s="490"/>
      <c r="F73" s="490"/>
      <c r="G73" s="490"/>
      <c r="H73" s="490"/>
      <c r="I73" s="490"/>
      <c r="J73" s="490"/>
      <c r="K73" s="490"/>
      <c r="L73" s="490"/>
      <c r="M73" s="491"/>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0"/>
      <c r="B75" s="494"/>
      <c r="C75" s="495"/>
      <c r="D75" s="495"/>
      <c r="E75" s="495"/>
      <c r="F75" s="495"/>
      <c r="G75" s="495"/>
      <c r="H75" s="495"/>
      <c r="I75" s="495"/>
      <c r="J75" s="495"/>
      <c r="K75" s="496"/>
      <c r="L75" s="497"/>
      <c r="M75" s="498"/>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19" customFormat="1" ht="15.75" thickTop="1">
      <c r="A77" s="499"/>
      <c r="B77" s="484">
        <f>B12</f>
        <v>111</v>
      </c>
      <c r="C77" s="500"/>
      <c r="D77" s="500"/>
      <c r="E77" s="500"/>
      <c r="F77" s="500"/>
      <c r="G77" s="500"/>
      <c r="H77" s="501"/>
      <c r="I77" s="501"/>
      <c r="J77" s="501"/>
      <c r="K77" s="501"/>
      <c r="L77" s="502"/>
      <c r="M77" s="503"/>
      <c r="N77" s="2751"/>
      <c r="O77" s="2751"/>
      <c r="P77" s="2775"/>
      <c r="Q77" s="2742"/>
      <c r="R77" s="2743"/>
      <c r="S77" s="2743"/>
      <c r="T77" s="2743"/>
      <c r="U77" s="2743"/>
      <c r="V77" s="2743"/>
      <c r="W77" s="2743"/>
      <c r="X77" s="2743"/>
      <c r="Y77" s="2743"/>
      <c r="Z77" s="2743"/>
      <c r="AA77" s="2743"/>
      <c r="AB77" s="2743"/>
      <c r="AC77" s="2743"/>
      <c r="AD77" s="2743"/>
      <c r="AE77" s="2743"/>
    </row>
    <row r="78" spans="1:31" s="419" customFormat="1" ht="15.75" thickBot="1">
      <c r="A78" s="499"/>
      <c r="B78" s="489"/>
      <c r="C78" s="506"/>
      <c r="D78" s="482"/>
      <c r="E78" s="482"/>
      <c r="F78" s="482"/>
      <c r="G78" s="482"/>
      <c r="H78" s="482"/>
      <c r="I78" s="482"/>
      <c r="J78" s="482"/>
      <c r="K78" s="482"/>
      <c r="L78" s="482"/>
      <c r="M78" s="483"/>
      <c r="N78" s="2750"/>
      <c r="O78" s="2750"/>
      <c r="P78" s="2775"/>
      <c r="Q78" s="2742"/>
      <c r="R78" s="2743"/>
      <c r="S78" s="2743"/>
      <c r="T78" s="2743"/>
      <c r="U78" s="2743"/>
      <c r="V78" s="2743"/>
      <c r="W78" s="2743"/>
      <c r="X78" s="2743"/>
      <c r="Y78" s="2743"/>
      <c r="Z78" s="2743"/>
      <c r="AA78" s="2743"/>
      <c r="AB78" s="2743"/>
      <c r="AC78" s="2743"/>
      <c r="AD78" s="2743"/>
      <c r="AE78" s="2743"/>
    </row>
    <row r="79" spans="1:31" s="419" customFormat="1" ht="15.75" thickTop="1">
      <c r="A79" s="499"/>
      <c r="B79" s="484">
        <f>B13</f>
        <v>111</v>
      </c>
      <c r="C79" s="500"/>
      <c r="D79" s="500"/>
      <c r="E79" s="500"/>
      <c r="F79" s="500"/>
      <c r="G79" s="500"/>
      <c r="H79" s="501"/>
      <c r="I79" s="501"/>
      <c r="J79" s="501"/>
      <c r="K79" s="501"/>
      <c r="L79" s="502"/>
      <c r="M79" s="503"/>
      <c r="N79" s="2751"/>
      <c r="O79" s="2751"/>
      <c r="P79" s="2719"/>
      <c r="Q79" s="2745"/>
      <c r="R79" s="2743"/>
      <c r="S79" s="2743"/>
      <c r="T79" s="2743"/>
      <c r="U79" s="2743"/>
      <c r="V79" s="2743"/>
      <c r="W79" s="2743"/>
      <c r="X79" s="2743"/>
      <c r="Y79" s="2743"/>
      <c r="Z79" s="2743"/>
      <c r="AA79" s="2743"/>
      <c r="AB79" s="2743"/>
      <c r="AC79" s="2743"/>
      <c r="AD79" s="2743"/>
      <c r="AE79" s="2743"/>
    </row>
    <row r="80" spans="1:31" s="419" customFormat="1" ht="15.75" thickBot="1">
      <c r="A80" s="499"/>
      <c r="B80" s="489"/>
      <c r="C80" s="506"/>
      <c r="D80" s="506"/>
      <c r="E80" s="506"/>
      <c r="F80" s="506"/>
      <c r="G80" s="506"/>
      <c r="H80" s="508"/>
      <c r="I80" s="508"/>
      <c r="J80" s="508"/>
      <c r="K80" s="508"/>
      <c r="L80" s="508"/>
      <c r="M80" s="509"/>
      <c r="N80" s="2751"/>
      <c r="O80" s="2751"/>
      <c r="P80" s="2775"/>
      <c r="Q80" s="2742"/>
      <c r="R80" s="2743"/>
      <c r="S80" s="2743"/>
      <c r="T80" s="2743"/>
      <c r="U80" s="2743"/>
      <c r="V80" s="2743"/>
      <c r="W80" s="2743"/>
      <c r="X80" s="2743"/>
      <c r="Y80" s="2743"/>
      <c r="Z80" s="2743"/>
      <c r="AA80" s="2743"/>
      <c r="AB80" s="2743"/>
      <c r="AC80" s="2743"/>
      <c r="AD80" s="2743"/>
      <c r="AE80" s="2743"/>
    </row>
    <row r="81" spans="1:31" s="419" customFormat="1" ht="15.75" thickTop="1">
      <c r="A81" s="499"/>
      <c r="B81" s="492">
        <f>B14</f>
        <v>111</v>
      </c>
      <c r="C81" s="469"/>
      <c r="D81" s="469"/>
      <c r="E81" s="469"/>
      <c r="F81" s="469"/>
      <c r="G81" s="469"/>
      <c r="H81" s="510"/>
      <c r="I81" s="510"/>
      <c r="J81" s="510"/>
      <c r="K81" s="510"/>
      <c r="L81" s="511"/>
      <c r="M81" s="512"/>
      <c r="N81" s="2751"/>
      <c r="O81" s="2751"/>
      <c r="P81" s="2780"/>
      <c r="Q81" s="2742"/>
      <c r="R81" s="2743"/>
      <c r="S81" s="2743"/>
      <c r="T81" s="2743"/>
      <c r="U81" s="2743"/>
      <c r="V81" s="2743"/>
      <c r="W81" s="2743"/>
      <c r="X81" s="2743"/>
      <c r="Y81" s="2743"/>
      <c r="Z81" s="2743"/>
      <c r="AA81" s="2743"/>
      <c r="AB81" s="2743"/>
      <c r="AC81" s="2743"/>
      <c r="AD81" s="2743"/>
      <c r="AE81" s="2743"/>
    </row>
    <row r="82" spans="1:31" s="419" customFormat="1" ht="15.75" thickBot="1">
      <c r="A82" s="514"/>
      <c r="B82" s="515"/>
      <c r="C82" s="516"/>
      <c r="D82" s="516"/>
      <c r="E82" s="516"/>
      <c r="F82" s="516"/>
      <c r="G82" s="516"/>
      <c r="H82" s="517"/>
      <c r="I82" s="517"/>
      <c r="J82" s="517"/>
      <c r="K82" s="517"/>
      <c r="L82" s="517"/>
      <c r="M82" s="518"/>
      <c r="N82" s="2751"/>
      <c r="O82" s="2751"/>
      <c r="P82" s="2775"/>
      <c r="Q82" s="2742"/>
      <c r="R82" s="2743"/>
      <c r="S82" s="2743"/>
      <c r="T82" s="2743"/>
      <c r="U82" s="2743"/>
      <c r="V82" s="2743"/>
      <c r="W82" s="2743"/>
      <c r="X82" s="2743"/>
      <c r="Y82" s="2743"/>
      <c r="Z82" s="2743"/>
      <c r="AA82" s="2743"/>
      <c r="AB82" s="2743"/>
      <c r="AC82" s="2743"/>
      <c r="AD82" s="2743"/>
      <c r="AE82" s="2743"/>
    </row>
    <row r="83" spans="1:31">
      <c r="A83" s="473" t="s">
        <v>1690</v>
      </c>
      <c r="B83" s="474" t="s">
        <v>1829</v>
      </c>
      <c r="C83" s="519" t="s">
        <v>1721</v>
      </c>
      <c r="D83" s="519" t="s">
        <v>1722</v>
      </c>
      <c r="E83" s="519" t="s">
        <v>1723</v>
      </c>
      <c r="F83" s="519" t="s">
        <v>1724</v>
      </c>
      <c r="G83" s="519" t="s">
        <v>1725</v>
      </c>
      <c r="H83" s="475"/>
      <c r="I83" s="475"/>
      <c r="J83" s="475"/>
      <c r="K83" s="520"/>
      <c r="L83" s="521"/>
      <c r="M83" s="522"/>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0"/>
      <c r="B85" s="484" t="s">
        <v>1726</v>
      </c>
      <c r="C85" s="524" t="s">
        <v>1721</v>
      </c>
      <c r="D85" s="524" t="s">
        <v>1722</v>
      </c>
      <c r="E85" s="524" t="s">
        <v>1723</v>
      </c>
      <c r="F85" s="524" t="s">
        <v>1724</v>
      </c>
      <c r="G85" s="524" t="s">
        <v>1725</v>
      </c>
      <c r="H85" s="485"/>
      <c r="I85" s="485"/>
      <c r="J85" s="485"/>
      <c r="K85" s="486"/>
      <c r="L85" s="487"/>
      <c r="M85" s="488"/>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50"/>
      <c r="O90" s="2750"/>
      <c r="P90" s="2774"/>
      <c r="Q90" s="2735"/>
      <c r="R90" s="2657"/>
      <c r="S90" s="2657"/>
      <c r="T90" s="2657"/>
      <c r="U90" s="2657"/>
      <c r="V90" s="2657"/>
      <c r="W90" s="2657"/>
      <c r="X90" s="2657"/>
      <c r="Y90" s="2657"/>
      <c r="Z90" s="2657"/>
      <c r="AA90" s="2657"/>
      <c r="AB90" s="2657"/>
      <c r="AC90" s="2657"/>
      <c r="AD90" s="2657"/>
      <c r="AE90" s="2657"/>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51"/>
      <c r="O91" s="2751"/>
      <c r="P91" s="2775"/>
      <c r="Q91" s="2742"/>
      <c r="R91" s="2743"/>
      <c r="S91" s="2743"/>
      <c r="T91" s="2743"/>
      <c r="U91" s="2743"/>
      <c r="V91" s="2743"/>
      <c r="W91" s="2743"/>
      <c r="X91" s="2743"/>
      <c r="Y91" s="2743"/>
      <c r="Z91" s="2743"/>
      <c r="AA91" s="2743"/>
      <c r="AB91" s="2743"/>
      <c r="AC91" s="2743"/>
      <c r="AD91" s="2743"/>
      <c r="AE91" s="2743"/>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51"/>
      <c r="O92" s="2751"/>
      <c r="P92" s="2775"/>
      <c r="Q92" s="2742"/>
      <c r="R92" s="2743"/>
      <c r="S92" s="2743"/>
      <c r="T92" s="2743"/>
      <c r="U92" s="2743"/>
      <c r="V92" s="2743"/>
      <c r="W92" s="2743"/>
      <c r="X92" s="2743"/>
      <c r="Y92" s="2743"/>
      <c r="Z92" s="2743"/>
      <c r="AA92" s="2743"/>
      <c r="AB92" s="2743"/>
      <c r="AC92" s="2743"/>
      <c r="AD92" s="2743"/>
      <c r="AE92" s="2743"/>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51"/>
      <c r="O93" s="2751"/>
      <c r="P93" s="2775"/>
      <c r="Q93" s="2742"/>
      <c r="R93" s="2743"/>
      <c r="S93" s="2743"/>
      <c r="T93" s="2743"/>
      <c r="U93" s="2743"/>
      <c r="V93" s="2743"/>
      <c r="W93" s="2743"/>
      <c r="X93" s="2743"/>
      <c r="Y93" s="2743"/>
      <c r="Z93" s="2743"/>
      <c r="AA93" s="2743"/>
      <c r="AB93" s="2743"/>
      <c r="AC93" s="2743"/>
      <c r="AD93" s="2743"/>
      <c r="AE93" s="2743"/>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0"/>
      <c r="B97" s="484" t="s">
        <v>1815</v>
      </c>
      <c r="C97" s="500"/>
      <c r="D97" s="500"/>
      <c r="E97" s="500"/>
      <c r="F97" s="500"/>
      <c r="G97" s="500"/>
      <c r="H97" s="529"/>
      <c r="I97" s="529"/>
      <c r="J97" s="529"/>
      <c r="K97" s="530"/>
      <c r="L97" s="531"/>
      <c r="M97" s="532"/>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0"/>
      <c r="B99" s="484" t="s">
        <v>1873</v>
      </c>
      <c r="C99" s="529"/>
      <c r="D99" s="529"/>
      <c r="E99" s="529"/>
      <c r="F99" s="529"/>
      <c r="G99" s="529"/>
      <c r="H99" s="529"/>
      <c r="I99" s="529"/>
      <c r="J99" s="529"/>
      <c r="K99" s="530"/>
      <c r="L99" s="531"/>
      <c r="M99" s="532"/>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0"/>
      <c r="B101" s="492">
        <f>B31</f>
        <v>111</v>
      </c>
      <c r="C101" s="500"/>
      <c r="D101" s="500"/>
      <c r="E101" s="500"/>
      <c r="F101" s="500"/>
      <c r="G101" s="533"/>
      <c r="H101" s="533"/>
      <c r="I101" s="533"/>
      <c r="J101" s="533"/>
      <c r="K101" s="534"/>
      <c r="L101" s="535"/>
      <c r="M101" s="536"/>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0"/>
      <c r="B102" s="515"/>
      <c r="C102" s="506"/>
      <c r="D102" s="482"/>
      <c r="E102" s="482"/>
      <c r="F102" s="482"/>
      <c r="G102" s="537"/>
      <c r="H102" s="537"/>
      <c r="I102" s="537"/>
      <c r="J102" s="537"/>
      <c r="K102" s="537"/>
      <c r="L102" s="537"/>
      <c r="M102" s="538"/>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0"/>
      <c r="B103" s="484">
        <f>B32</f>
        <v>111</v>
      </c>
      <c r="C103" s="500"/>
      <c r="D103" s="500"/>
      <c r="E103" s="500"/>
      <c r="F103" s="500"/>
      <c r="G103" s="529"/>
      <c r="H103" s="529"/>
      <c r="I103" s="529"/>
      <c r="J103" s="529"/>
      <c r="K103" s="530"/>
      <c r="L103" s="531"/>
      <c r="M103" s="532"/>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0"/>
      <c r="B104" s="489"/>
      <c r="C104" s="506"/>
      <c r="D104" s="506"/>
      <c r="E104" s="506"/>
      <c r="F104" s="506"/>
      <c r="G104" s="482"/>
      <c r="H104" s="482"/>
      <c r="I104" s="482"/>
      <c r="J104" s="482"/>
      <c r="K104" s="482"/>
      <c r="L104" s="482"/>
      <c r="M104" s="483"/>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19" customFormat="1" ht="15" thickTop="1">
      <c r="A105" s="539"/>
      <c r="B105" s="540">
        <f>B33</f>
        <v>111</v>
      </c>
      <c r="C105" s="469"/>
      <c r="D105" s="469"/>
      <c r="E105" s="469"/>
      <c r="F105" s="469"/>
      <c r="G105" s="541"/>
      <c r="H105" s="541"/>
      <c r="I105" s="541"/>
      <c r="J105" s="542"/>
      <c r="K105" s="542"/>
      <c r="L105" s="543"/>
      <c r="M105" s="544"/>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19" customFormat="1" ht="15.75" thickBot="1">
      <c r="A106" s="499"/>
      <c r="B106" s="492"/>
      <c r="C106" s="516"/>
      <c r="D106" s="516"/>
      <c r="E106" s="516"/>
      <c r="F106" s="516"/>
      <c r="G106" s="622"/>
      <c r="H106" s="622"/>
      <c r="I106" s="622"/>
      <c r="J106" s="622"/>
      <c r="K106" s="622"/>
      <c r="L106" s="622"/>
      <c r="M106" s="644"/>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0"/>
      <c r="B108" s="492"/>
      <c r="C108" s="541"/>
      <c r="D108" s="541"/>
      <c r="E108" s="541"/>
      <c r="F108" s="541"/>
      <c r="G108" s="541"/>
      <c r="H108" s="541"/>
      <c r="I108" s="541"/>
      <c r="J108" s="542"/>
      <c r="K108" s="542"/>
      <c r="L108" s="543"/>
      <c r="M108" s="544"/>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0"/>
      <c r="B109" s="489"/>
      <c r="C109" s="516"/>
      <c r="D109" s="537"/>
      <c r="E109" s="537"/>
      <c r="F109" s="537"/>
      <c r="G109" s="537"/>
      <c r="H109" s="537"/>
      <c r="I109" s="537"/>
      <c r="J109" s="537"/>
      <c r="K109" s="537"/>
      <c r="L109" s="537"/>
      <c r="M109" s="538"/>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5"/>
      <c r="B110" s="484" t="s">
        <v>1914</v>
      </c>
      <c r="C110" s="529"/>
      <c r="D110" s="529"/>
      <c r="E110" s="529"/>
      <c r="F110" s="529"/>
      <c r="G110" s="529"/>
      <c r="H110" s="529"/>
      <c r="I110" s="529"/>
      <c r="J110" s="529"/>
      <c r="K110" s="530"/>
      <c r="L110" s="531"/>
      <c r="M110" s="532"/>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19" customFormat="1" ht="15" thickTop="1">
      <c r="A112" s="539"/>
      <c r="B112" s="484" t="s">
        <v>1916</v>
      </c>
      <c r="C112" s="500"/>
      <c r="D112" s="500"/>
      <c r="E112" s="500"/>
      <c r="F112" s="500"/>
      <c r="G112" s="500"/>
      <c r="H112" s="529"/>
      <c r="I112" s="529"/>
      <c r="J112" s="529"/>
      <c r="K112" s="530"/>
      <c r="L112" s="531"/>
      <c r="M112" s="532"/>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5"/>
      <c r="B114" s="484" t="s">
        <v>1917</v>
      </c>
      <c r="C114" s="500"/>
      <c r="D114" s="500"/>
      <c r="E114" s="529"/>
      <c r="F114" s="529"/>
      <c r="G114" s="529"/>
      <c r="H114" s="529"/>
      <c r="I114" s="529"/>
      <c r="J114" s="529"/>
      <c r="K114" s="530"/>
      <c r="L114" s="531"/>
      <c r="M114" s="532"/>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5"/>
      <c r="B116" s="484">
        <f>B38</f>
        <v>111</v>
      </c>
      <c r="C116" s="500"/>
      <c r="D116" s="500"/>
      <c r="E116" s="500"/>
      <c r="F116" s="500"/>
      <c r="G116" s="500"/>
      <c r="H116" s="529"/>
      <c r="I116" s="529"/>
      <c r="J116" s="529"/>
      <c r="K116" s="530"/>
      <c r="L116" s="531"/>
      <c r="M116" s="532"/>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0"/>
      <c r="B117" s="489"/>
      <c r="C117" s="506"/>
      <c r="D117" s="482"/>
      <c r="E117" s="482"/>
      <c r="F117" s="482"/>
      <c r="G117" s="482"/>
      <c r="H117" s="482"/>
      <c r="I117" s="482"/>
      <c r="J117" s="482"/>
      <c r="K117" s="482"/>
      <c r="L117" s="482"/>
      <c r="M117" s="483"/>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5"/>
      <c r="B118" s="484">
        <f>B39</f>
        <v>111</v>
      </c>
      <c r="C118" s="500"/>
      <c r="D118" s="500"/>
      <c r="E118" s="500"/>
      <c r="F118" s="500"/>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0"/>
      <c r="B119" s="489"/>
      <c r="C119" s="506"/>
      <c r="D119" s="506"/>
      <c r="E119" s="506"/>
      <c r="F119" s="506"/>
      <c r="G119" s="482"/>
      <c r="H119" s="482"/>
      <c r="I119" s="482"/>
      <c r="J119" s="482"/>
      <c r="K119" s="482"/>
      <c r="L119" s="482"/>
      <c r="M119" s="483"/>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19" customFormat="1" ht="15" thickTop="1">
      <c r="A120" s="539"/>
      <c r="B120" s="484">
        <f>B40</f>
        <v>111</v>
      </c>
      <c r="C120" s="469"/>
      <c r="D120" s="469"/>
      <c r="E120" s="469"/>
      <c r="F120" s="469"/>
      <c r="G120" s="501"/>
      <c r="H120" s="501"/>
      <c r="I120" s="501"/>
      <c r="J120" s="501"/>
      <c r="K120" s="501"/>
      <c r="L120" s="502"/>
      <c r="M120" s="503"/>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19" customFormat="1" ht="15.75" thickBot="1">
      <c r="A121" s="514"/>
      <c r="B121" s="645"/>
      <c r="C121" s="516"/>
      <c r="D121" s="516"/>
      <c r="E121" s="516"/>
      <c r="F121" s="516"/>
      <c r="G121" s="537"/>
      <c r="H121" s="537"/>
      <c r="I121" s="537"/>
      <c r="J121" s="537"/>
      <c r="K121" s="537"/>
      <c r="L121" s="537"/>
      <c r="M121" s="538"/>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9" t="s">
        <v>2083</v>
      </c>
      <c r="C1" s="3847" t="s">
        <v>2084</v>
      </c>
      <c r="D1" s="3848"/>
      <c r="E1" s="3848"/>
      <c r="F1" s="3848"/>
      <c r="G1" s="3848"/>
      <c r="H1" s="3848"/>
      <c r="I1" s="3848"/>
      <c r="J1" s="3848"/>
      <c r="K1" s="3848"/>
      <c r="L1" s="3848"/>
      <c r="M1" s="3848"/>
      <c r="N1" s="3848"/>
      <c r="O1" s="3848"/>
      <c r="P1" s="3848"/>
      <c r="Q1" s="3848"/>
      <c r="R1" s="3848"/>
      <c r="S1" s="3849"/>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6"/>
      <c r="B19" s="156"/>
      <c r="C19" s="156"/>
      <c r="D19" s="2146" t="s">
        <v>2095</v>
      </c>
      <c r="E19" s="1336"/>
      <c r="F19" s="1336"/>
      <c r="G19" s="1336"/>
      <c r="H19" s="1055"/>
      <c r="I19" s="156"/>
      <c r="J19" s="156"/>
      <c r="K19" s="156"/>
      <c r="L19" s="156"/>
      <c r="M19" s="156"/>
      <c r="N19" s="156"/>
      <c r="O19" s="156"/>
      <c r="P19" s="156"/>
      <c r="Q19" s="156"/>
      <c r="R19" s="714"/>
      <c r="S19" s="126"/>
    </row>
    <row r="20" spans="1:45" ht="16.5" thickBot="1">
      <c r="A20" s="659" t="s">
        <v>2096</v>
      </c>
      <c r="B20" s="291" t="e">
        <f ca="1">IF(D20="——",S22,S22-F20)</f>
        <v>#REF!</v>
      </c>
      <c r="C20" s="156"/>
      <c r="D20" s="2147"/>
      <c r="E20" s="1337"/>
      <c r="F20" s="979" t="e">
        <f ca="1">SUMIF(INDIRECT("'"&amp;H20&amp;"'"&amp;"!A:A"),"承租人权益价值",INDIRECT("'"&amp;H20&amp;"'"&amp;"!c:c"))</f>
        <v>#REF!</v>
      </c>
      <c r="G20" s="979" t="s">
        <v>2097</v>
      </c>
      <c r="H20" s="2148"/>
      <c r="I20" s="156"/>
      <c r="J20" s="156"/>
      <c r="K20" s="156"/>
      <c r="L20" s="156"/>
      <c r="M20" s="156"/>
      <c r="N20" s="156"/>
      <c r="O20" s="156"/>
      <c r="P20" s="156"/>
      <c r="Q20" s="156"/>
      <c r="R20" s="714"/>
      <c r="S20" s="126"/>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2099</v>
      </c>
      <c r="B22" s="21">
        <f>SUM(B24:B10000)</f>
        <v>0</v>
      </c>
      <c r="C22" s="3844" t="s">
        <v>27</v>
      </c>
      <c r="D22" s="3845"/>
      <c r="E22" s="3845"/>
      <c r="F22" s="3845"/>
      <c r="G22" s="3845"/>
      <c r="H22" s="3845"/>
      <c r="I22" s="3845"/>
      <c r="J22" s="3845"/>
      <c r="K22" s="3845"/>
      <c r="L22" s="3845"/>
      <c r="M22" s="3845"/>
      <c r="N22" s="3845"/>
      <c r="O22" s="3845"/>
      <c r="P22" s="3845"/>
      <c r="Q22" s="3846"/>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6">
        <v>1</v>
      </c>
      <c r="D24" s="2807"/>
      <c r="E24" s="2806">
        <v>1</v>
      </c>
      <c r="F24" s="2807"/>
      <c r="G24" s="2806">
        <v>1</v>
      </c>
      <c r="H24" s="2807"/>
      <c r="I24" s="2806">
        <v>1</v>
      </c>
      <c r="J24" s="2807"/>
      <c r="K24" s="2806">
        <v>1</v>
      </c>
      <c r="L24" s="2807"/>
      <c r="M24" s="2806">
        <v>1</v>
      </c>
      <c r="N24" s="2807"/>
      <c r="O24" s="2806">
        <v>1</v>
      </c>
      <c r="P24" s="2807"/>
      <c r="Q24" s="2806">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124246</v>
      </c>
      <c r="C2" s="2141" t="s">
        <v>2074</v>
      </c>
      <c r="D2" s="2141" t="s">
        <v>2075</v>
      </c>
      <c r="E2" s="2608">
        <f ca="1">SUMIF(E6:E13,"&lt;&gt;#ref!",E6:E13)</f>
        <v>316967.99</v>
      </c>
      <c r="F2" s="2789"/>
      <c r="G2" s="2789"/>
      <c r="H2" s="2789"/>
      <c r="I2" s="2789"/>
      <c r="J2" s="2789"/>
      <c r="K2" s="2789"/>
      <c r="L2" s="2789"/>
      <c r="M2" s="2789"/>
      <c r="N2" s="2789"/>
      <c r="O2" s="2789"/>
      <c r="P2" s="2789"/>
    </row>
    <row r="3" spans="1:16" ht="15.75">
      <c r="A3" s="2141" t="s">
        <v>2076</v>
      </c>
      <c r="B3" s="2598">
        <f ca="1">ROUND(B2*10000/E2,0)</f>
        <v>3920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124246</v>
      </c>
      <c r="C6" s="2141" t="s">
        <v>2074</v>
      </c>
      <c r="D6" s="2789"/>
      <c r="E6" s="2608">
        <f ca="1">SUMIF(INDIRECT("'"&amp;A6&amp;"'"&amp;"!C:C"),"建筑面积",INDIRECT("'"&amp;A6&amp;"'"&amp;"!D:D"))</f>
        <v>316967.99</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3"/>
      <c r="C2" s="3563"/>
      <c r="D2" s="3563"/>
      <c r="E2" s="3563"/>
    </row>
    <row r="3" spans="1:5" ht="18">
      <c r="A3" s="3564" t="str">
        <f>IF(项目基本情况!B9="房地产市场价值","估价结果一览表（市场价值不需“结果表-1”）","估价结果一览表")</f>
        <v>估价结果一览表</v>
      </c>
      <c r="B3" s="3564"/>
      <c r="C3" s="3564"/>
      <c r="D3" s="3564"/>
      <c r="E3" s="3564"/>
    </row>
    <row r="4" spans="1:5" ht="19.5" thickBot="1">
      <c r="A4" s="1489"/>
      <c r="B4" s="3562" t="s">
        <v>917</v>
      </c>
      <c r="C4" s="3562"/>
      <c r="D4" s="3562"/>
      <c r="E4" s="1489"/>
    </row>
    <row r="5" spans="1:5" ht="16.5" thickTop="1">
      <c r="A5" s="1487"/>
      <c r="B5" s="3560" t="s">
        <v>909</v>
      </c>
      <c r="C5" s="1490" t="s">
        <v>910</v>
      </c>
      <c r="D5" s="846">
        <f ca="1">结果表!H101</f>
        <v>621680</v>
      </c>
      <c r="E5" s="1487"/>
    </row>
    <row r="6" spans="1:5" ht="15.75">
      <c r="A6" s="1487"/>
      <c r="B6" s="3560"/>
      <c r="C6" s="1490" t="s">
        <v>911</v>
      </c>
      <c r="D6" s="846" t="str">
        <f ca="1">NUMBERSTRING(INT(D5*10000),2)&amp;"元整"</f>
        <v>陆拾贰亿壹仟陆佰捌拾万元整</v>
      </c>
      <c r="E6" s="1487"/>
    </row>
    <row r="7" spans="1:5" ht="15.75">
      <c r="A7" s="1487"/>
      <c r="B7" s="3565"/>
      <c r="C7" s="1491" t="s">
        <v>912</v>
      </c>
      <c r="D7" s="847">
        <f ca="1">结果表!H102</f>
        <v>19613</v>
      </c>
      <c r="E7" s="1487"/>
    </row>
    <row r="8" spans="1:5" ht="15.75">
      <c r="A8" s="1487"/>
      <c r="B8" s="3566" t="str">
        <f>结果表!E103</f>
        <v>2.估价师知悉的法定优先受偿款</v>
      </c>
      <c r="C8" s="1492" t="s">
        <v>913</v>
      </c>
      <c r="D8" s="847">
        <f>结果表!H103</f>
        <v>0</v>
      </c>
      <c r="E8" s="1487"/>
    </row>
    <row r="9" spans="1:5" ht="15.75">
      <c r="A9" s="1487"/>
      <c r="B9" s="3568"/>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59" t="str">
        <f>结果表!E107</f>
        <v>3.房地产抵押价值</v>
      </c>
      <c r="C13" s="1495" t="s">
        <v>910</v>
      </c>
      <c r="D13" s="849">
        <f ca="1">结果表!H107</f>
        <v>621680</v>
      </c>
      <c r="E13" s="1487"/>
    </row>
    <row r="14" spans="1:5" ht="15.75">
      <c r="A14" s="1487"/>
      <c r="B14" s="3560"/>
      <c r="C14" s="1490" t="s">
        <v>911</v>
      </c>
      <c r="D14" s="846" t="str">
        <f ca="1">NUMBERSTRING(INT(D13*10000),2)&amp;"元整"</f>
        <v>陆拾贰亿壹仟陆佰捌拾万元整</v>
      </c>
      <c r="E14" s="1487"/>
    </row>
    <row r="15" spans="1:5" ht="15">
      <c r="A15" s="1487"/>
      <c r="B15" s="3565"/>
      <c r="C15" s="1491" t="s">
        <v>921</v>
      </c>
      <c r="D15" s="855">
        <f ca="1">结果表!H108</f>
        <v>19613</v>
      </c>
      <c r="E15" s="1487"/>
    </row>
    <row r="16" spans="1:5" ht="15">
      <c r="A16" s="1487"/>
      <c r="B16" s="3566" t="str">
        <f>结果表!E109</f>
        <v>——</v>
      </c>
      <c r="C16" s="1495" t="s">
        <v>922</v>
      </c>
      <c r="D16" s="1496" t="str">
        <f>结果表!H109</f>
        <v>——</v>
      </c>
      <c r="E16" s="1487"/>
    </row>
    <row r="17" spans="1:5" ht="15.75">
      <c r="A17" s="1487"/>
      <c r="B17" s="3567"/>
      <c r="C17" s="1490" t="s">
        <v>923</v>
      </c>
      <c r="D17" s="846" t="e">
        <f>NUMBERSTRING(INT(D16*10000),2)&amp;"元整"</f>
        <v>#VALUE!</v>
      </c>
      <c r="E17" s="1487"/>
    </row>
    <row r="18" spans="1:5" ht="15">
      <c r="A18" s="1487"/>
      <c r="B18" s="3568"/>
      <c r="C18" s="1491" t="s">
        <v>912</v>
      </c>
      <c r="D18" s="855" t="str">
        <f>结果表!H110</f>
        <v>——</v>
      </c>
      <c r="E18" s="1487"/>
    </row>
    <row r="19" spans="1:5" ht="15.75">
      <c r="A19" s="1487"/>
      <c r="B19" s="3559" t="str">
        <f>结果表!E111</f>
        <v>4.抵押净值</v>
      </c>
      <c r="C19" s="1495" t="s">
        <v>910</v>
      </c>
      <c r="D19" s="847">
        <f ca="1">结果表!H111</f>
        <v>559201</v>
      </c>
      <c r="E19" s="1487"/>
    </row>
    <row r="20" spans="1:5" ht="15.75">
      <c r="A20" s="1487"/>
      <c r="B20" s="3560"/>
      <c r="C20" s="1490" t="s">
        <v>923</v>
      </c>
      <c r="D20" s="846" t="str">
        <f ca="1">NUMBERSTRING(INT(D19*10000),2)&amp;"元整"</f>
        <v>伍拾伍亿玖仟贰佰零壹万元整</v>
      </c>
      <c r="E20" s="1487"/>
    </row>
    <row r="21" spans="1:5" ht="15.75" thickBot="1">
      <c r="A21" s="1487"/>
      <c r="B21" s="3561"/>
      <c r="C21" s="1497" t="s">
        <v>921</v>
      </c>
      <c r="D21" s="856">
        <f ca="1">结果表!H112</f>
        <v>17642</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59" t="s">
        <v>2611</v>
      </c>
      <c r="B20" s="3854" t="s">
        <v>2632</v>
      </c>
      <c r="C20" s="3099" t="s">
        <v>2443</v>
      </c>
      <c r="D20" s="3100"/>
      <c r="E20" s="3101">
        <v>1</v>
      </c>
      <c r="F20" s="3102" t="s">
        <v>2444</v>
      </c>
      <c r="G20" s="3102"/>
    </row>
    <row r="21" spans="1:13" ht="19.5" customHeight="1">
      <c r="A21" s="3860"/>
      <c r="B21" s="3853"/>
      <c r="C21" s="3103" t="s">
        <v>2445</v>
      </c>
      <c r="D21" s="3104"/>
      <c r="E21" s="3105">
        <v>1</v>
      </c>
      <c r="F21" s="3102" t="s">
        <v>2446</v>
      </c>
      <c r="G21" s="3102"/>
    </row>
    <row r="22" spans="1:13" ht="19.5" customHeight="1">
      <c r="A22" s="3860"/>
      <c r="B22" s="3853"/>
      <c r="C22" s="3103" t="s">
        <v>2447</v>
      </c>
      <c r="D22" s="3104"/>
      <c r="E22" s="3105">
        <v>0.9</v>
      </c>
      <c r="F22" s="3102" t="s">
        <v>2448</v>
      </c>
      <c r="G22" s="3102"/>
    </row>
    <row r="23" spans="1:13" ht="19.5" customHeight="1">
      <c r="A23" s="3860"/>
      <c r="B23" s="3853"/>
      <c r="C23" s="3103" t="s">
        <v>2449</v>
      </c>
      <c r="D23" s="3104"/>
      <c r="E23" s="3105">
        <v>0.9</v>
      </c>
      <c r="F23" s="3102" t="s">
        <v>2450</v>
      </c>
      <c r="G23" s="3102"/>
    </row>
    <row r="24" spans="1:13" ht="19.5" customHeight="1">
      <c r="A24" s="3860"/>
      <c r="B24" s="3853"/>
      <c r="C24" s="3103" t="s">
        <v>2451</v>
      </c>
      <c r="D24" s="3104"/>
      <c r="E24" s="3105">
        <v>0.8</v>
      </c>
      <c r="F24" s="3102" t="s">
        <v>2452</v>
      </c>
      <c r="G24" s="3102"/>
    </row>
    <row r="25" spans="1:13" ht="19.5" customHeight="1" thickBot="1">
      <c r="A25" s="3861"/>
      <c r="B25" s="3855"/>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56" t="s">
        <v>2635</v>
      </c>
      <c r="B27" s="3854" t="s">
        <v>2616</v>
      </c>
      <c r="C27" s="3099" t="s">
        <v>2456</v>
      </c>
      <c r="D27" s="3100"/>
      <c r="E27" s="3101">
        <v>1</v>
      </c>
      <c r="F27" s="3102" t="s">
        <v>2457</v>
      </c>
      <c r="G27" s="3102"/>
    </row>
    <row r="28" spans="1:13" ht="19.5" customHeight="1">
      <c r="A28" s="3857"/>
      <c r="B28" s="3853"/>
      <c r="C28" s="3103" t="s">
        <v>2458</v>
      </c>
      <c r="D28" s="3104"/>
      <c r="E28" s="3105">
        <v>1</v>
      </c>
      <c r="F28" s="3102" t="s">
        <v>2459</v>
      </c>
      <c r="G28" s="3102"/>
    </row>
    <row r="29" spans="1:13" ht="19.5" customHeight="1">
      <c r="A29" s="3857"/>
      <c r="B29" s="3853"/>
      <c r="C29" s="3103" t="s">
        <v>2460</v>
      </c>
      <c r="D29" s="3104"/>
      <c r="E29" s="3105">
        <v>0.8</v>
      </c>
      <c r="F29" s="3102" t="s">
        <v>2461</v>
      </c>
      <c r="G29" s="3102"/>
    </row>
    <row r="30" spans="1:13" ht="19.5" customHeight="1">
      <c r="A30" s="3857"/>
      <c r="B30" s="3853"/>
      <c r="C30" s="3103" t="s">
        <v>2462</v>
      </c>
      <c r="D30" s="3104"/>
      <c r="E30" s="3105">
        <v>0.8</v>
      </c>
      <c r="F30" s="3102" t="s">
        <v>2463</v>
      </c>
      <c r="G30" s="3102"/>
    </row>
    <row r="31" spans="1:13" ht="19.5" customHeight="1">
      <c r="A31" s="3857"/>
      <c r="B31" s="3853"/>
      <c r="C31" s="3103" t="s">
        <v>2464</v>
      </c>
      <c r="D31" s="3104"/>
      <c r="E31" s="3105">
        <v>0.8</v>
      </c>
      <c r="F31" s="3102" t="s">
        <v>2465</v>
      </c>
      <c r="G31" s="3102"/>
    </row>
    <row r="32" spans="1:13" ht="19.5" customHeight="1">
      <c r="A32" s="3857"/>
      <c r="B32" s="3853"/>
      <c r="C32" s="3103" t="s">
        <v>2466</v>
      </c>
      <c r="D32" s="3104"/>
      <c r="E32" s="3105">
        <v>0.7</v>
      </c>
      <c r="F32" s="3102" t="s">
        <v>2467</v>
      </c>
      <c r="G32" s="3102"/>
    </row>
    <row r="33" spans="1:7" ht="19.5" customHeight="1">
      <c r="A33" s="3857"/>
      <c r="B33" s="3853"/>
      <c r="C33" s="3103" t="s">
        <v>2468</v>
      </c>
      <c r="D33" s="3104"/>
      <c r="E33" s="3105">
        <v>0.8</v>
      </c>
      <c r="F33" s="3102" t="s">
        <v>2469</v>
      </c>
      <c r="G33" s="3102"/>
    </row>
    <row r="34" spans="1:7" ht="19.5" customHeight="1">
      <c r="A34" s="3857"/>
      <c r="B34" s="3853"/>
      <c r="C34" s="3103" t="s">
        <v>2470</v>
      </c>
      <c r="D34" s="3104"/>
      <c r="E34" s="3105">
        <v>0.6</v>
      </c>
      <c r="F34" s="3102" t="s">
        <v>2471</v>
      </c>
      <c r="G34" s="3102"/>
    </row>
    <row r="35" spans="1:7" ht="19.5" customHeight="1">
      <c r="A35" s="3857"/>
      <c r="B35" s="3853"/>
      <c r="C35" s="3103" t="s">
        <v>2472</v>
      </c>
      <c r="D35" s="3104"/>
      <c r="E35" s="3105">
        <v>0.2</v>
      </c>
      <c r="F35" s="3102" t="s">
        <v>2473</v>
      </c>
      <c r="G35" s="3102"/>
    </row>
    <row r="36" spans="1:7" ht="19.5" customHeight="1">
      <c r="A36" s="3857"/>
      <c r="B36" s="3853"/>
      <c r="C36" s="3103" t="s">
        <v>2474</v>
      </c>
      <c r="D36" s="3104"/>
      <c r="E36" s="3105">
        <v>0.2</v>
      </c>
      <c r="F36" s="3102" t="s">
        <v>2475</v>
      </c>
      <c r="G36" s="3102"/>
    </row>
    <row r="37" spans="1:7" ht="19.5" customHeight="1">
      <c r="A37" s="3857"/>
      <c r="B37" s="3851" t="s">
        <v>2636</v>
      </c>
      <c r="C37" s="3103" t="s">
        <v>2476</v>
      </c>
      <c r="D37" s="3104"/>
      <c r="E37" s="3105">
        <v>0.6</v>
      </c>
      <c r="F37" s="3102" t="s">
        <v>2477</v>
      </c>
      <c r="G37" s="3102"/>
    </row>
    <row r="38" spans="1:7" ht="19.5" customHeight="1">
      <c r="A38" s="3857"/>
      <c r="B38" s="3853"/>
      <c r="C38" s="3103" t="s">
        <v>2478</v>
      </c>
      <c r="D38" s="3104"/>
      <c r="E38" s="3105">
        <v>0.6</v>
      </c>
      <c r="F38" s="3102" t="s">
        <v>2479</v>
      </c>
      <c r="G38" s="3102"/>
    </row>
    <row r="39" spans="1:7" ht="19.5" customHeight="1" thickBot="1">
      <c r="A39" s="3858"/>
      <c r="B39" s="3855"/>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59" t="s">
        <v>2614</v>
      </c>
      <c r="B41" s="3854" t="s">
        <v>2638</v>
      </c>
      <c r="C41" s="3099" t="s">
        <v>2483</v>
      </c>
      <c r="D41" s="3100"/>
      <c r="E41" s="3101">
        <v>1</v>
      </c>
      <c r="F41" s="3102" t="s">
        <v>2484</v>
      </c>
      <c r="G41" s="3102"/>
    </row>
    <row r="42" spans="1:7" ht="19.5" customHeight="1">
      <c r="A42" s="3860"/>
      <c r="B42" s="3853"/>
      <c r="C42" s="3103" t="s">
        <v>2485</v>
      </c>
      <c r="D42" s="3104"/>
      <c r="E42" s="3105">
        <v>1</v>
      </c>
      <c r="F42" s="3102" t="s">
        <v>2486</v>
      </c>
      <c r="G42" s="3102"/>
    </row>
    <row r="43" spans="1:7" ht="19.5" customHeight="1">
      <c r="A43" s="3860"/>
      <c r="B43" s="3852"/>
      <c r="C43" s="3103" t="s">
        <v>2487</v>
      </c>
      <c r="D43" s="3104"/>
      <c r="E43" s="3105">
        <v>1.5</v>
      </c>
      <c r="F43" s="3102" t="s">
        <v>2488</v>
      </c>
      <c r="G43" s="3102"/>
    </row>
    <row r="44" spans="1:7" ht="19.5" customHeight="1">
      <c r="A44" s="3860"/>
      <c r="B44" s="3114" t="s">
        <v>2639</v>
      </c>
      <c r="C44" s="3103" t="s">
        <v>2640</v>
      </c>
      <c r="D44" s="3104"/>
      <c r="E44" s="3105">
        <v>2</v>
      </c>
      <c r="F44" s="3102" t="s">
        <v>2489</v>
      </c>
      <c r="G44" s="3102"/>
    </row>
    <row r="45" spans="1:7" ht="19.5" customHeight="1">
      <c r="A45" s="3860"/>
      <c r="B45" s="3851" t="s">
        <v>2641</v>
      </c>
      <c r="C45" s="3103" t="s">
        <v>2490</v>
      </c>
      <c r="D45" s="3104"/>
      <c r="E45" s="3105">
        <v>1</v>
      </c>
      <c r="F45" s="3102" t="s">
        <v>2491</v>
      </c>
      <c r="G45" s="3102"/>
    </row>
    <row r="46" spans="1:7" ht="19.5" customHeight="1">
      <c r="A46" s="3860"/>
      <c r="B46" s="3853"/>
      <c r="C46" s="3103" t="s">
        <v>2492</v>
      </c>
      <c r="D46" s="3104"/>
      <c r="E46" s="3105">
        <v>1</v>
      </c>
      <c r="F46" s="3102" t="s">
        <v>2493</v>
      </c>
      <c r="G46" s="3102"/>
    </row>
    <row r="47" spans="1:7" ht="19.5" customHeight="1">
      <c r="A47" s="3860"/>
      <c r="B47" s="3853"/>
      <c r="C47" s="3103" t="s">
        <v>2494</v>
      </c>
      <c r="D47" s="3104"/>
      <c r="E47" s="3105">
        <v>1</v>
      </c>
      <c r="F47" s="3102" t="s">
        <v>2495</v>
      </c>
      <c r="G47" s="3102"/>
    </row>
    <row r="48" spans="1:7" ht="19.5" customHeight="1">
      <c r="A48" s="3860"/>
      <c r="B48" s="3853"/>
      <c r="C48" s="3103" t="s">
        <v>2496</v>
      </c>
      <c r="D48" s="3104"/>
      <c r="E48" s="3105">
        <v>1</v>
      </c>
      <c r="F48" s="3102" t="s">
        <v>2497</v>
      </c>
      <c r="G48" s="3102"/>
    </row>
    <row r="49" spans="1:7" ht="19.5" customHeight="1">
      <c r="A49" s="3860"/>
      <c r="B49" s="3853"/>
      <c r="C49" s="3103" t="s">
        <v>2498</v>
      </c>
      <c r="D49" s="3104"/>
      <c r="E49" s="3105">
        <v>1</v>
      </c>
      <c r="F49" s="3102" t="s">
        <v>2499</v>
      </c>
      <c r="G49" s="3102"/>
    </row>
    <row r="50" spans="1:7" ht="19.5" customHeight="1">
      <c r="A50" s="3860"/>
      <c r="B50" s="3853"/>
      <c r="C50" s="3103" t="s">
        <v>2500</v>
      </c>
      <c r="D50" s="3104"/>
      <c r="E50" s="3105">
        <v>1</v>
      </c>
      <c r="F50" s="3102" t="s">
        <v>2501</v>
      </c>
      <c r="G50" s="3102"/>
    </row>
    <row r="51" spans="1:7" ht="19.5" customHeight="1" thickBot="1">
      <c r="A51" s="3861"/>
      <c r="B51" s="3855"/>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851" t="s">
        <v>2655</v>
      </c>
      <c r="C73" s="3088" t="s">
        <v>2656</v>
      </c>
      <c r="D73" s="3088" t="s">
        <v>2657</v>
      </c>
      <c r="E73" s="3114">
        <v>0.2</v>
      </c>
      <c r="F73" s="3114">
        <v>25</v>
      </c>
    </row>
    <row r="74" spans="1:7" ht="24">
      <c r="A74" s="3114">
        <v>2</v>
      </c>
      <c r="B74" s="3853"/>
      <c r="C74" s="3088" t="s">
        <v>2658</v>
      </c>
      <c r="D74" s="3088" t="s">
        <v>2659</v>
      </c>
      <c r="E74" s="3114">
        <v>0.2</v>
      </c>
      <c r="F74" s="3114">
        <v>25</v>
      </c>
    </row>
    <row r="75" spans="1:7" ht="24">
      <c r="A75" s="3114">
        <v>3</v>
      </c>
      <c r="B75" s="3853"/>
      <c r="C75" s="3088" t="s">
        <v>2660</v>
      </c>
      <c r="D75" s="3088" t="s">
        <v>2661</v>
      </c>
      <c r="E75" s="3114">
        <v>0.2</v>
      </c>
      <c r="F75" s="3114">
        <v>25</v>
      </c>
    </row>
    <row r="76" spans="1:7" ht="13.5">
      <c r="A76" s="3114">
        <v>4</v>
      </c>
      <c r="B76" s="3853"/>
      <c r="C76" s="3088" t="s">
        <v>2662</v>
      </c>
      <c r="D76" s="3088" t="s">
        <v>2663</v>
      </c>
      <c r="E76" s="3114">
        <v>0.15</v>
      </c>
      <c r="F76" s="3114">
        <v>20</v>
      </c>
    </row>
    <row r="77" spans="1:7" ht="24">
      <c r="A77" s="3114">
        <v>5</v>
      </c>
      <c r="B77" s="3853"/>
      <c r="C77" s="3088" t="s">
        <v>2664</v>
      </c>
      <c r="D77" s="3088" t="s">
        <v>2665</v>
      </c>
      <c r="E77" s="3114">
        <v>0.15</v>
      </c>
      <c r="F77" s="3114">
        <v>20</v>
      </c>
    </row>
    <row r="78" spans="1:7" ht="24">
      <c r="A78" s="3114">
        <v>6</v>
      </c>
      <c r="B78" s="3853"/>
      <c r="C78" s="3088" t="s">
        <v>2666</v>
      </c>
      <c r="D78" s="3088" t="s">
        <v>2667</v>
      </c>
      <c r="E78" s="3114">
        <v>0.15</v>
      </c>
      <c r="F78" s="3114">
        <v>20</v>
      </c>
    </row>
    <row r="79" spans="1:7" ht="24">
      <c r="A79" s="3114">
        <v>7</v>
      </c>
      <c r="B79" s="3853"/>
      <c r="C79" s="3088" t="s">
        <v>2668</v>
      </c>
      <c r="D79" s="3088" t="s">
        <v>2669</v>
      </c>
      <c r="E79" s="3114">
        <v>0.15</v>
      </c>
      <c r="F79" s="3114">
        <v>20</v>
      </c>
    </row>
    <row r="80" spans="1:7" ht="24">
      <c r="A80" s="3114">
        <v>8</v>
      </c>
      <c r="B80" s="3853"/>
      <c r="C80" s="3088" t="s">
        <v>2670</v>
      </c>
      <c r="D80" s="3088" t="s">
        <v>2671</v>
      </c>
      <c r="E80" s="3114">
        <v>0.1</v>
      </c>
      <c r="F80" s="3114">
        <v>15</v>
      </c>
    </row>
    <row r="81" spans="1:6" ht="24">
      <c r="A81" s="3114">
        <v>9</v>
      </c>
      <c r="B81" s="3853"/>
      <c r="C81" s="3088" t="s">
        <v>2672</v>
      </c>
      <c r="D81" s="3088" t="s">
        <v>2673</v>
      </c>
      <c r="E81" s="3114">
        <v>0.1</v>
      </c>
      <c r="F81" s="3114">
        <v>15</v>
      </c>
    </row>
    <row r="82" spans="1:6" ht="24">
      <c r="A82" s="3114">
        <v>10</v>
      </c>
      <c r="B82" s="3853"/>
      <c r="C82" s="3088" t="s">
        <v>2674</v>
      </c>
      <c r="D82" s="3088" t="s">
        <v>2675</v>
      </c>
      <c r="E82" s="3114">
        <v>0.1</v>
      </c>
      <c r="F82" s="3114">
        <v>15</v>
      </c>
    </row>
    <row r="83" spans="1:6" ht="24">
      <c r="A83" s="3114">
        <v>11</v>
      </c>
      <c r="B83" s="3853"/>
      <c r="C83" s="3088" t="s">
        <v>2676</v>
      </c>
      <c r="D83" s="3088" t="s">
        <v>2677</v>
      </c>
      <c r="E83" s="3114">
        <v>0.1</v>
      </c>
      <c r="F83" s="3114">
        <v>15</v>
      </c>
    </row>
    <row r="84" spans="1:6" ht="24">
      <c r="A84" s="3114">
        <v>12</v>
      </c>
      <c r="B84" s="3853"/>
      <c r="C84" s="3088" t="s">
        <v>2678</v>
      </c>
      <c r="D84" s="3088" t="s">
        <v>2679</v>
      </c>
      <c r="E84" s="3114">
        <v>0.1</v>
      </c>
      <c r="F84" s="3114">
        <v>15</v>
      </c>
    </row>
    <row r="85" spans="1:6" ht="13.5">
      <c r="A85" s="3114">
        <v>13</v>
      </c>
      <c r="B85" s="3853"/>
      <c r="C85" s="3088" t="s">
        <v>2680</v>
      </c>
      <c r="D85" s="3088" t="s">
        <v>2681</v>
      </c>
      <c r="E85" s="3114">
        <v>0.1</v>
      </c>
      <c r="F85" s="3114">
        <v>15</v>
      </c>
    </row>
    <row r="86" spans="1:6" ht="13.5">
      <c r="A86" s="3114">
        <v>14</v>
      </c>
      <c r="B86" s="3853"/>
      <c r="C86" s="3088" t="s">
        <v>2682</v>
      </c>
      <c r="D86" s="3088" t="s">
        <v>2683</v>
      </c>
      <c r="E86" s="3114">
        <v>0.1</v>
      </c>
      <c r="F86" s="3114">
        <v>15</v>
      </c>
    </row>
    <row r="87" spans="1:6" ht="13.5">
      <c r="A87" s="3114">
        <v>15</v>
      </c>
      <c r="B87" s="3853"/>
      <c r="C87" s="3088" t="s">
        <v>2684</v>
      </c>
      <c r="D87" s="3088" t="s">
        <v>2685</v>
      </c>
      <c r="E87" s="3114">
        <v>0.1</v>
      </c>
      <c r="F87" s="3114">
        <v>15</v>
      </c>
    </row>
    <row r="88" spans="1:6" ht="24">
      <c r="A88" s="3114">
        <v>16</v>
      </c>
      <c r="B88" s="3853"/>
      <c r="C88" s="3088" t="s">
        <v>2686</v>
      </c>
      <c r="D88" s="3088" t="s">
        <v>2687</v>
      </c>
      <c r="E88" s="3114">
        <v>0.1</v>
      </c>
      <c r="F88" s="3114">
        <v>15</v>
      </c>
    </row>
    <row r="89" spans="1:6" ht="24">
      <c r="A89" s="3114">
        <v>17</v>
      </c>
      <c r="B89" s="3852"/>
      <c r="C89" s="3088" t="s">
        <v>2688</v>
      </c>
      <c r="D89" s="3088" t="s">
        <v>2689</v>
      </c>
      <c r="E89" s="3114">
        <v>0.1</v>
      </c>
      <c r="F89" s="3114">
        <v>15</v>
      </c>
    </row>
    <row r="90" spans="1:6" ht="13.5">
      <c r="A90" s="3114">
        <v>18</v>
      </c>
      <c r="B90" s="3851" t="s">
        <v>2690</v>
      </c>
      <c r="C90" s="3088" t="s">
        <v>2691</v>
      </c>
      <c r="D90" s="3088" t="s">
        <v>2692</v>
      </c>
      <c r="E90" s="3114">
        <v>0.2</v>
      </c>
      <c r="F90" s="3114">
        <v>25</v>
      </c>
    </row>
    <row r="91" spans="1:6" ht="24">
      <c r="A91" s="3114">
        <v>19</v>
      </c>
      <c r="B91" s="3853"/>
      <c r="C91" s="3088" t="s">
        <v>2693</v>
      </c>
      <c r="D91" s="3088" t="s">
        <v>2694</v>
      </c>
      <c r="E91" s="3114">
        <v>0.2</v>
      </c>
      <c r="F91" s="3114">
        <v>25</v>
      </c>
    </row>
    <row r="92" spans="1:6" ht="13.5">
      <c r="A92" s="3114">
        <v>20</v>
      </c>
      <c r="B92" s="3853"/>
      <c r="C92" s="3088" t="s">
        <v>2695</v>
      </c>
      <c r="D92" s="3088" t="s">
        <v>2696</v>
      </c>
      <c r="E92" s="3114">
        <v>0.15</v>
      </c>
      <c r="F92" s="3114">
        <v>20</v>
      </c>
    </row>
    <row r="93" spans="1:6" ht="13.5">
      <c r="A93" s="3114">
        <v>21</v>
      </c>
      <c r="B93" s="3853"/>
      <c r="C93" s="3088" t="s">
        <v>2697</v>
      </c>
      <c r="D93" s="3088" t="s">
        <v>2698</v>
      </c>
      <c r="E93" s="3114">
        <v>0.15</v>
      </c>
      <c r="F93" s="3114">
        <v>20</v>
      </c>
    </row>
    <row r="94" spans="1:6" ht="13.5">
      <c r="A94" s="3114">
        <v>22</v>
      </c>
      <c r="B94" s="3853"/>
      <c r="C94" s="3088" t="s">
        <v>2699</v>
      </c>
      <c r="D94" s="3088" t="s">
        <v>2700</v>
      </c>
      <c r="E94" s="3114">
        <v>0.15</v>
      </c>
      <c r="F94" s="3114">
        <v>20</v>
      </c>
    </row>
    <row r="95" spans="1:6" ht="36">
      <c r="A95" s="3114">
        <v>23</v>
      </c>
      <c r="B95" s="3853"/>
      <c r="C95" s="3088" t="s">
        <v>2701</v>
      </c>
      <c r="D95" s="3088" t="s">
        <v>2702</v>
      </c>
      <c r="E95" s="3114">
        <v>0.15</v>
      </c>
      <c r="F95" s="3114">
        <v>20</v>
      </c>
    </row>
    <row r="96" spans="1:6" ht="13.5">
      <c r="A96" s="3114">
        <v>24</v>
      </c>
      <c r="B96" s="3853"/>
      <c r="C96" s="3088" t="s">
        <v>2703</v>
      </c>
      <c r="D96" s="3088" t="s">
        <v>2704</v>
      </c>
      <c r="E96" s="3114">
        <v>0.1</v>
      </c>
      <c r="F96" s="3114">
        <v>15</v>
      </c>
    </row>
    <row r="97" spans="1:6" ht="13.5">
      <c r="A97" s="3114">
        <v>25</v>
      </c>
      <c r="B97" s="3853"/>
      <c r="C97" s="3088" t="s">
        <v>2705</v>
      </c>
      <c r="D97" s="3088" t="s">
        <v>2706</v>
      </c>
      <c r="E97" s="3114">
        <v>0.1</v>
      </c>
      <c r="F97" s="3114">
        <v>15</v>
      </c>
    </row>
    <row r="98" spans="1:6" ht="24">
      <c r="A98" s="3114">
        <v>26</v>
      </c>
      <c r="B98" s="3853"/>
      <c r="C98" s="3088" t="s">
        <v>2707</v>
      </c>
      <c r="D98" s="3088" t="s">
        <v>2708</v>
      </c>
      <c r="E98" s="3114">
        <v>0.1</v>
      </c>
      <c r="F98" s="3114">
        <v>15</v>
      </c>
    </row>
    <row r="99" spans="1:6" ht="24">
      <c r="A99" s="3114">
        <v>27</v>
      </c>
      <c r="B99" s="3853"/>
      <c r="C99" s="3088" t="s">
        <v>2709</v>
      </c>
      <c r="D99" s="3088" t="s">
        <v>2710</v>
      </c>
      <c r="E99" s="3114">
        <v>0.1</v>
      </c>
      <c r="F99" s="3114">
        <v>15</v>
      </c>
    </row>
    <row r="100" spans="1:6" ht="13.5">
      <c r="A100" s="3114">
        <v>28</v>
      </c>
      <c r="B100" s="3853"/>
      <c r="C100" s="3088" t="s">
        <v>2711</v>
      </c>
      <c r="D100" s="3088" t="s">
        <v>2712</v>
      </c>
      <c r="E100" s="3114">
        <v>0.1</v>
      </c>
      <c r="F100" s="3114">
        <v>15</v>
      </c>
    </row>
    <row r="101" spans="1:6" ht="13.5">
      <c r="A101" s="3114">
        <v>29</v>
      </c>
      <c r="B101" s="3853"/>
      <c r="C101" s="3088" t="s">
        <v>2713</v>
      </c>
      <c r="D101" s="3088" t="s">
        <v>2714</v>
      </c>
      <c r="E101" s="3114">
        <v>0.1</v>
      </c>
      <c r="F101" s="3114">
        <v>15</v>
      </c>
    </row>
    <row r="102" spans="1:6" ht="13.5">
      <c r="A102" s="3114">
        <v>30</v>
      </c>
      <c r="B102" s="3853"/>
      <c r="C102" s="3088" t="s">
        <v>2715</v>
      </c>
      <c r="D102" s="3088" t="s">
        <v>2716</v>
      </c>
      <c r="E102" s="3114">
        <v>0.1</v>
      </c>
      <c r="F102" s="3114">
        <v>15</v>
      </c>
    </row>
    <row r="103" spans="1:6" ht="24">
      <c r="A103" s="3114">
        <v>31</v>
      </c>
      <c r="B103" s="3853"/>
      <c r="C103" s="3088" t="s">
        <v>2717</v>
      </c>
      <c r="D103" s="3088" t="s">
        <v>2718</v>
      </c>
      <c r="E103" s="3114">
        <v>0.1</v>
      </c>
      <c r="F103" s="3114">
        <v>15</v>
      </c>
    </row>
    <row r="104" spans="1:6" ht="24">
      <c r="A104" s="3114">
        <v>32</v>
      </c>
      <c r="B104" s="3853"/>
      <c r="C104" s="3088" t="s">
        <v>2719</v>
      </c>
      <c r="D104" s="3088" t="s">
        <v>2720</v>
      </c>
      <c r="E104" s="3114">
        <v>0.1</v>
      </c>
      <c r="F104" s="3114">
        <v>15</v>
      </c>
    </row>
    <row r="105" spans="1:6" ht="24">
      <c r="A105" s="3114">
        <v>33</v>
      </c>
      <c r="B105" s="3853"/>
      <c r="C105" s="3088" t="s">
        <v>2721</v>
      </c>
      <c r="D105" s="3088" t="s">
        <v>2722</v>
      </c>
      <c r="E105" s="3114">
        <v>0.1</v>
      </c>
      <c r="F105" s="3114">
        <v>15</v>
      </c>
    </row>
    <row r="106" spans="1:6" ht="24">
      <c r="A106" s="3114">
        <v>34</v>
      </c>
      <c r="B106" s="3852"/>
      <c r="C106" s="3088" t="s">
        <v>2723</v>
      </c>
      <c r="D106" s="3088" t="s">
        <v>2724</v>
      </c>
      <c r="E106" s="3114">
        <v>0.1</v>
      </c>
      <c r="F106" s="3114">
        <v>15</v>
      </c>
    </row>
    <row r="107" spans="1:6" ht="24">
      <c r="A107" s="3114">
        <v>35</v>
      </c>
      <c r="B107" s="3851" t="s">
        <v>2725</v>
      </c>
      <c r="C107" s="3114" t="s">
        <v>2726</v>
      </c>
      <c r="D107" s="3088" t="s">
        <v>2727</v>
      </c>
      <c r="E107" s="3114">
        <v>0.15</v>
      </c>
      <c r="F107" s="3114">
        <v>20</v>
      </c>
    </row>
    <row r="108" spans="1:6" ht="13.5">
      <c r="A108" s="3114">
        <v>36</v>
      </c>
      <c r="B108" s="3853"/>
      <c r="C108" s="3114" t="s">
        <v>2728</v>
      </c>
      <c r="D108" s="3088" t="s">
        <v>2729</v>
      </c>
      <c r="E108" s="3114">
        <v>0.15</v>
      </c>
      <c r="F108" s="3114">
        <v>20</v>
      </c>
    </row>
    <row r="109" spans="1:6" ht="13.5">
      <c r="A109" s="3114">
        <v>37</v>
      </c>
      <c r="B109" s="3853"/>
      <c r="C109" s="3114" t="s">
        <v>2730</v>
      </c>
      <c r="D109" s="3088" t="s">
        <v>2731</v>
      </c>
      <c r="E109" s="3114">
        <v>0.15</v>
      </c>
      <c r="F109" s="3114">
        <v>20</v>
      </c>
    </row>
    <row r="110" spans="1:6" ht="13.5">
      <c r="A110" s="3114">
        <v>38</v>
      </c>
      <c r="B110" s="3853"/>
      <c r="C110" s="3114" t="s">
        <v>2732</v>
      </c>
      <c r="D110" s="3088" t="s">
        <v>2733</v>
      </c>
      <c r="E110" s="3114">
        <v>0.1</v>
      </c>
      <c r="F110" s="3114">
        <v>15</v>
      </c>
    </row>
    <row r="111" spans="1:6" ht="24">
      <c r="A111" s="3114">
        <v>39</v>
      </c>
      <c r="B111" s="3853"/>
      <c r="C111" s="3114" t="s">
        <v>2734</v>
      </c>
      <c r="D111" s="3088" t="s">
        <v>2735</v>
      </c>
      <c r="E111" s="3114">
        <v>0.1</v>
      </c>
      <c r="F111" s="3114">
        <v>15</v>
      </c>
    </row>
    <row r="112" spans="1:6" ht="24">
      <c r="A112" s="3114">
        <v>40</v>
      </c>
      <c r="B112" s="3852"/>
      <c r="C112" s="3114" t="s">
        <v>2736</v>
      </c>
      <c r="D112" s="3088" t="s">
        <v>2737</v>
      </c>
      <c r="E112" s="3114">
        <v>0.1</v>
      </c>
      <c r="F112" s="3114">
        <v>15</v>
      </c>
    </row>
    <row r="113" spans="1:6" ht="13.5">
      <c r="A113" s="3114">
        <v>41</v>
      </c>
      <c r="B113" s="3850" t="s">
        <v>2738</v>
      </c>
      <c r="C113" s="3114" t="s">
        <v>2739</v>
      </c>
      <c r="D113" s="3088" t="s">
        <v>2740</v>
      </c>
      <c r="E113" s="3114">
        <v>0.1</v>
      </c>
      <c r="F113" s="3114">
        <v>15</v>
      </c>
    </row>
    <row r="114" spans="1:6" ht="13.5">
      <c r="A114" s="3114">
        <v>42</v>
      </c>
      <c r="B114" s="3850"/>
      <c r="C114" s="3114" t="s">
        <v>2741</v>
      </c>
      <c r="D114" s="3088" t="s">
        <v>2742</v>
      </c>
      <c r="E114" s="3114">
        <v>0.1</v>
      </c>
      <c r="F114" s="3114">
        <v>15</v>
      </c>
    </row>
    <row r="115" spans="1:6" ht="24">
      <c r="A115" s="3114">
        <v>43</v>
      </c>
      <c r="B115" s="3850"/>
      <c r="C115" s="3114" t="s">
        <v>2743</v>
      </c>
      <c r="D115" s="3088" t="s">
        <v>2744</v>
      </c>
      <c r="E115" s="3114">
        <v>0.1</v>
      </c>
      <c r="F115" s="3114">
        <v>15</v>
      </c>
    </row>
    <row r="116" spans="1:6" ht="13.5">
      <c r="A116" s="3114">
        <v>44</v>
      </c>
      <c r="B116" s="3851" t="s">
        <v>2745</v>
      </c>
      <c r="C116" s="3114" t="s">
        <v>2746</v>
      </c>
      <c r="D116" s="3088" t="s">
        <v>2747</v>
      </c>
      <c r="E116" s="3114">
        <v>0.1</v>
      </c>
      <c r="F116" s="3114">
        <v>15</v>
      </c>
    </row>
    <row r="117" spans="1:6" ht="24">
      <c r="A117" s="3114">
        <v>45</v>
      </c>
      <c r="B117" s="3852"/>
      <c r="C117" s="3088" t="s">
        <v>2748</v>
      </c>
      <c r="D117" s="3088" t="s">
        <v>2749</v>
      </c>
      <c r="E117" s="3114">
        <v>0.1</v>
      </c>
      <c r="F117" s="3114">
        <v>15</v>
      </c>
    </row>
    <row r="118" spans="1:6" ht="24">
      <c r="A118" s="3114">
        <v>46</v>
      </c>
      <c r="B118" s="3851" t="s">
        <v>2750</v>
      </c>
      <c r="C118" s="3114" t="s">
        <v>2751</v>
      </c>
      <c r="D118" s="3088" t="s">
        <v>2752</v>
      </c>
      <c r="E118" s="3114">
        <v>0.1</v>
      </c>
      <c r="F118" s="3114">
        <v>15</v>
      </c>
    </row>
    <row r="119" spans="1:6" ht="24">
      <c r="A119" s="3114">
        <v>47</v>
      </c>
      <c r="B119" s="3852"/>
      <c r="C119" s="3114" t="s">
        <v>2753</v>
      </c>
      <c r="D119" s="3088" t="s">
        <v>2754</v>
      </c>
      <c r="E119" s="3114">
        <v>0.1</v>
      </c>
      <c r="F119" s="3114">
        <v>15</v>
      </c>
    </row>
    <row r="120" spans="1:6" ht="13.5">
      <c r="A120" s="3114">
        <v>48</v>
      </c>
      <c r="B120" s="3851" t="s">
        <v>2755</v>
      </c>
      <c r="C120" s="3114" t="s">
        <v>2756</v>
      </c>
      <c r="D120" s="3088" t="s">
        <v>2757</v>
      </c>
      <c r="E120" s="3114">
        <v>0.1</v>
      </c>
      <c r="F120" s="3114">
        <v>15</v>
      </c>
    </row>
    <row r="121" spans="1:6" ht="13.5">
      <c r="A121" s="3114">
        <v>49</v>
      </c>
      <c r="B121" s="3852"/>
      <c r="C121" s="3114" t="s">
        <v>2758</v>
      </c>
      <c r="D121" s="3088" t="s">
        <v>2759</v>
      </c>
      <c r="E121" s="3114">
        <v>0.1</v>
      </c>
      <c r="F121" s="3114">
        <v>15</v>
      </c>
    </row>
    <row r="122" spans="1:6" ht="24">
      <c r="A122" s="3114">
        <v>50</v>
      </c>
      <c r="B122" s="3850" t="s">
        <v>2760</v>
      </c>
      <c r="C122" s="3114" t="s">
        <v>2761</v>
      </c>
      <c r="D122" s="3088" t="s">
        <v>2762</v>
      </c>
      <c r="E122" s="3114">
        <v>0.1</v>
      </c>
      <c r="F122" s="3114">
        <v>15</v>
      </c>
    </row>
    <row r="123" spans="1:6" ht="24">
      <c r="A123" s="3114">
        <v>51</v>
      </c>
      <c r="B123" s="3850"/>
      <c r="C123" s="3114" t="s">
        <v>2763</v>
      </c>
      <c r="D123" s="3088" t="s">
        <v>2764</v>
      </c>
      <c r="E123" s="3114">
        <v>0.1</v>
      </c>
      <c r="F123" s="3114">
        <v>15</v>
      </c>
    </row>
    <row r="124" spans="1:6" ht="24">
      <c r="A124" s="3114">
        <v>52</v>
      </c>
      <c r="B124" s="3850" t="s">
        <v>2765</v>
      </c>
      <c r="C124" s="3114" t="s">
        <v>2766</v>
      </c>
      <c r="D124" s="3088" t="s">
        <v>2767</v>
      </c>
      <c r="E124" s="3114">
        <v>0.1</v>
      </c>
      <c r="F124" s="3114">
        <v>15</v>
      </c>
    </row>
    <row r="125" spans="1:6" ht="24">
      <c r="A125" s="3114">
        <v>53</v>
      </c>
      <c r="B125" s="3850"/>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850" t="s">
        <v>2773</v>
      </c>
      <c r="C127" s="3114" t="s">
        <v>2774</v>
      </c>
      <c r="D127" s="3088" t="s">
        <v>2775</v>
      </c>
      <c r="E127" s="3114">
        <v>0.1</v>
      </c>
      <c r="F127" s="3114">
        <v>15</v>
      </c>
    </row>
    <row r="128" spans="1:6" ht="13.5">
      <c r="A128" s="3114">
        <v>56</v>
      </c>
      <c r="B128" s="3850"/>
      <c r="C128" s="3114" t="s">
        <v>2776</v>
      </c>
      <c r="D128" s="3088" t="s">
        <v>2777</v>
      </c>
      <c r="E128" s="3114">
        <v>0.1</v>
      </c>
      <c r="F128" s="3114">
        <v>15</v>
      </c>
    </row>
    <row r="129" spans="1:6" ht="24">
      <c r="A129" s="3114">
        <v>57</v>
      </c>
      <c r="B129" s="3850"/>
      <c r="C129" s="3114" t="s">
        <v>2778</v>
      </c>
      <c r="D129" s="3088" t="s">
        <v>2779</v>
      </c>
      <c r="E129" s="3114">
        <v>0.1</v>
      </c>
      <c r="F129" s="3114">
        <v>15</v>
      </c>
    </row>
    <row r="130" spans="1:6" ht="24">
      <c r="A130" s="3114">
        <v>58</v>
      </c>
      <c r="B130" s="3850" t="s">
        <v>2780</v>
      </c>
      <c r="C130" s="3114" t="s">
        <v>2781</v>
      </c>
      <c r="D130" s="3088" t="s">
        <v>2782</v>
      </c>
      <c r="E130" s="3114">
        <v>0.1</v>
      </c>
      <c r="F130" s="3114">
        <v>15</v>
      </c>
    </row>
    <row r="131" spans="1:6" ht="13.5">
      <c r="A131" s="3114">
        <v>59</v>
      </c>
      <c r="B131" s="3850"/>
      <c r="C131" s="3114" t="s">
        <v>2783</v>
      </c>
      <c r="D131" s="3088" t="s">
        <v>2784</v>
      </c>
      <c r="E131" s="3114">
        <v>0.1</v>
      </c>
      <c r="F131" s="3114">
        <v>15</v>
      </c>
    </row>
    <row r="132" spans="1:6" ht="13.5">
      <c r="A132" s="3114">
        <v>60</v>
      </c>
      <c r="B132" s="3851" t="s">
        <v>2785</v>
      </c>
      <c r="C132" s="3114" t="s">
        <v>2786</v>
      </c>
      <c r="D132" s="3088" t="s">
        <v>2787</v>
      </c>
      <c r="E132" s="3114">
        <v>0.1</v>
      </c>
      <c r="F132" s="3114">
        <v>15</v>
      </c>
    </row>
    <row r="133" spans="1:6" ht="13.5">
      <c r="A133" s="3114">
        <v>61</v>
      </c>
      <c r="B133" s="3852"/>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850" t="s">
        <v>2793</v>
      </c>
      <c r="C135" s="3114" t="s">
        <v>2794</v>
      </c>
      <c r="D135" s="3088" t="s">
        <v>2795</v>
      </c>
      <c r="E135" s="3114">
        <v>0.1</v>
      </c>
      <c r="F135" s="3114">
        <v>15</v>
      </c>
    </row>
    <row r="136" spans="1:6" ht="13.5">
      <c r="A136" s="3114">
        <v>64</v>
      </c>
      <c r="B136" s="3850"/>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2802</v>
      </c>
      <c r="B1" s="3123"/>
      <c r="C1" s="3123"/>
      <c r="D1" s="3123"/>
      <c r="E1" s="3123"/>
      <c r="F1" s="3123"/>
      <c r="G1" s="3123"/>
      <c r="H1" s="3123"/>
      <c r="I1" s="3123"/>
      <c r="J1" s="3123"/>
      <c r="K1" s="3123"/>
      <c r="L1" s="3123"/>
      <c r="M1" s="3123"/>
      <c r="N1" s="745"/>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6">
        <f>SUMPRODUCT((A95:A184=ROUNDDOWN(基准地价修正!G3,1))*(B94:M94=基准地价修正!G2)*(B95:M184))</f>
        <v>0.92520000000000002</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6">
        <f>SUMPRODUCT((A371:A460=ROUNDDOWN(基准地价修正!G3,1))*(B370:M370=基准地价修正!G2)*(B371:M460))</f>
        <v>0.88009999999999999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281905</v>
      </c>
      <c r="C2" s="2" t="s">
        <v>106</v>
      </c>
      <c r="D2" s="196"/>
      <c r="E2" s="196"/>
      <c r="F2" s="196"/>
      <c r="G2" s="196"/>
    </row>
    <row r="3" spans="1:7" s="197" customFormat="1" ht="18" customHeight="1" thickBot="1">
      <c r="A3" s="200" t="s">
        <v>58</v>
      </c>
      <c r="B3" s="201">
        <f ca="1">ROUND(B2*10000/'数据-汇总表'!E3,0)</f>
        <v>8894</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0</v>
      </c>
      <c r="E9" s="222">
        <f>'数据-取费表'!B27</f>
        <v>200</v>
      </c>
      <c r="F9" s="218"/>
      <c r="G9" s="223"/>
    </row>
    <row r="10" spans="1:7" s="211" customFormat="1" ht="13.5" customHeight="1">
      <c r="A10" s="775" t="s">
        <v>356</v>
      </c>
      <c r="B10" s="221" t="s">
        <v>67</v>
      </c>
      <c r="C10" s="222">
        <f>ROUND(D10*E10/10000,0)</f>
        <v>5071</v>
      </c>
      <c r="D10" s="841">
        <f>'数据-汇总表'!E6</f>
        <v>316967.99</v>
      </c>
      <c r="E10" s="222">
        <f>'数据-取费表'!B28</f>
        <v>160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6339</v>
      </c>
      <c r="D19" s="845">
        <f>'数据-汇总表'!E3</f>
        <v>316967.99</v>
      </c>
      <c r="E19" s="208">
        <f>'数据-取费表'!B31</f>
        <v>200</v>
      </c>
      <c r="F19" s="228"/>
      <c r="G19" s="1" t="s">
        <v>436</v>
      </c>
    </row>
    <row r="20" spans="1:7" s="211" customFormat="1" ht="13.5" customHeight="1">
      <c r="A20" s="773" t="s">
        <v>419</v>
      </c>
      <c r="B20" s="207" t="s">
        <v>77</v>
      </c>
      <c r="C20" s="229">
        <f>ROUND((C5+C19)*F20,0)</f>
        <v>808</v>
      </c>
      <c r="D20" s="229"/>
      <c r="E20" s="229"/>
      <c r="F20" s="230">
        <f>'数据-取费表'!B37</f>
        <v>0.03</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2420</v>
      </c>
      <c r="D22" s="232">
        <f ca="1">C26</f>
        <v>8.9999999999999998E-4</v>
      </c>
      <c r="E22" s="233" t="s">
        <v>99</v>
      </c>
      <c r="F22" s="234">
        <f ca="1">'数据-取费表'!B40</f>
        <v>3.4500000000000003E-2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1824</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561</v>
      </c>
      <c r="D24" s="235"/>
      <c r="E24" s="235"/>
      <c r="F24" s="236"/>
      <c r="G24" s="237" t="s">
        <v>82</v>
      </c>
    </row>
    <row r="25" spans="1:7" s="211" customFormat="1" ht="24">
      <c r="A25" s="776" t="s">
        <v>348</v>
      </c>
      <c r="B25" s="212" t="s">
        <v>420</v>
      </c>
      <c r="C25" s="1101">
        <f ca="1">ROUND(IF('数据-取费表'!B22&lt;=1,C20*F22*'数据-取费表'!B23/2,C20*(POWER((1+F22),'数据-取费表'!B23/2)-1)),0)</f>
        <v>35</v>
      </c>
      <c r="D25" s="235"/>
      <c r="E25" s="238"/>
      <c r="F25" s="236"/>
      <c r="G25" s="239" t="s">
        <v>83</v>
      </c>
    </row>
    <row r="26" spans="1:7" s="211" customFormat="1">
      <c r="A26" s="776" t="s">
        <v>350</v>
      </c>
      <c r="B26" s="212" t="s">
        <v>422</v>
      </c>
      <c r="C26" s="235">
        <f ca="1">ROUND(IF('数据-取费表'!B22&lt;=1,F21*F22*'数据-取费表'!B23/2,F21*(POWER((1+F22),'数据-取费表'!B23/2)-1)),4)</f>
        <v>8.9999999999999998E-4</v>
      </c>
      <c r="D26" s="235"/>
      <c r="E26" s="238"/>
      <c r="F26" s="236"/>
      <c r="G26" s="240"/>
    </row>
    <row r="27" spans="1:7" s="211" customFormat="1" ht="24.75">
      <c r="A27" s="773" t="s">
        <v>342</v>
      </c>
      <c r="B27" s="241" t="s">
        <v>85</v>
      </c>
      <c r="C27" s="242">
        <f>C28</f>
        <v>3886</v>
      </c>
      <c r="D27" s="232">
        <f>C29</f>
        <v>2.8E-3</v>
      </c>
      <c r="E27" s="233" t="s">
        <v>99</v>
      </c>
      <c r="F27" s="243">
        <f>'数据-取费表'!Q16</f>
        <v>0.14000000000000001</v>
      </c>
      <c r="G27" s="244" t="s">
        <v>431</v>
      </c>
    </row>
    <row r="28" spans="1:7" s="211" customFormat="1" ht="13.5" customHeight="1">
      <c r="A28" s="776" t="s">
        <v>349</v>
      </c>
      <c r="B28" s="245" t="s">
        <v>424</v>
      </c>
      <c r="C28" s="246">
        <f>ROUND((C5+C19+C20)*F27*'数据-取费表'!B21/'数据-取费表'!B20,0)</f>
        <v>3886</v>
      </c>
      <c r="D28" s="232"/>
      <c r="E28" s="233"/>
      <c r="F28" s="243"/>
      <c r="G28" s="244"/>
    </row>
    <row r="29" spans="1:7" s="211" customFormat="1" ht="13.5" customHeight="1">
      <c r="A29" s="776" t="s">
        <v>347</v>
      </c>
      <c r="B29" s="245" t="s">
        <v>425</v>
      </c>
      <c r="C29" s="235">
        <f>ROUND(C21*F27*'数据-取费表'!B21/'数据-取费表'!B20,4)</f>
        <v>2.8E-3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36868</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213507</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193615</v>
      </c>
      <c r="D34" s="214"/>
      <c r="E34" s="217"/>
      <c r="F34" s="254">
        <f>IF('数据-取费表'!B24=0,1,'数据-取费表'!N16)</f>
        <v>1</v>
      </c>
      <c r="G34" s="216" t="s">
        <v>89</v>
      </c>
    </row>
    <row r="35" spans="1:7" ht="13.5" customHeight="1">
      <c r="A35" s="776" t="s">
        <v>351</v>
      </c>
      <c r="B35" s="212" t="s">
        <v>33</v>
      </c>
      <c r="C35" s="217">
        <f>ROUND(C34*F35,0)</f>
        <v>9681</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6" t="s">
        <v>353</v>
      </c>
      <c r="B37" s="212" t="s">
        <v>91</v>
      </c>
      <c r="C37" s="246">
        <f>ROUND(E37*D37*F34/10000,0)</f>
        <v>6339</v>
      </c>
      <c r="D37" s="214">
        <f>'数据-汇总表'!E3</f>
        <v>316967.99</v>
      </c>
      <c r="E37" s="246">
        <f>'数据-取费表'!B35</f>
        <v>200</v>
      </c>
      <c r="F37" s="256"/>
      <c r="G37" s="258" t="s">
        <v>92</v>
      </c>
    </row>
    <row r="38" spans="1:7" ht="13.5" customHeight="1">
      <c r="A38" s="776" t="s">
        <v>354</v>
      </c>
      <c r="B38" s="212" t="s">
        <v>36</v>
      </c>
      <c r="C38" s="217">
        <f>ROUND(C34*F38,0)</f>
        <v>3872</v>
      </c>
      <c r="D38" s="217"/>
      <c r="E38" s="217"/>
      <c r="F38" s="256">
        <f>'数据-取费表'!B36</f>
        <v>0.02</v>
      </c>
      <c r="G38" s="216" t="s">
        <v>90</v>
      </c>
    </row>
    <row r="39" spans="1:7" s="211" customFormat="1" ht="13.5" customHeight="1">
      <c r="A39" s="773" t="s">
        <v>338</v>
      </c>
      <c r="B39" s="207" t="s">
        <v>77</v>
      </c>
      <c r="C39" s="229">
        <f>ROUND(C33*F20,0)</f>
        <v>6405</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9524</v>
      </c>
      <c r="D41" s="232">
        <f ca="1">C44</f>
        <v>8.9999999999999998E-4</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9247</v>
      </c>
      <c r="D42" s="235"/>
      <c r="E42" s="235"/>
      <c r="F42" s="236"/>
      <c r="G42" s="3796" t="s">
        <v>94</v>
      </c>
    </row>
    <row r="43" spans="1:7" ht="13.5" customHeight="1">
      <c r="A43" s="776" t="s">
        <v>347</v>
      </c>
      <c r="B43" s="212" t="s">
        <v>426</v>
      </c>
      <c r="C43" s="235">
        <f ca="1">ROUND(IF('数据-取费表'!B22&lt;=1,C39*F22*'数据-取费表'!B21/2,C39*(POWER((1+F22),'数据-取费表'!B21/2)-1)),0)</f>
        <v>277</v>
      </c>
      <c r="D43" s="235"/>
      <c r="E43" s="235"/>
      <c r="F43" s="236"/>
      <c r="G43" s="3797"/>
    </row>
    <row r="44" spans="1:7" ht="13.5" customHeight="1">
      <c r="A44" s="776" t="s">
        <v>348</v>
      </c>
      <c r="B44" s="212" t="s">
        <v>428</v>
      </c>
      <c r="C44" s="235">
        <f ca="1">ROUND(IF('数据-取费表'!B22&lt;=1,C40*F22*'数据-取费表'!B21/2,C40*(POWER((1+F22),'数据-取费表'!B21/2)-1)),4)</f>
        <v>8.9999999999999998E-4</v>
      </c>
      <c r="D44" s="235"/>
      <c r="E44" s="235"/>
      <c r="F44" s="236"/>
      <c r="G44" s="3798"/>
    </row>
    <row r="45" spans="1:7" s="211" customFormat="1" ht="13.5" customHeight="1">
      <c r="A45" s="773" t="s">
        <v>341</v>
      </c>
      <c r="B45" s="241" t="s">
        <v>85</v>
      </c>
      <c r="C45" s="242">
        <f>C46</f>
        <v>30788</v>
      </c>
      <c r="D45" s="232">
        <f>C47</f>
        <v>2.8E-3</v>
      </c>
      <c r="E45" s="233" t="s">
        <v>102</v>
      </c>
      <c r="F45" s="243"/>
      <c r="G45" s="244" t="s">
        <v>434</v>
      </c>
    </row>
    <row r="46" spans="1:7" s="211" customFormat="1" ht="13.5" customHeight="1">
      <c r="A46" s="776" t="s">
        <v>349</v>
      </c>
      <c r="B46" s="245" t="s">
        <v>427</v>
      </c>
      <c r="C46" s="246">
        <f>ROUND((C33+C39)*F27,0)</f>
        <v>30788</v>
      </c>
      <c r="D46" s="260"/>
      <c r="E46" s="233"/>
      <c r="F46" s="243"/>
      <c r="G46" s="244"/>
    </row>
    <row r="47" spans="1:7" s="211" customFormat="1" ht="13.5" customHeight="1">
      <c r="A47" s="776" t="s">
        <v>347</v>
      </c>
      <c r="B47" s="245" t="s">
        <v>429</v>
      </c>
      <c r="C47" s="235">
        <f>ROUND(C40*F27,4)</f>
        <v>2.8E-3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281652</v>
      </c>
      <c r="D49" s="229"/>
      <c r="E49" s="229"/>
      <c r="F49" s="261"/>
      <c r="G49" s="231" t="s">
        <v>435</v>
      </c>
    </row>
    <row r="50" spans="1:7" s="255" customFormat="1" ht="24">
      <c r="A50" s="773" t="s">
        <v>344</v>
      </c>
      <c r="B50" s="207" t="s">
        <v>97</v>
      </c>
      <c r="C50" s="229"/>
      <c r="D50" s="229"/>
      <c r="E50" s="229"/>
      <c r="F50" s="261">
        <f>IF('数据-取费表'!B24=0,'数据-取费表'!N16,1)</f>
        <v>0.87</v>
      </c>
      <c r="G50" s="244" t="s">
        <v>98</v>
      </c>
    </row>
    <row r="51" spans="1:7" ht="16.5" customHeight="1">
      <c r="A51" s="773" t="s">
        <v>345</v>
      </c>
      <c r="B51" s="207" t="s">
        <v>105</v>
      </c>
      <c r="C51" s="229">
        <f ca="1">ROUND(C49*F50,0)</f>
        <v>245037</v>
      </c>
      <c r="D51" s="229"/>
      <c r="E51" s="229"/>
      <c r="F51" s="261"/>
      <c r="G51" s="231" t="s">
        <v>37</v>
      </c>
    </row>
    <row r="52" spans="1:7" s="205" customFormat="1" ht="16.5" thickBot="1">
      <c r="A52" s="262" t="s">
        <v>38</v>
      </c>
      <c r="B52" s="263"/>
      <c r="C52" s="264">
        <f ca="1">C31+C51</f>
        <v>281905</v>
      </c>
      <c r="D52" s="263"/>
      <c r="E52" s="263"/>
      <c r="F52" s="263"/>
      <c r="G52" s="265"/>
    </row>
    <row r="55" spans="1:7" ht="15">
      <c r="B55" s="267" t="s">
        <v>39</v>
      </c>
      <c r="C55" s="268"/>
    </row>
    <row r="56" spans="1:7">
      <c r="B56" s="270" t="s">
        <v>40</v>
      </c>
      <c r="C56" s="271">
        <f ca="1">ROUND(C51/C52,3)</f>
        <v>0.86899999999999999</v>
      </c>
    </row>
    <row r="57" spans="1:7">
      <c r="B57" s="270" t="s">
        <v>41</v>
      </c>
      <c r="C57" s="272">
        <f ca="1">1-C56</f>
        <v>0.13100000000000001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3" t="s">
        <v>1926</v>
      </c>
      <c r="B1" s="194"/>
      <c r="C1" s="198" t="s">
        <v>1927</v>
      </c>
      <c r="D1" s="339">
        <f>SUM(D33:D34,D37:D42)</f>
        <v>316967.99</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f>C30</f>
        <v>124246</v>
      </c>
      <c r="C2" s="1995" t="s">
        <v>1935</v>
      </c>
      <c r="D2" s="1996" t="s">
        <v>1936</v>
      </c>
      <c r="E2" s="3418" t="s">
        <v>3435</v>
      </c>
      <c r="F2" s="1996" t="s">
        <v>1937</v>
      </c>
      <c r="G2" s="1997" t="str">
        <f>IF(E2="商业",项目基本情况!B37,IF(E2="办公",项目基本情况!C37,IF(E2="住宅",项目基本情况!D37,IF(E2="工业",项目基本情况!E37,项目基本情况!F37))))</f>
        <v>六级</v>
      </c>
      <c r="H2" s="1996" t="s">
        <v>1938</v>
      </c>
      <c r="I2" s="1997" t="str">
        <f>IF(E2="商业",项目基本情况!B38,IF(E2="办公",项目基本情况!C38,IF(E2="住宅",项目基本情况!D38,IF(E2="工业",项目基本情况!E38,项目基本情况!F38))))</f>
        <v>Ⅵ-亦1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8187</v>
      </c>
      <c r="U2" s="1209"/>
      <c r="V2" s="3357">
        <f>ROUND(T2*U2/10000,0)</f>
        <v>0</v>
      </c>
      <c r="W2" s="1212"/>
      <c r="X2" s="1212"/>
      <c r="Y2" s="1212"/>
      <c r="Z2" s="1212"/>
      <c r="AA2" s="1212"/>
      <c r="AB2" s="1212"/>
      <c r="AC2" s="1213"/>
      <c r="AD2" s="1214"/>
      <c r="AE2" s="1214"/>
      <c r="AF2" s="1214"/>
      <c r="AG2" s="1214"/>
      <c r="AH2" s="1214"/>
      <c r="AI2" s="1214"/>
      <c r="AJ2" s="1215"/>
    </row>
    <row r="3" spans="1:36" ht="15.75">
      <c r="A3" s="200" t="s">
        <v>1940</v>
      </c>
      <c r="B3" s="201">
        <f>ROUND(B2*10000/D1,0)</f>
        <v>3920</v>
      </c>
      <c r="C3" s="1995" t="s">
        <v>1941</v>
      </c>
      <c r="D3" s="1996" t="s">
        <v>1942</v>
      </c>
      <c r="E3" s="3416" t="s">
        <v>2462</v>
      </c>
      <c r="F3" s="2000" t="s">
        <v>3441</v>
      </c>
      <c r="G3" s="748">
        <f>IF(F3="宗地容积率",'数据-汇总表'!I4,IF(F3="估价对象容积率",'数据-汇总表'!I6,'数据-汇总表'!I7))</f>
        <v>3.8</v>
      </c>
      <c r="H3" s="167"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6453</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69"/>
      <c r="B4" s="3870"/>
      <c r="C4" s="3870"/>
      <c r="D4" s="3871"/>
      <c r="E4" s="3871"/>
      <c r="F4" s="3871"/>
      <c r="G4" s="3871"/>
      <c r="H4" s="3871"/>
      <c r="I4" s="3871"/>
      <c r="J4" s="3872"/>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5454</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7065</v>
      </c>
      <c r="D5" s="1335">
        <f>ROUND(C6*C17+C20,0)</f>
        <v>7065</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4810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7090</v>
      </c>
      <c r="D6" s="2013"/>
      <c r="E6" s="2014"/>
      <c r="F6" s="2014"/>
      <c r="G6" s="2015"/>
      <c r="H6" s="2015"/>
      <c r="I6" s="2015"/>
      <c r="J6" s="2016"/>
      <c r="K6" s="1380"/>
      <c r="L6" s="1999" t="s">
        <v>1951</v>
      </c>
      <c r="M6" s="860">
        <f>SUMPRODUCT((区片价!B127:B189=I2)*(区片价!C3:G3=E2)*(区片价!C127:G189))</f>
        <v>7090</v>
      </c>
      <c r="N6" s="862">
        <f>SUMPRODUCT((因素修正幅度!B127:B189=I2)*(因素修正幅度!C3:G3=E2)*(因素修正幅度!C127:G189))</f>
        <v>0.128</v>
      </c>
      <c r="O6" s="1115"/>
      <c r="P6" s="1115"/>
      <c r="Q6" s="1115"/>
      <c r="R6" s="1208">
        <v>5</v>
      </c>
      <c r="S6" s="3357">
        <f>ROUND(SUMPRODUCT((B106:B110=R6)*(C105:N105=G2)*(C106:N110)),4)</f>
        <v>0.84799999999999998</v>
      </c>
      <c r="T6" s="3357">
        <f t="shared" si="0"/>
        <v>4623</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3241</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1955</v>
      </c>
      <c r="X7" s="1210" t="str">
        <f>G2</f>
        <v>六级</v>
      </c>
      <c r="Y7" s="1210" t="s">
        <v>1956</v>
      </c>
      <c r="Z7" s="1211">
        <f>G3</f>
        <v>3.8</v>
      </c>
      <c r="AA7" s="1212"/>
      <c r="AB7" s="1212"/>
      <c r="AC7" s="1213"/>
      <c r="AD7" s="1214"/>
      <c r="AE7" s="1214"/>
      <c r="AF7" s="1214"/>
      <c r="AG7" s="1214"/>
      <c r="AH7" s="1214"/>
      <c r="AI7" s="1214"/>
      <c r="AJ7" s="1215"/>
    </row>
    <row r="8" spans="1:36" ht="25.5">
      <c r="A8" s="3295"/>
      <c r="B8" s="167" t="s">
        <v>1957</v>
      </c>
      <c r="C8" s="2022" t="s">
        <v>3443</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66" t="s">
        <v>1960</v>
      </c>
      <c r="X8" s="3867"/>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67" t="s">
        <v>1973</v>
      </c>
      <c r="C9" s="754">
        <f>SUMIF(修正!C71:C138,C8,修正!E71:E138)</f>
        <v>0</v>
      </c>
      <c r="D9" s="168" t="s">
        <v>113</v>
      </c>
      <c r="E9" s="168"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68"/>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7" t="s">
        <v>1976</v>
      </c>
      <c r="C10" s="168">
        <f>SUMIF(修正!C71:C138,C8,修正!F71:F138)</f>
        <v>0</v>
      </c>
      <c r="D10" s="168" t="s">
        <v>114</v>
      </c>
      <c r="E10" s="168"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68"/>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3242</v>
      </c>
      <c r="B12" s="3301" t="s">
        <v>3243</v>
      </c>
      <c r="C12" s="3302"/>
      <c r="D12" s="3303" t="s">
        <v>3244</v>
      </c>
      <c r="E12" s="3304" t="s">
        <v>3245</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3246</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3247</v>
      </c>
      <c r="G14" s="3308" t="s">
        <v>3247</v>
      </c>
      <c r="H14" s="3308" t="s">
        <v>3247</v>
      </c>
      <c r="I14" s="3308" t="s">
        <v>3247</v>
      </c>
      <c r="J14" s="3308" t="s">
        <v>3247</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3248</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3252</v>
      </c>
      <c r="E18" s="3325"/>
      <c r="F18" s="3320" t="s">
        <v>3255</v>
      </c>
      <c r="G18" s="3324">
        <f>ROUND(1-(1/(POWER(1+G24,E18))),4)</f>
        <v>0</v>
      </c>
      <c r="H18" s="3320" t="s">
        <v>3257</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3253</v>
      </c>
      <c r="E19" s="3334"/>
      <c r="F19" s="3335" t="s">
        <v>3256</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73" t="s">
        <v>3258</v>
      </c>
      <c r="B20" s="164" t="s">
        <v>1994</v>
      </c>
      <c r="C20" s="3321">
        <f>ROUND(IF(F21="与级别开发程度一致",0,(G21-E21)/C21),0)</f>
        <v>-25</v>
      </c>
      <c r="D20" s="3337" t="s">
        <v>1998</v>
      </c>
      <c r="E20" s="3338"/>
      <c r="F20" s="3879" t="s">
        <v>1995</v>
      </c>
      <c r="G20" s="3880"/>
      <c r="H20" s="3322" t="s">
        <v>3444</v>
      </c>
      <c r="I20" s="3322" t="s">
        <v>3445</v>
      </c>
      <c r="J20" s="3323" t="s">
        <v>3446</v>
      </c>
      <c r="K20" s="2043" t="s">
        <v>3447</v>
      </c>
      <c r="L20" s="2043" t="s">
        <v>3448</v>
      </c>
      <c r="M20" s="2043" t="s">
        <v>3449</v>
      </c>
      <c r="N20" s="2043" t="s">
        <v>3450</v>
      </c>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15" thickBot="1">
      <c r="A21" s="3874"/>
      <c r="B21" s="2160" t="s">
        <v>1997</v>
      </c>
      <c r="C21" s="2161">
        <f>IF(E3="M4科研用地",SUMPRODUCT((修正!A2:A7=E3)*(修正!B1:M1=G2)*(修正!B2:M7)),SUMPRODUCT((修正!A2:A7=E2)*(修正!B1:M1=G2)*(修正!B2:M7)))</f>
        <v>2</v>
      </c>
      <c r="D21" s="184" t="str">
        <f>IF(OR(G2="八级",G2="九级",G2="十级",G2="十一级",G2="十二级"),"五通一平","七通一平")</f>
        <v>七通一平</v>
      </c>
      <c r="E21" s="2151">
        <f>SUMPRODUCT((修正!B1:M1=G2)*(修正!B17:M17))</f>
        <v>315</v>
      </c>
      <c r="F21" s="2152"/>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0.8</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0" t="s">
        <v>2002</v>
      </c>
      <c r="E23" s="757">
        <v>44197</v>
      </c>
      <c r="F23" s="2050" t="s">
        <v>2003</v>
      </c>
      <c r="G23" s="758">
        <f>'数据-取费表'!B2</f>
        <v>45421</v>
      </c>
      <c r="H23" s="3339" t="s">
        <v>3259</v>
      </c>
      <c r="I23" s="3340" t="str">
        <f>IF(H23="季度增幅（自定义）",SUMIF(N25:N28,E2,O25:O28),"")</f>
        <v/>
      </c>
      <c r="J23" s="3442" t="s">
        <v>3451</v>
      </c>
      <c r="K23" s="1121"/>
      <c r="L23" s="2051" t="s">
        <v>2004</v>
      </c>
      <c r="M23" s="1324">
        <f>ROUND(SUMIF(地价!B2:G2,E2,地价!B16:G16),0)</f>
        <v>0</v>
      </c>
      <c r="N23" s="2052" t="s">
        <v>2005</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0.88419999999999999</v>
      </c>
      <c r="D24" s="2056" t="s">
        <v>2007</v>
      </c>
      <c r="E24" s="1331">
        <f>存贷款利率!E24/100</f>
        <v>4.3499999999999997E-2</v>
      </c>
      <c r="F24" s="2056" t="s">
        <v>1999</v>
      </c>
      <c r="G24" s="764">
        <f>SUMIF(M30:Q30,E2,M33:Q33)</f>
        <v>0.05</v>
      </c>
      <c r="H24" s="2056" t="s">
        <v>2008</v>
      </c>
      <c r="I24" s="765">
        <f>SUMIF('数据-取费表'!C6:C15,E2,'数据-取费表'!F6:F15)/COUNTIF('数据-取费表'!C6:C15,E2)</f>
        <v>33.729999999999997</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3338</v>
      </c>
      <c r="C25" s="767">
        <f>IF(B25="容积率修正",IF(G3&lt;10,D26,J26),C27)</f>
        <v>0.88009999999999999</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3260</v>
      </c>
      <c r="D26" s="1348">
        <f>IF(E26=G26,F26,IF(G3&lt;10,ROUND(F26+(H26-F26)*(G3-E26)/(G26-E26),4),"——"))</f>
        <v>0.88009999999999999</v>
      </c>
      <c r="E26" s="748">
        <f>ROUNDDOWN(G3,1)</f>
        <v>3.8</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0.88009999999999999</v>
      </c>
      <c r="G26" s="748">
        <f>ROUNDUP(G3,1)</f>
        <v>3.8</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0.88009999999999999</v>
      </c>
      <c r="I26" s="3341" t="s">
        <v>3261</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1.0592999999999999</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124246</v>
      </c>
      <c r="D30" s="2079"/>
      <c r="E30" s="2042"/>
      <c r="F30" s="2080"/>
      <c r="G30" s="2042"/>
      <c r="H30" s="2042"/>
      <c r="I30" s="2042"/>
      <c r="J30" s="2081"/>
      <c r="K30" s="1115"/>
      <c r="L30" s="3347" t="s">
        <v>1936</v>
      </c>
      <c r="M30" s="3348" t="s">
        <v>1990</v>
      </c>
      <c r="N30" s="3348" t="s">
        <v>1991</v>
      </c>
      <c r="O30" s="3348" t="s">
        <v>1992</v>
      </c>
      <c r="P30" s="3348" t="s">
        <v>1993</v>
      </c>
      <c r="Q30" s="3351" t="s">
        <v>3265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1432</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2">
        <f>ROUND(C5*C22*C23*C24*C25*C28,0)</f>
        <v>4797</v>
      </c>
      <c r="D33" s="2094">
        <f>'数据-汇总表'!F27</f>
        <v>247091.11999999997</v>
      </c>
      <c r="E33" s="769">
        <f>ROUND(C33*D33/10000,0)</f>
        <v>118530</v>
      </c>
      <c r="F33" s="3342" t="s">
        <v>3263</v>
      </c>
      <c r="G33" s="2095"/>
      <c r="H33" s="2095"/>
      <c r="I33" s="2095"/>
      <c r="J33" s="2096"/>
      <c r="K33" s="1115"/>
      <c r="L33" s="3345" t="s">
        <v>3266</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4">
        <f>ROUND(IF(E2="工业",C33*M42,IF(B25="楼层修正",SUM(V2:V16)*M41*10000/D34,C33*M41)),0)</f>
        <v>1199</v>
      </c>
      <c r="D34" s="2099"/>
      <c r="E34" s="769">
        <f>ROUND(IF(B25="楼层修正",SUM(V2:V16)*M40,C34*D34/10000),0)</f>
        <v>0</v>
      </c>
      <c r="F34" s="2100" t="s">
        <v>2032</v>
      </c>
      <c r="G34" s="2101"/>
      <c r="H34" s="2101"/>
      <c r="I34" s="2101"/>
      <c r="J34" s="2102"/>
      <c r="K34" s="1115"/>
      <c r="L34" s="3345" t="s">
        <v>3267</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3264</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7" t="s">
        <v>2027</v>
      </c>
      <c r="D36" s="444" t="s">
        <v>2028</v>
      </c>
      <c r="E36" s="444" t="s">
        <v>2029</v>
      </c>
      <c r="F36" s="339" t="s">
        <v>2035</v>
      </c>
      <c r="G36" s="2108" t="s">
        <v>2027</v>
      </c>
      <c r="H36" s="2108" t="s">
        <v>2028</v>
      </c>
      <c r="I36" s="2108" t="s">
        <v>2029</v>
      </c>
      <c r="J36" s="240"/>
      <c r="K36" s="3353" t="s">
        <v>3268</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77"/>
      <c r="B37" s="2109" t="s">
        <v>2036</v>
      </c>
      <c r="C37" s="172">
        <f>ROUND(D5*C22*C23*C24*C28*F37,0)</f>
        <v>3271</v>
      </c>
      <c r="D37" s="2094"/>
      <c r="E37" s="168">
        <f>ROUND(C37*D37/10000,0)</f>
        <v>0</v>
      </c>
      <c r="F37" s="168">
        <f>SUMIF(修正!A57:A68,G2,修正!B57:B68)</f>
        <v>0.6</v>
      </c>
      <c r="G37" s="168">
        <f>ROUND(IF(E2="工业",C37*$M$42,C37*$M$41),0)</f>
        <v>818</v>
      </c>
      <c r="H37" s="168">
        <f>D37</f>
        <v>0</v>
      </c>
      <c r="I37" s="168">
        <f>ROUND(G37*H37/10000,0)</f>
        <v>0</v>
      </c>
      <c r="J37" s="3008"/>
      <c r="K37" s="3355" t="s">
        <v>3269</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78"/>
      <c r="B38" s="2037" t="s">
        <v>2037</v>
      </c>
      <c r="C38" s="172">
        <f>ROUND(D5*C22*C23*C24*C28*F38,0)</f>
        <v>1635</v>
      </c>
      <c r="D38" s="2094"/>
      <c r="E38" s="168">
        <f t="shared" ref="E38:E42" si="4">ROUND(C38*D38/10000,0)</f>
        <v>0</v>
      </c>
      <c r="F38" s="168">
        <f>SUMIF(修正!A57:A68,G2,修正!C57:C68)</f>
        <v>0.3</v>
      </c>
      <c r="G38" s="168">
        <f>ROUND(IF(E2="工业",C38*$M$42,C38*$M$41),0)</f>
        <v>409</v>
      </c>
      <c r="H38" s="168">
        <f t="shared" ref="H38:H42" si="5">D38</f>
        <v>0</v>
      </c>
      <c r="I38" s="168">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78"/>
      <c r="B39" s="2037" t="s">
        <v>3262</v>
      </c>
      <c r="C39" s="172">
        <f>ROUND(D5*C22*C23*C24*C28*F39,0)</f>
        <v>1363</v>
      </c>
      <c r="D39" s="2094"/>
      <c r="E39" s="168">
        <f t="shared" si="4"/>
        <v>0</v>
      </c>
      <c r="F39" s="168">
        <f>SUMIF(修正!A57:A68,G2,修正!D57:D68)</f>
        <v>0.25</v>
      </c>
      <c r="G39" s="168">
        <f>ROUND(IF(E2="工业",C39*$M$42,C39*$M$41),0)</f>
        <v>341</v>
      </c>
      <c r="H39" s="168">
        <f t="shared" si="5"/>
        <v>0</v>
      </c>
      <c r="I39" s="168">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68">
        <f>ROUND(D5*C22*C23*C24*C28*F40,0)</f>
        <v>1363</v>
      </c>
      <c r="D40" s="2094"/>
      <c r="E40" s="168">
        <f t="shared" si="4"/>
        <v>0</v>
      </c>
      <c r="F40" s="172">
        <f>SUMIF(修正!A57:A68,G2,修正!E57:E68)</f>
        <v>0.25</v>
      </c>
      <c r="G40" s="168">
        <f>ROUND(IF(E2="工业",C40*$M$42,C40*$M$41),0)</f>
        <v>341</v>
      </c>
      <c r="H40" s="168">
        <f t="shared" si="5"/>
        <v>0</v>
      </c>
      <c r="I40" s="168">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68">
        <f>ROUND(D5*C22*C23*C44*C28*F41,0)</f>
        <v>1363</v>
      </c>
      <c r="D41" s="2094"/>
      <c r="E41" s="168">
        <f t="shared" si="4"/>
        <v>0</v>
      </c>
      <c r="F41" s="172">
        <f>SUMIF(修正!A57:A68,G2,修正!F57:F68)</f>
        <v>0.25</v>
      </c>
      <c r="G41" s="168">
        <f>ROUND(IF(E2="工业",C41*$M$42,C41*$M$41),0)</f>
        <v>341</v>
      </c>
      <c r="H41" s="168">
        <f t="shared" si="5"/>
        <v>0</v>
      </c>
      <c r="I41" s="168">
        <f t="shared" si="6"/>
        <v>0</v>
      </c>
      <c r="J41" s="2110"/>
      <c r="L41" s="3356" t="s">
        <v>3270</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4">
        <f>ROUND(D5*C22*C23*C44*C28*F42,0)</f>
        <v>818</v>
      </c>
      <c r="D42" s="2099">
        <f>'数据-汇总表'!G31</f>
        <v>69876.87</v>
      </c>
      <c r="E42" s="184">
        <f t="shared" si="4"/>
        <v>5716</v>
      </c>
      <c r="F42" s="763">
        <f>SUMIF(修正!A57:A68,G2,修正!G57:G68)</f>
        <v>0.15</v>
      </c>
      <c r="G42" s="184">
        <f>ROUND(IF(E2="工业",C42*$M$42,C42*$M$41),0)</f>
        <v>205</v>
      </c>
      <c r="H42" s="184">
        <f t="shared" si="5"/>
        <v>69876.87</v>
      </c>
      <c r="I42" s="184">
        <f t="shared" si="6"/>
        <v>1432</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39">
        <f>ROUND(POWER(1+E44,H44-G44)*(POWER(1+E44,G44)-1)/(POWER(1+E44,H44)-1),4)</f>
        <v>0.88419999999999999</v>
      </c>
      <c r="D44" s="168" t="s">
        <v>1999</v>
      </c>
      <c r="E44" s="2149">
        <f>G24</f>
        <v>0.05</v>
      </c>
      <c r="F44" s="168" t="s">
        <v>2008</v>
      </c>
      <c r="G44" s="180">
        <f>I24</f>
        <v>33.729999999999997</v>
      </c>
      <c r="H44" s="168">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2044</v>
      </c>
      <c r="B49" s="1347" t="s">
        <v>2045</v>
      </c>
      <c r="C49" s="1347" t="s">
        <v>2046</v>
      </c>
      <c r="D49" s="1347" t="s">
        <v>2047</v>
      </c>
      <c r="E49" s="739" t="s">
        <v>2048</v>
      </c>
      <c r="F49" s="2127" t="s">
        <v>2049</v>
      </c>
      <c r="G49" s="1347" t="s">
        <v>310</v>
      </c>
      <c r="H49" s="2128"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hidden="1">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5" t="s">
        <v>3272</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2056</v>
      </c>
      <c r="B54" s="2130" t="str">
        <f>估价对象房地状况!C24</f>
        <v>主干道-荣京东街</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2044</v>
      </c>
      <c r="B60" s="1347"/>
      <c r="C60" s="1347" t="s">
        <v>2046</v>
      </c>
      <c r="D60" s="1347" t="s">
        <v>2047</v>
      </c>
      <c r="E60" s="739" t="s">
        <v>2048</v>
      </c>
      <c r="F60" s="2127" t="s">
        <v>2063</v>
      </c>
      <c r="G60" s="1347" t="s">
        <v>310</v>
      </c>
      <c r="H60" s="2128"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hidden="1">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65" t="s">
        <v>3272</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2056</v>
      </c>
      <c r="B65" s="2130" t="str">
        <f>估价对象房地状况!C24</f>
        <v>主干道-荣京东街</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hidden="1">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2044</v>
      </c>
      <c r="B71" s="1347"/>
      <c r="C71" s="1347" t="s">
        <v>2046</v>
      </c>
      <c r="D71" s="1347" t="s">
        <v>2047</v>
      </c>
      <c r="E71" s="739" t="s">
        <v>2048</v>
      </c>
      <c r="F71" s="2127" t="s">
        <v>2063</v>
      </c>
      <c r="G71" s="1347" t="s">
        <v>310</v>
      </c>
      <c r="H71" s="2128"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51" hidden="1">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hidden="1">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hidden="1">
      <c r="A74" s="3365" t="s">
        <v>3272</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hidden="1">
      <c r="A75" s="2126" t="s">
        <v>2067</v>
      </c>
      <c r="B75" s="2130" t="str">
        <f>估价对象房地状况!C24</f>
        <v>主干道-荣京东街</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hidden="1">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hidden="1">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hidden="1">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hidden="1">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hidden="1"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hidden="1">
      <c r="A81" s="2122" t="s">
        <v>2069</v>
      </c>
      <c r="B81" s="2123">
        <f>1+E83</f>
        <v>1</v>
      </c>
      <c r="C81" s="737"/>
      <c r="D81" s="737"/>
      <c r="E81" s="738"/>
      <c r="F81" s="2125"/>
      <c r="G81" s="3"/>
      <c r="H81" s="3"/>
      <c r="I81" s="3"/>
      <c r="J81" s="4"/>
      <c r="K81" s="4"/>
      <c r="L81" s="4"/>
      <c r="M81" s="4"/>
      <c r="N81" s="4"/>
      <c r="Z81" s="1994"/>
      <c r="AA81" s="2049"/>
      <c r="AG81" s="1117"/>
      <c r="AK81" s="2049"/>
    </row>
    <row r="82" spans="1:37" ht="24.75" hidden="1">
      <c r="A82" s="2126" t="s">
        <v>2044</v>
      </c>
      <c r="B82" s="1347"/>
      <c r="C82" s="1347" t="s">
        <v>2046</v>
      </c>
      <c r="D82" s="1347" t="s">
        <v>2047</v>
      </c>
      <c r="E82" s="739" t="s">
        <v>2048</v>
      </c>
      <c r="F82" s="2127" t="s">
        <v>2063</v>
      </c>
      <c r="G82" s="1347" t="s">
        <v>310</v>
      </c>
      <c r="H82" s="2128" t="s">
        <v>2050</v>
      </c>
      <c r="I82" s="1347" t="s">
        <v>2051</v>
      </c>
      <c r="J82" s="549" t="s">
        <v>1721</v>
      </c>
      <c r="K82" s="549" t="s">
        <v>1722</v>
      </c>
      <c r="L82" s="549" t="s">
        <v>1723</v>
      </c>
      <c r="M82" s="549" t="s">
        <v>1724</v>
      </c>
      <c r="N82" s="549" t="s">
        <v>1725</v>
      </c>
      <c r="Z82" s="1994"/>
      <c r="AA82" s="2049"/>
      <c r="AG82" s="1117"/>
      <c r="AK82" s="2049"/>
    </row>
    <row r="83" spans="1:37" ht="38.25" hidden="1">
      <c r="A83" s="2126" t="s">
        <v>2070</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3">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hidden="1">
      <c r="A84" s="2126" t="s">
        <v>2053</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3">
        <v>0.3</v>
      </c>
      <c r="J84" s="1060">
        <f t="shared" si="24"/>
        <v>0</v>
      </c>
      <c r="K84" s="1060">
        <f t="shared" si="25"/>
        <v>0</v>
      </c>
      <c r="L84" s="1060">
        <v>0</v>
      </c>
      <c r="M84" s="1060">
        <f t="shared" si="26"/>
        <v>0</v>
      </c>
      <c r="N84" s="1060">
        <f t="shared" si="26"/>
        <v>0</v>
      </c>
      <c r="Z84" s="1994"/>
      <c r="AA84" s="2049"/>
      <c r="AG84" s="1117"/>
      <c r="AK84" s="2049"/>
    </row>
    <row r="85" spans="1:37" ht="36" hidden="1">
      <c r="A85" s="3365" t="s">
        <v>3273</v>
      </c>
      <c r="B85" s="2130">
        <f>估价对象房地状况!G17</f>
        <v>0</v>
      </c>
      <c r="C85" s="2040"/>
      <c r="D85" s="1061">
        <f t="shared" si="22"/>
        <v>0</v>
      </c>
      <c r="E85" s="743"/>
      <c r="F85" s="1810"/>
      <c r="G85" s="1059"/>
      <c r="H85" s="1062" t="str">
        <f t="shared" si="23"/>
        <v>——</v>
      </c>
      <c r="I85" s="3363">
        <v>0.1</v>
      </c>
      <c r="J85" s="1060">
        <f t="shared" si="24"/>
        <v>0</v>
      </c>
      <c r="K85" s="1060">
        <f t="shared" si="25"/>
        <v>0</v>
      </c>
      <c r="L85" s="1060">
        <v>0</v>
      </c>
      <c r="M85" s="1060">
        <f t="shared" si="26"/>
        <v>0</v>
      </c>
      <c r="N85" s="1060">
        <f t="shared" si="26"/>
        <v>0</v>
      </c>
      <c r="Z85" s="1994"/>
      <c r="AA85" s="2049"/>
      <c r="AG85" s="1117"/>
      <c r="AK85" s="2049"/>
    </row>
    <row r="86" spans="1:37" ht="14.25" hidden="1">
      <c r="A86" s="2126" t="s">
        <v>2067</v>
      </c>
      <c r="B86" s="2130">
        <f>估价对象房地状况!G22</f>
        <v>0</v>
      </c>
      <c r="C86" s="2040"/>
      <c r="D86" s="1061">
        <f t="shared" si="22"/>
        <v>0</v>
      </c>
      <c r="E86" s="743"/>
      <c r="F86" s="1810"/>
      <c r="G86" s="1059"/>
      <c r="H86" s="1062" t="str">
        <f t="shared" si="23"/>
        <v>——</v>
      </c>
      <c r="I86" s="3363">
        <v>0.05</v>
      </c>
      <c r="J86" s="1060">
        <f t="shared" si="24"/>
        <v>0</v>
      </c>
      <c r="K86" s="1060">
        <f t="shared" si="25"/>
        <v>0</v>
      </c>
      <c r="L86" s="1060">
        <v>0</v>
      </c>
      <c r="M86" s="1060">
        <f t="shared" si="26"/>
        <v>0</v>
      </c>
      <c r="N86" s="1060">
        <f t="shared" si="26"/>
        <v>0</v>
      </c>
      <c r="Z86" s="1994"/>
      <c r="AA86" s="2049"/>
      <c r="AG86" s="1117"/>
      <c r="AK86" s="2049"/>
    </row>
    <row r="87" spans="1:37" ht="25.5" hidden="1">
      <c r="A87" s="2126" t="s">
        <v>2059</v>
      </c>
      <c r="B87" s="1322" t="str">
        <f>估价对象房地状况!G19</f>
        <v>估价对象所在区域公共配套设施齐备情况</v>
      </c>
      <c r="C87" s="2040"/>
      <c r="D87" s="1061">
        <f t="shared" si="22"/>
        <v>0</v>
      </c>
      <c r="E87" s="743"/>
      <c r="F87" s="1810"/>
      <c r="G87" s="1059"/>
      <c r="H87" s="1062" t="str">
        <f t="shared" si="23"/>
        <v>——</v>
      </c>
      <c r="I87" s="3363">
        <v>0.06</v>
      </c>
      <c r="J87" s="1060">
        <f t="shared" si="24"/>
        <v>0</v>
      </c>
      <c r="K87" s="1060">
        <f t="shared" si="25"/>
        <v>0</v>
      </c>
      <c r="L87" s="1060">
        <v>0</v>
      </c>
      <c r="M87" s="1060">
        <f t="shared" si="26"/>
        <v>0</v>
      </c>
      <c r="N87" s="1060">
        <f t="shared" si="26"/>
        <v>0</v>
      </c>
    </row>
    <row r="88" spans="1:37" ht="25.5" hidden="1">
      <c r="A88" s="2126" t="s">
        <v>2060</v>
      </c>
      <c r="B88" s="1322" t="str">
        <f>估价对象房地状况!G20</f>
        <v>估价对象所在区域基础设施水平</v>
      </c>
      <c r="C88" s="2040"/>
      <c r="D88" s="1061">
        <f t="shared" si="22"/>
        <v>0</v>
      </c>
      <c r="E88" s="743"/>
      <c r="F88" s="1810"/>
      <c r="G88" s="1059"/>
      <c r="H88" s="1062" t="str">
        <f t="shared" si="23"/>
        <v>——</v>
      </c>
      <c r="I88" s="3363">
        <v>0.12</v>
      </c>
      <c r="J88" s="1060">
        <f t="shared" si="24"/>
        <v>0</v>
      </c>
      <c r="K88" s="1060">
        <f t="shared" si="25"/>
        <v>0</v>
      </c>
      <c r="L88" s="1060">
        <v>0</v>
      </c>
      <c r="M88" s="1060">
        <f t="shared" si="26"/>
        <v>0</v>
      </c>
      <c r="N88" s="1060">
        <f t="shared" si="26"/>
        <v>0</v>
      </c>
    </row>
    <row r="89" spans="1:37" ht="24" hidden="1">
      <c r="A89" s="2126" t="s">
        <v>2057</v>
      </c>
      <c r="B89" s="2132" t="s">
        <v>2071</v>
      </c>
      <c r="C89" s="2040"/>
      <c r="D89" s="1061">
        <f t="shared" si="22"/>
        <v>0</v>
      </c>
      <c r="E89" s="743"/>
      <c r="F89" s="1810"/>
      <c r="G89" s="1059"/>
      <c r="H89" s="1062" t="str">
        <f t="shared" si="23"/>
        <v>——</v>
      </c>
      <c r="I89" s="3363">
        <v>0.06</v>
      </c>
      <c r="J89" s="1060">
        <f t="shared" si="24"/>
        <v>0</v>
      </c>
      <c r="K89" s="1060">
        <f t="shared" si="25"/>
        <v>0</v>
      </c>
      <c r="L89" s="1060">
        <v>0</v>
      </c>
      <c r="M89" s="1060">
        <f t="shared" si="26"/>
        <v>0</v>
      </c>
      <c r="N89" s="1060">
        <f t="shared" si="26"/>
        <v>0</v>
      </c>
    </row>
    <row r="90" spans="1:37" ht="39" hidden="1" thickBot="1">
      <c r="A90" s="2134" t="s">
        <v>2072</v>
      </c>
      <c r="B90" s="2139" t="str">
        <f>估价对象房地状况!G18</f>
        <v>该园区内是否有污染型企业，绿化情况，卫生条件，整体环境状况判断</v>
      </c>
      <c r="C90" s="2040"/>
      <c r="D90" s="1061">
        <f t="shared" si="22"/>
        <v>0</v>
      </c>
      <c r="E90" s="744"/>
      <c r="F90" s="1810"/>
      <c r="G90" s="1059"/>
      <c r="H90" s="1062" t="str">
        <f t="shared" si="23"/>
        <v>——</v>
      </c>
      <c r="I90" s="3364">
        <v>0.05</v>
      </c>
      <c r="J90" s="1060">
        <f t="shared" si="24"/>
        <v>0</v>
      </c>
      <c r="K90" s="1060">
        <f t="shared" si="25"/>
        <v>0</v>
      </c>
      <c r="L90" s="1060">
        <v>0</v>
      </c>
      <c r="M90" s="1060">
        <f t="shared" si="26"/>
        <v>0</v>
      </c>
      <c r="N90" s="1060">
        <f t="shared" si="26"/>
        <v>0</v>
      </c>
    </row>
    <row r="91" spans="1:37" ht="15">
      <c r="A91" s="3373" t="s">
        <v>2616</v>
      </c>
      <c r="B91" s="3374">
        <f>1+E93</f>
        <v>1.0592999999999999</v>
      </c>
      <c r="C91" s="3367"/>
      <c r="D91" s="3368"/>
      <c r="E91" s="1810"/>
      <c r="F91" s="1810"/>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2"/>
      <c r="C93" s="2040" t="s">
        <v>3477</v>
      </c>
      <c r="D93" s="3362">
        <f>SUMIF($J$92:$N$92,C93,J93:N93)</f>
        <v>1.6E-2</v>
      </c>
      <c r="E93" s="3378">
        <f>ROUND(SUM(D93:D101),4)</f>
        <v>5.9299999999999999E-2</v>
      </c>
      <c r="F93" s="1810">
        <f>IF(E2="公共服务",SUMIF(L1:L12,G2,N1:N12),"——")</f>
        <v>0.128</v>
      </c>
      <c r="G93" s="3369">
        <v>1.6E-2</v>
      </c>
      <c r="H93" s="3417">
        <f>IFERROR(ROUNDDOWN($F$93*I93/2,4),"——")</f>
        <v>1.6E-2</v>
      </c>
      <c r="I93" s="3363">
        <v>0.25</v>
      </c>
      <c r="J93" s="3341">
        <f t="shared" ref="J93:J101" si="27">K93+$G93</f>
        <v>3.2000000000000001E-2</v>
      </c>
      <c r="K93" s="3341">
        <f t="shared" ref="K93:K101" si="28">$L93+$G93</f>
        <v>1.6E-2</v>
      </c>
      <c r="L93" s="3341">
        <v>0</v>
      </c>
      <c r="M93" s="3341">
        <f t="shared" ref="M93:N101" si="29">L93-$G93</f>
        <v>-1.6E-2</v>
      </c>
      <c r="N93" s="3341">
        <f t="shared" si="29"/>
        <v>-3.2000000000000001E-2</v>
      </c>
    </row>
    <row r="94" spans="1:37" ht="38.25">
      <c r="A94" s="3375" t="s">
        <v>3276</v>
      </c>
      <c r="B94" s="3366" t="str">
        <f>估价对象房地状况!C18</f>
        <v>估价对象周边道路状况、公共交通通达情况、停车便捷程度，综合评价交通便捷度较好</v>
      </c>
      <c r="C94" s="2040" t="s">
        <v>3477</v>
      </c>
      <c r="D94" s="3362">
        <f t="shared" ref="D94:D101" si="30">SUMIF($J$60:$N$60,C94,J94:N94)</f>
        <v>1.66E-2</v>
      </c>
      <c r="E94" s="3379"/>
      <c r="F94" s="1810"/>
      <c r="G94" s="3369">
        <v>1.66E-2</v>
      </c>
      <c r="H94" s="3417">
        <f>IFERROR(ROUNDDOWN($F$93*I94/2,4),"——")</f>
        <v>1.66E-2</v>
      </c>
      <c r="I94" s="3363">
        <v>0.26</v>
      </c>
      <c r="J94" s="3341">
        <f t="shared" si="27"/>
        <v>3.32E-2</v>
      </c>
      <c r="K94" s="3341">
        <f t="shared" si="28"/>
        <v>1.66E-2</v>
      </c>
      <c r="L94" s="3341">
        <v>0</v>
      </c>
      <c r="M94" s="3341">
        <f t="shared" si="29"/>
        <v>-1.66E-2</v>
      </c>
      <c r="N94" s="3341">
        <f t="shared" si="29"/>
        <v>-3.32E-2</v>
      </c>
    </row>
    <row r="95" spans="1:37" ht="36">
      <c r="A95" s="3365" t="s">
        <v>3272</v>
      </c>
      <c r="B95" s="3366">
        <f>估价对象房地状况!C19</f>
        <v>0</v>
      </c>
      <c r="C95" s="2040" t="s">
        <v>3477</v>
      </c>
      <c r="D95" s="3362">
        <f t="shared" si="30"/>
        <v>7.0000000000000001E-3</v>
      </c>
      <c r="E95" s="3379"/>
      <c r="F95" s="1810"/>
      <c r="G95" s="3369">
        <v>7.0000000000000001E-3</v>
      </c>
      <c r="H95" s="3417">
        <f t="shared" ref="H95:H101" si="31">IFERROR(ROUNDDOWN($F$93*I95/2,4),"——")</f>
        <v>7.0000000000000001E-3</v>
      </c>
      <c r="I95" s="3363">
        <v>0.11</v>
      </c>
      <c r="J95" s="3341">
        <f t="shared" si="27"/>
        <v>1.4E-2</v>
      </c>
      <c r="K95" s="3341">
        <f t="shared" si="28"/>
        <v>7.0000000000000001E-3</v>
      </c>
      <c r="L95" s="3341">
        <v>0</v>
      </c>
      <c r="M95" s="3341">
        <f t="shared" si="29"/>
        <v>-7.0000000000000001E-3</v>
      </c>
      <c r="N95" s="3341">
        <f t="shared" si="29"/>
        <v>-1.4E-2</v>
      </c>
    </row>
    <row r="96" spans="1:37" ht="36.75">
      <c r="A96" s="3375" t="s">
        <v>3277</v>
      </c>
      <c r="B96" s="3381" t="s">
        <v>3288</v>
      </c>
      <c r="C96" s="2040" t="s">
        <v>3477</v>
      </c>
      <c r="D96" s="3362">
        <f t="shared" si="30"/>
        <v>3.2000000000000002E-3</v>
      </c>
      <c r="E96" s="3379"/>
      <c r="F96" s="1810"/>
      <c r="G96" s="3369">
        <v>3.2000000000000002E-3</v>
      </c>
      <c r="H96" s="3417">
        <f t="shared" si="31"/>
        <v>3.2000000000000002E-3</v>
      </c>
      <c r="I96" s="3363">
        <v>0.05</v>
      </c>
      <c r="J96" s="3341">
        <f t="shared" si="27"/>
        <v>6.4000000000000003E-3</v>
      </c>
      <c r="K96" s="3341">
        <f t="shared" si="28"/>
        <v>3.2000000000000002E-3</v>
      </c>
      <c r="L96" s="3341">
        <v>0</v>
      </c>
      <c r="M96" s="3341">
        <f t="shared" si="29"/>
        <v>-3.2000000000000002E-3</v>
      </c>
      <c r="N96" s="3341">
        <f t="shared" si="29"/>
        <v>-6.4000000000000003E-3</v>
      </c>
    </row>
    <row r="97" spans="1:14" ht="24">
      <c r="A97" s="3375" t="s">
        <v>3278</v>
      </c>
      <c r="B97" s="3366" t="str">
        <f>估价对象房地状况!C24</f>
        <v>主干道-荣京东街</v>
      </c>
      <c r="C97" s="2040" t="s">
        <v>3477</v>
      </c>
      <c r="D97" s="3362">
        <f t="shared" si="30"/>
        <v>3.2000000000000002E-3</v>
      </c>
      <c r="E97" s="3379"/>
      <c r="F97" s="1810"/>
      <c r="G97" s="3369">
        <v>3.2000000000000002E-3</v>
      </c>
      <c r="H97" s="3417">
        <f t="shared" si="31"/>
        <v>3.2000000000000002E-3</v>
      </c>
      <c r="I97" s="3363">
        <v>0.05</v>
      </c>
      <c r="J97" s="3341">
        <f t="shared" si="27"/>
        <v>6.4000000000000003E-3</v>
      </c>
      <c r="K97" s="3341">
        <f t="shared" si="28"/>
        <v>3.2000000000000002E-3</v>
      </c>
      <c r="L97" s="3341">
        <v>0</v>
      </c>
      <c r="M97" s="3341">
        <f t="shared" si="29"/>
        <v>-3.2000000000000002E-3</v>
      </c>
      <c r="N97" s="3341">
        <f t="shared" si="29"/>
        <v>-6.4000000000000003E-3</v>
      </c>
    </row>
    <row r="98" spans="1:14" ht="24">
      <c r="A98" s="3375" t="s">
        <v>3279</v>
      </c>
      <c r="B98" s="3382" t="s">
        <v>3289</v>
      </c>
      <c r="C98" s="2040" t="s">
        <v>3477</v>
      </c>
      <c r="D98" s="3362">
        <f t="shared" si="30"/>
        <v>3.8E-3</v>
      </c>
      <c r="E98" s="3379"/>
      <c r="F98" s="1810"/>
      <c r="G98" s="3369">
        <v>3.8E-3</v>
      </c>
      <c r="H98" s="3417">
        <f t="shared" si="31"/>
        <v>3.8E-3</v>
      </c>
      <c r="I98" s="3363">
        <v>0.06</v>
      </c>
      <c r="J98" s="3341">
        <f t="shared" si="27"/>
        <v>7.6E-3</v>
      </c>
      <c r="K98" s="3341">
        <f t="shared" si="28"/>
        <v>3.8E-3</v>
      </c>
      <c r="L98" s="3341">
        <v>0</v>
      </c>
      <c r="M98" s="3341">
        <f t="shared" si="29"/>
        <v>-3.8E-3</v>
      </c>
      <c r="N98" s="3341">
        <f t="shared" si="29"/>
        <v>-7.6E-3</v>
      </c>
    </row>
    <row r="99" spans="1:14" ht="25.5">
      <c r="A99" s="3375" t="s">
        <v>3280</v>
      </c>
      <c r="B99" s="3366" t="str">
        <f>估价对象房地状况!C21</f>
        <v>估价对象所在区域公共配套设施齐备情况</v>
      </c>
      <c r="C99" s="2040" t="s">
        <v>3477</v>
      </c>
      <c r="D99" s="3362">
        <f t="shared" si="30"/>
        <v>3.8E-3</v>
      </c>
      <c r="E99" s="3379"/>
      <c r="F99" s="1810"/>
      <c r="G99" s="3369">
        <v>3.8E-3</v>
      </c>
      <c r="H99" s="3417">
        <f t="shared" si="31"/>
        <v>3.8E-3</v>
      </c>
      <c r="I99" s="3363">
        <v>0.06</v>
      </c>
      <c r="J99" s="3341">
        <f t="shared" si="27"/>
        <v>7.6E-3</v>
      </c>
      <c r="K99" s="3341">
        <f t="shared" si="28"/>
        <v>3.8E-3</v>
      </c>
      <c r="L99" s="3341">
        <v>0</v>
      </c>
      <c r="M99" s="3341">
        <f t="shared" si="29"/>
        <v>-3.8E-3</v>
      </c>
      <c r="N99" s="3341">
        <f t="shared" si="29"/>
        <v>-7.6E-3</v>
      </c>
    </row>
    <row r="100" spans="1:14" ht="25.5">
      <c r="A100" s="3375" t="s">
        <v>3281</v>
      </c>
      <c r="B100" s="3366" t="str">
        <f>估价对象房地状况!C22</f>
        <v>估价对象所在区域基础设施水平</v>
      </c>
      <c r="C100" s="2040" t="s">
        <v>3477</v>
      </c>
      <c r="D100" s="3362">
        <f t="shared" si="30"/>
        <v>5.7000000000000002E-3</v>
      </c>
      <c r="E100" s="3379"/>
      <c r="F100" s="1810"/>
      <c r="G100" s="3369">
        <v>5.7000000000000002E-3</v>
      </c>
      <c r="H100" s="3417">
        <f t="shared" si="31"/>
        <v>5.7000000000000002E-3</v>
      </c>
      <c r="I100" s="3363">
        <v>0.09</v>
      </c>
      <c r="J100" s="3341">
        <f t="shared" si="27"/>
        <v>1.14E-2</v>
      </c>
      <c r="K100" s="3341">
        <f t="shared" si="28"/>
        <v>5.7000000000000002E-3</v>
      </c>
      <c r="L100" s="3341">
        <v>0</v>
      </c>
      <c r="M100" s="3341">
        <f t="shared" si="29"/>
        <v>-5.7000000000000002E-3</v>
      </c>
      <c r="N100" s="3341">
        <f t="shared" si="29"/>
        <v>-1.14E-2</v>
      </c>
    </row>
    <row r="101" spans="1:14" ht="26.25" thickBot="1">
      <c r="A101" s="3376" t="s">
        <v>3282</v>
      </c>
      <c r="B101" s="3383" t="str">
        <f>估价对象房地状况!C20</f>
        <v>区域自然环境：；人文环境；综合评价环境状况一般</v>
      </c>
      <c r="C101" s="2040" t="s">
        <v>3478</v>
      </c>
      <c r="D101" s="3362">
        <f t="shared" si="30"/>
        <v>0</v>
      </c>
      <c r="E101" s="3380"/>
      <c r="F101" s="1810"/>
      <c r="G101" s="3369">
        <v>4.4000000000000003E-3</v>
      </c>
      <c r="H101" s="3417">
        <f t="shared" si="31"/>
        <v>4.4000000000000003E-3</v>
      </c>
      <c r="I101" s="3364">
        <v>7.0000000000000007E-2</v>
      </c>
      <c r="J101" s="3341">
        <f t="shared" si="27"/>
        <v>8.8000000000000005E-3</v>
      </c>
      <c r="K101" s="3341">
        <f t="shared" si="28"/>
        <v>4.4000000000000003E-3</v>
      </c>
      <c r="L101" s="3341">
        <v>0</v>
      </c>
      <c r="M101" s="3341">
        <f t="shared" si="29"/>
        <v>-4.4000000000000003E-3</v>
      </c>
      <c r="N101" s="3341">
        <f t="shared" si="29"/>
        <v>-8.8000000000000005E-3</v>
      </c>
    </row>
    <row r="103" spans="1:14">
      <c r="A103" s="3875" t="s">
        <v>3297</v>
      </c>
      <c r="B103" s="3875"/>
      <c r="C103" s="3875"/>
      <c r="D103" s="3875"/>
      <c r="E103" s="3875"/>
      <c r="F103" s="3875"/>
      <c r="G103" s="3875"/>
      <c r="H103" s="3875"/>
      <c r="I103" s="3875"/>
      <c r="J103" s="3875"/>
      <c r="K103" s="3386"/>
      <c r="L103" s="3386"/>
      <c r="M103" s="3386"/>
      <c r="N103" s="3386"/>
    </row>
    <row r="104" spans="1:14">
      <c r="A104" s="3876" t="s">
        <v>3298</v>
      </c>
      <c r="B104" s="3876" t="s">
        <v>3299</v>
      </c>
      <c r="C104" s="3387" t="s">
        <v>3300</v>
      </c>
      <c r="D104" s="3388"/>
      <c r="E104" s="3388"/>
      <c r="F104" s="3388"/>
      <c r="G104" s="3388"/>
      <c r="H104" s="3388"/>
      <c r="I104" s="3388"/>
      <c r="J104" s="3389"/>
      <c r="K104" s="3390"/>
      <c r="L104" s="3390"/>
      <c r="M104" s="3390"/>
      <c r="N104" s="3390"/>
    </row>
    <row r="105" spans="1:14">
      <c r="A105" s="3876"/>
      <c r="B105" s="3876"/>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862"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63"/>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63"/>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63"/>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63"/>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63"/>
      <c r="B111" s="3391" t="s">
        <v>3271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64"/>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65" t="s">
        <v>3314</v>
      </c>
      <c r="B113" s="3865"/>
      <c r="C113" s="3865"/>
      <c r="D113" s="3865"/>
      <c r="E113" s="3865"/>
      <c r="F113" s="3865"/>
      <c r="G113" s="3865"/>
      <c r="H113" s="3865"/>
      <c r="I113" s="3865"/>
      <c r="J113" s="3865"/>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3.8</v>
      </c>
      <c r="C116" s="3396" t="s">
        <v>3316</v>
      </c>
      <c r="D116" s="3397">
        <f>SUMPRODUCT((A118:A122=F116)*(B117:M117=H116)*B118:M122)</f>
        <v>0.84419999999999995</v>
      </c>
      <c r="E116" s="1996" t="s">
        <v>3317</v>
      </c>
      <c r="F116" s="3398" t="str">
        <f>E2</f>
        <v>公共服务</v>
      </c>
      <c r="G116" s="1996" t="s">
        <v>3318</v>
      </c>
      <c r="H116" s="3398" t="str">
        <f>G2</f>
        <v>六级</v>
      </c>
      <c r="I116" s="1996"/>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0.95499999999999996</v>
      </c>
      <c r="C118" s="3384">
        <f>B118</f>
        <v>0.95499999999999996</v>
      </c>
      <c r="D118" s="3384">
        <f>ROUND(0.949-0.014*B116,4)</f>
        <v>0.89580000000000004</v>
      </c>
      <c r="E118" s="3384">
        <f>D118</f>
        <v>0.89580000000000004</v>
      </c>
      <c r="F118" s="3384">
        <f>E118</f>
        <v>0.89580000000000004</v>
      </c>
      <c r="G118" s="3384">
        <f>F118</f>
        <v>0.89580000000000004</v>
      </c>
      <c r="H118" s="3384">
        <f>G118</f>
        <v>0.89580000000000004</v>
      </c>
      <c r="I118" s="3384">
        <f>ROUND(0.8486-0.018*B116,4)</f>
        <v>0.7802</v>
      </c>
      <c r="J118" s="3384">
        <f t="shared" ref="J118:M122" si="35">I118</f>
        <v>0.7802</v>
      </c>
      <c r="K118" s="3384">
        <f t="shared" si="35"/>
        <v>0.7802</v>
      </c>
      <c r="L118" s="3384">
        <f t="shared" si="35"/>
        <v>0.7802</v>
      </c>
      <c r="M118" s="3407">
        <f t="shared" si="35"/>
        <v>0.7802</v>
      </c>
      <c r="N118" s="3394"/>
    </row>
    <row r="119" spans="1:14">
      <c r="A119" s="3406" t="s">
        <v>3332</v>
      </c>
      <c r="B119" s="3384">
        <f>ROUND(0.993-0.0112*B116,4)</f>
        <v>0.95040000000000002</v>
      </c>
      <c r="C119" s="3384">
        <f>B119</f>
        <v>0.95040000000000002</v>
      </c>
      <c r="D119" s="3384">
        <f>ROUND(0.9415-0.0142*B116,4)</f>
        <v>0.88749999999999996</v>
      </c>
      <c r="E119" s="3384">
        <f t="shared" ref="E119:H120" si="36">D119</f>
        <v>0.88749999999999996</v>
      </c>
      <c r="F119" s="3384">
        <f t="shared" si="36"/>
        <v>0.88749999999999996</v>
      </c>
      <c r="G119" s="3384">
        <f t="shared" si="36"/>
        <v>0.88749999999999996</v>
      </c>
      <c r="H119" s="3384">
        <f t="shared" si="36"/>
        <v>0.88749999999999996</v>
      </c>
      <c r="I119" s="3384">
        <f>ROUND(0.838-0.0182*B116,4)</f>
        <v>0.76880000000000004</v>
      </c>
      <c r="J119" s="3384">
        <f t="shared" si="35"/>
        <v>0.76880000000000004</v>
      </c>
      <c r="K119" s="3384">
        <f t="shared" si="35"/>
        <v>0.76880000000000004</v>
      </c>
      <c r="L119" s="3384">
        <f t="shared" si="35"/>
        <v>0.76880000000000004</v>
      </c>
      <c r="M119" s="3407">
        <f t="shared" si="35"/>
        <v>0.76880000000000004</v>
      </c>
      <c r="N119" s="3394"/>
    </row>
    <row r="120" spans="1:14">
      <c r="A120" s="3406" t="s">
        <v>3333</v>
      </c>
      <c r="B120" s="3384">
        <f>ROUND(0.9448-0.0115*B116,4)</f>
        <v>0.90110000000000001</v>
      </c>
      <c r="C120" s="3384">
        <f>B120</f>
        <v>0.90110000000000001</v>
      </c>
      <c r="D120" s="3384">
        <f>ROUND(0.937-0.0145*B116,4)</f>
        <v>0.88190000000000002</v>
      </c>
      <c r="E120" s="3384">
        <f t="shared" si="36"/>
        <v>0.88190000000000002</v>
      </c>
      <c r="F120" s="3384">
        <f t="shared" si="36"/>
        <v>0.88190000000000002</v>
      </c>
      <c r="G120" s="3384">
        <f t="shared" si="36"/>
        <v>0.88190000000000002</v>
      </c>
      <c r="H120" s="3384">
        <f t="shared" si="36"/>
        <v>0.88190000000000002</v>
      </c>
      <c r="I120" s="3384">
        <f>ROUND(0.7965-0.0185*B116,4)</f>
        <v>0.72619999999999996</v>
      </c>
      <c r="J120" s="3384">
        <f t="shared" si="35"/>
        <v>0.72619999999999996</v>
      </c>
      <c r="K120" s="3384">
        <f t="shared" si="35"/>
        <v>0.72619999999999996</v>
      </c>
      <c r="L120" s="3384">
        <f t="shared" si="35"/>
        <v>0.72619999999999996</v>
      </c>
      <c r="M120" s="3407">
        <f t="shared" si="35"/>
        <v>0.72619999999999996</v>
      </c>
      <c r="N120" s="3394"/>
    </row>
    <row r="121" spans="1:14" ht="13.5" thickBot="1">
      <c r="A121" s="3408" t="s">
        <v>3334</v>
      </c>
      <c r="B121" s="3409">
        <f>ROUND(0.7836-0.012*B116,4)</f>
        <v>0.73799999999999999</v>
      </c>
      <c r="C121" s="3409">
        <f>B121</f>
        <v>0.73799999999999999</v>
      </c>
      <c r="D121" s="3409">
        <f>ROUND(0.753-0.015*B116,4)</f>
        <v>0.69599999999999995</v>
      </c>
      <c r="E121" s="3409">
        <f>D121</f>
        <v>0.69599999999999995</v>
      </c>
      <c r="F121" s="3409">
        <f>E121</f>
        <v>0.69599999999999995</v>
      </c>
      <c r="G121" s="3409">
        <f>ROUND(0.6612-0.018*B116,4)</f>
        <v>0.59279999999999999</v>
      </c>
      <c r="H121" s="3409">
        <f>G121</f>
        <v>0.59279999999999999</v>
      </c>
      <c r="I121" s="3409">
        <f>ROUND(0.5905-0.019*B116,4)</f>
        <v>0.51829999999999998</v>
      </c>
      <c r="J121" s="3409">
        <f t="shared" si="35"/>
        <v>0.51829999999999998</v>
      </c>
      <c r="K121" s="3409">
        <f t="shared" si="35"/>
        <v>0.51829999999999998</v>
      </c>
      <c r="L121" s="3409">
        <f t="shared" si="35"/>
        <v>0.51829999999999998</v>
      </c>
      <c r="M121" s="3410">
        <f t="shared" si="35"/>
        <v>0.51829999999999998</v>
      </c>
      <c r="N121" s="3394"/>
    </row>
    <row r="122" spans="1:14">
      <c r="A122" s="3411" t="s">
        <v>2616</v>
      </c>
      <c r="B122" s="3384">
        <f>ROUND(0.9404-0.0106*B116,4)</f>
        <v>0.90010000000000001</v>
      </c>
      <c r="C122" s="3384">
        <f>B122</f>
        <v>0.90010000000000001</v>
      </c>
      <c r="D122" s="3384">
        <f>ROUND(0.8955-0.0135*B116,4)</f>
        <v>0.84419999999999995</v>
      </c>
      <c r="E122" s="3384">
        <f t="shared" ref="E122:H122" si="37">D122</f>
        <v>0.84419999999999995</v>
      </c>
      <c r="F122" s="3384">
        <f t="shared" si="37"/>
        <v>0.84419999999999995</v>
      </c>
      <c r="G122" s="3384">
        <f t="shared" si="37"/>
        <v>0.84419999999999995</v>
      </c>
      <c r="H122" s="3384">
        <f t="shared" si="37"/>
        <v>0.84419999999999995</v>
      </c>
      <c r="I122" s="3384">
        <f>ROUND(0.7632-0.0166*B116,4)</f>
        <v>0.70009999999999994</v>
      </c>
      <c r="J122" s="3384">
        <f t="shared" si="35"/>
        <v>0.70009999999999994</v>
      </c>
      <c r="K122" s="3384">
        <f t="shared" si="35"/>
        <v>0.70009999999999994</v>
      </c>
      <c r="L122" s="3384">
        <f t="shared" si="35"/>
        <v>0.70009999999999994</v>
      </c>
      <c r="M122" s="3407">
        <f t="shared" si="35"/>
        <v>0.70009999999999994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L34" sqref="L34"/>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9</v>
      </c>
    </row>
    <row r="2" spans="1:9" s="197" customFormat="1" ht="18" customHeight="1">
      <c r="A2" s="198" t="s">
        <v>1462</v>
      </c>
      <c r="B2" s="199">
        <f ca="1">IF(D2="——",C52,C52-E2)</f>
        <v>435818</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13750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133107</v>
      </c>
      <c r="D5" s="208" t="s">
        <v>1469</v>
      </c>
      <c r="E5" s="209" t="s">
        <v>1470</v>
      </c>
      <c r="F5" s="209" t="s">
        <v>1471</v>
      </c>
      <c r="G5" s="210"/>
    </row>
    <row r="6" spans="1:9" s="211" customFormat="1" ht="13.5" customHeight="1">
      <c r="A6" s="774" t="s">
        <v>1472</v>
      </c>
      <c r="B6" s="212" t="s">
        <v>1473</v>
      </c>
      <c r="C6" s="213">
        <f>基准地价修正!B2</f>
        <v>124246</v>
      </c>
      <c r="D6" s="214"/>
      <c r="E6" s="215"/>
      <c r="F6" s="215"/>
      <c r="G6" s="216"/>
    </row>
    <row r="7" spans="1:9" s="211" customFormat="1" ht="13.5" customHeight="1">
      <c r="A7" s="774" t="s">
        <v>1474</v>
      </c>
      <c r="B7" s="212" t="s">
        <v>1475</v>
      </c>
      <c r="C7" s="217">
        <f>ROUND(C6*F7,0)</f>
        <v>3790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5071</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0</v>
      </c>
      <c r="E9" s="222">
        <f>'数据-取费表'!B27</f>
        <v>200</v>
      </c>
      <c r="F9" s="218"/>
      <c r="G9" s="1853"/>
      <c r="H9" s="1133"/>
      <c r="I9" s="1854" t="s">
        <v>1479</v>
      </c>
    </row>
    <row r="10" spans="1:9" s="211" customFormat="1" ht="13.5" customHeight="1">
      <c r="A10" s="775" t="s">
        <v>356</v>
      </c>
      <c r="B10" s="221" t="s">
        <v>1480</v>
      </c>
      <c r="C10" s="222">
        <f ca="1">ROUND(D10*E10/10000,0)</f>
        <v>5071</v>
      </c>
      <c r="D10" s="841">
        <f ca="1">IF(B1="",'数据-汇总表'!E6,IF(INDIRECT("'数据-取费表'!c"&amp;$G$1)="住宅",INDIRECT("'数据-取费表'!s"&amp;$G$1),INDIRECT("'数据-取费表'!k"&amp;$G$1)+INDIRECT("'数据-取费表'!s"&amp;$G$1)))</f>
        <v>316967.99</v>
      </c>
      <c r="E10" s="222">
        <f>'数据-取费表'!B28</f>
        <v>160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6339</v>
      </c>
      <c r="D19" s="845">
        <f ca="1">D9+D10</f>
        <v>316967.99</v>
      </c>
      <c r="E19" s="208">
        <f>'数据-取费表'!B31</f>
        <v>200</v>
      </c>
      <c r="F19" s="228"/>
      <c r="G19" s="1852"/>
    </row>
    <row r="20" spans="1:7" s="211" customFormat="1" ht="13.5" customHeight="1">
      <c r="A20" s="252" t="s">
        <v>1493</v>
      </c>
      <c r="B20" s="207" t="s">
        <v>1494</v>
      </c>
      <c r="C20" s="229">
        <f ca="1">ROUND((C5+C19)*F20,0)</f>
        <v>4183</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100">
        <f ca="1">ROUND(SUM(C23:C25),0)</f>
        <v>12521</v>
      </c>
      <c r="D22" s="232">
        <f ca="1">C26</f>
        <v>8.9999999999999998E-4</v>
      </c>
      <c r="E22" s="233" t="s">
        <v>1498</v>
      </c>
      <c r="F22" s="234">
        <f ca="1">'数据-取费表'!B40</f>
        <v>3.4500000000000003E-2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11779</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561</v>
      </c>
      <c r="D24" s="235"/>
      <c r="E24" s="235"/>
      <c r="F24" s="236"/>
      <c r="G24" s="237" t="s">
        <v>1507</v>
      </c>
    </row>
    <row r="25" spans="1:7" s="211" customFormat="1" ht="24">
      <c r="A25" s="776" t="s">
        <v>1508</v>
      </c>
      <c r="B25" s="212" t="s">
        <v>1509</v>
      </c>
      <c r="C25" s="1101">
        <f ca="1">ROUND(IF('数据-取费表'!B22&lt;=1,C20*F22*'数据-取费表'!B23/2,C20*(POWER((1+F22),'数据-取费表'!B23/2)-1)),0)</f>
        <v>181</v>
      </c>
      <c r="D25" s="235"/>
      <c r="E25" s="238"/>
      <c r="F25" s="236"/>
      <c r="G25" s="239" t="s">
        <v>1510</v>
      </c>
    </row>
    <row r="26" spans="1:7" s="211" customFormat="1">
      <c r="A26" s="776" t="s">
        <v>350</v>
      </c>
      <c r="B26" s="212" t="s">
        <v>1511</v>
      </c>
      <c r="C26" s="235">
        <f ca="1">ROUND(IF('数据-取费表'!B22&lt;=1,F21*F22*'数据-取费表'!B23/2,F21*(POWER((1+F22),'数据-取费表'!B23/2)-1)),4)</f>
        <v>8.9999999999999998E-4</v>
      </c>
      <c r="D26" s="235"/>
      <c r="E26" s="238"/>
      <c r="F26" s="236"/>
      <c r="G26" s="240"/>
    </row>
    <row r="27" spans="1:7" s="211" customFormat="1" ht="24.75">
      <c r="A27" s="252" t="s">
        <v>1512</v>
      </c>
      <c r="B27" s="241" t="s">
        <v>1513</v>
      </c>
      <c r="C27" s="242">
        <f ca="1">C28</f>
        <v>20108</v>
      </c>
      <c r="D27" s="232">
        <f ca="1">C29</f>
        <v>2.8E-3</v>
      </c>
      <c r="E27" s="233" t="s">
        <v>1514</v>
      </c>
      <c r="F27" s="243">
        <f ca="1">IF(B1="",'数据-取费表'!Q16,INDIRECT("'数据-取费表'!q"&amp;$G$1))</f>
        <v>0.14000000000000001</v>
      </c>
      <c r="G27" s="244" t="s">
        <v>1515</v>
      </c>
    </row>
    <row r="28" spans="1:7" s="211" customFormat="1" ht="13.5" customHeight="1">
      <c r="A28" s="776" t="s">
        <v>346</v>
      </c>
      <c r="B28" s="245" t="s">
        <v>1516</v>
      </c>
      <c r="C28" s="246">
        <f ca="1">ROUND((C5+C19+C20)*F27*'数据-取费表'!B21/'数据-取费表'!B20,0)</f>
        <v>20108</v>
      </c>
      <c r="D28" s="232"/>
      <c r="E28" s="233"/>
      <c r="F28" s="243"/>
      <c r="G28" s="244"/>
    </row>
    <row r="29" spans="1:7" s="211" customFormat="1" ht="13.5" customHeight="1">
      <c r="A29" s="776" t="s">
        <v>347</v>
      </c>
      <c r="B29" s="245" t="s">
        <v>1517</v>
      </c>
      <c r="C29" s="235">
        <f ca="1">ROUND(C21*F27*'数据-取费表'!B21/'数据-取费表'!B20,4)</f>
        <v>2.8E-3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190776</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213507</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193615</v>
      </c>
      <c r="D34" s="214"/>
      <c r="E34" s="217"/>
      <c r="F34" s="254">
        <f ca="1">IF('数据-取费表'!B24=0,1,IF(B1="",'数据-取费表'!N16,INDIRECT("'数据-取费表'!n"&amp;$G$1)))</f>
        <v>1</v>
      </c>
      <c r="G34" s="216" t="s">
        <v>1526</v>
      </c>
    </row>
    <row r="35" spans="1:7" ht="13.5" customHeight="1">
      <c r="A35" s="776" t="s">
        <v>351</v>
      </c>
      <c r="B35" s="212" t="s">
        <v>1527</v>
      </c>
      <c r="C35" s="217">
        <f ca="1">ROUND(C34*F35,0)</f>
        <v>9681</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6" t="s">
        <v>353</v>
      </c>
      <c r="B37" s="212" t="s">
        <v>1531</v>
      </c>
      <c r="C37" s="246">
        <f ca="1">ROUND(E37*D37*F34/10000,0)</f>
        <v>6339</v>
      </c>
      <c r="D37" s="214">
        <f ca="1">D19</f>
        <v>316967.99</v>
      </c>
      <c r="E37" s="246">
        <f>'数据-取费表'!B35</f>
        <v>200</v>
      </c>
      <c r="F37" s="256"/>
      <c r="G37" s="258" t="s">
        <v>1532</v>
      </c>
    </row>
    <row r="38" spans="1:7" ht="13.5" customHeight="1">
      <c r="A38" s="776" t="s">
        <v>354</v>
      </c>
      <c r="B38" s="212" t="s">
        <v>1533</v>
      </c>
      <c r="C38" s="217">
        <f ca="1">ROUND(C34*F38,0)</f>
        <v>3872</v>
      </c>
      <c r="D38" s="217"/>
      <c r="E38" s="217"/>
      <c r="F38" s="256">
        <f>'数据-取费表'!B36</f>
        <v>0.02</v>
      </c>
      <c r="G38" s="216" t="s">
        <v>1528</v>
      </c>
    </row>
    <row r="39" spans="1:7" s="211" customFormat="1" ht="13.5" customHeight="1">
      <c r="A39" s="252" t="s">
        <v>1534</v>
      </c>
      <c r="B39" s="207" t="s">
        <v>1535</v>
      </c>
      <c r="C39" s="229">
        <f ca="1">ROUND(C33*F20,0)</f>
        <v>6405</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9524</v>
      </c>
      <c r="D41" s="232">
        <f ca="1">C44</f>
        <v>8.9999999999999998E-4</v>
      </c>
      <c r="E41" s="233" t="s">
        <v>1539</v>
      </c>
      <c r="F41" s="234">
        <f ca="1">F22</f>
        <v>3.4500000000000003E-2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9247</v>
      </c>
      <c r="D42" s="235"/>
      <c r="E42" s="235"/>
      <c r="F42" s="236"/>
      <c r="G42" s="3796" t="s">
        <v>1544</v>
      </c>
    </row>
    <row r="43" spans="1:7" ht="13.5" customHeight="1">
      <c r="A43" s="776" t="s">
        <v>347</v>
      </c>
      <c r="B43" s="212" t="s">
        <v>1545</v>
      </c>
      <c r="C43" s="235">
        <f ca="1">ROUND(IF('数据-取费表'!B22&lt;=1,C39*F22*'数据-取费表'!B21/2,C39*(POWER((1+F22),'数据-取费表'!B21/2)-1)),0)</f>
        <v>277</v>
      </c>
      <c r="D43" s="235"/>
      <c r="E43" s="235"/>
      <c r="F43" s="236"/>
      <c r="G43" s="3797"/>
    </row>
    <row r="44" spans="1:7" ht="13.5" customHeight="1">
      <c r="A44" s="776" t="s">
        <v>348</v>
      </c>
      <c r="B44" s="212" t="s">
        <v>1546</v>
      </c>
      <c r="C44" s="235">
        <f ca="1">ROUND(IF('数据-取费表'!B22&lt;=1,C40*F22*'数据-取费表'!B21/2,C40*(POWER((1+F22),'数据-取费表'!B21/2)-1)),4)</f>
        <v>8.9999999999999998E-4</v>
      </c>
      <c r="D44" s="235"/>
      <c r="E44" s="235"/>
      <c r="F44" s="236"/>
      <c r="G44" s="3798"/>
    </row>
    <row r="45" spans="1:7" s="211" customFormat="1" ht="13.5" customHeight="1">
      <c r="A45" s="252" t="s">
        <v>1547</v>
      </c>
      <c r="B45" s="241" t="s">
        <v>1513</v>
      </c>
      <c r="C45" s="242">
        <f ca="1">C46</f>
        <v>30788</v>
      </c>
      <c r="D45" s="232">
        <f ca="1">C47</f>
        <v>2.8E-3</v>
      </c>
      <c r="E45" s="233" t="s">
        <v>1539</v>
      </c>
      <c r="F45" s="243">
        <f ca="1">F27</f>
        <v>0.14000000000000001</v>
      </c>
      <c r="G45" s="244" t="s">
        <v>1548</v>
      </c>
    </row>
    <row r="46" spans="1:7" s="211" customFormat="1" ht="13.5" customHeight="1">
      <c r="A46" s="776" t="s">
        <v>346</v>
      </c>
      <c r="B46" s="245" t="s">
        <v>1549</v>
      </c>
      <c r="C46" s="246">
        <f ca="1">ROUND((C33+C39)*F27,0)</f>
        <v>30788</v>
      </c>
      <c r="D46" s="260"/>
      <c r="E46" s="233"/>
      <c r="F46" s="243"/>
      <c r="G46" s="244"/>
    </row>
    <row r="47" spans="1:7" s="211" customFormat="1" ht="13.5" customHeight="1">
      <c r="A47" s="776" t="s">
        <v>347</v>
      </c>
      <c r="B47" s="245" t="s">
        <v>1550</v>
      </c>
      <c r="C47" s="235">
        <f ca="1">ROUND(C40*F27,4)</f>
        <v>2.8E-3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281658</v>
      </c>
      <c r="D49" s="229"/>
      <c r="E49" s="229"/>
      <c r="F49" s="261"/>
      <c r="G49" s="231" t="s">
        <v>1554</v>
      </c>
    </row>
    <row r="50" spans="1:7" s="255" customFormat="1" ht="24">
      <c r="A50" s="252" t="s">
        <v>1555</v>
      </c>
      <c r="B50" s="207" t="s">
        <v>1556</v>
      </c>
      <c r="C50" s="229"/>
      <c r="D50" s="229"/>
      <c r="E50" s="229"/>
      <c r="F50" s="261">
        <f>IF('数据-取费表'!B24=0,'数据-取费表'!N16,1)</f>
        <v>0.87</v>
      </c>
      <c r="G50" s="244" t="s">
        <v>1557</v>
      </c>
    </row>
    <row r="51" spans="1:7" ht="16.5" customHeight="1">
      <c r="A51" s="252" t="s">
        <v>1558</v>
      </c>
      <c r="B51" s="207" t="s">
        <v>1559</v>
      </c>
      <c r="C51" s="229">
        <f ca="1">ROUND(C49*F50,0)</f>
        <v>245042</v>
      </c>
      <c r="D51" s="229"/>
      <c r="E51" s="229"/>
      <c r="F51" s="261"/>
      <c r="G51" s="231" t="s">
        <v>1560</v>
      </c>
    </row>
    <row r="52" spans="1:7" s="205" customFormat="1" ht="16.5" thickBot="1">
      <c r="A52" s="262" t="s">
        <v>1561</v>
      </c>
      <c r="B52" s="263"/>
      <c r="C52" s="264">
        <f ca="1">C31+C51</f>
        <v>435818</v>
      </c>
      <c r="D52" s="263"/>
      <c r="E52" s="263"/>
      <c r="F52" s="263"/>
      <c r="G52" s="265"/>
    </row>
    <row r="55" spans="1:7" ht="15">
      <c r="B55" s="267" t="s">
        <v>1562</v>
      </c>
      <c r="C55" s="268"/>
    </row>
    <row r="56" spans="1:7">
      <c r="B56" s="270" t="s">
        <v>802</v>
      </c>
      <c r="C56" s="272">
        <f ca="1">1-C57</f>
        <v>0.43799999999999994</v>
      </c>
    </row>
    <row r="57" spans="1:7">
      <c r="B57" s="270" t="s">
        <v>803</v>
      </c>
      <c r="C57" s="271">
        <f ca="1">ROUND(C51/C52,3)</f>
        <v>0.56200000000000006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83" t="s">
        <v>2843</v>
      </c>
      <c r="B1" s="3883"/>
      <c r="C1" s="3883"/>
      <c r="D1" s="3883"/>
      <c r="E1" s="3883"/>
      <c r="F1" s="3883"/>
      <c r="G1" s="3884"/>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81"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882"/>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85" t="s">
        <v>3185</v>
      </c>
      <c r="B1" s="3885"/>
    </row>
    <row r="2" spans="1:7" ht="14.25" thickBot="1">
      <c r="A2" s="3251"/>
      <c r="B2" s="3251"/>
    </row>
    <row r="3" spans="1:7" ht="14.25" thickBot="1">
      <c r="A3" s="3251"/>
      <c r="B3" s="3251"/>
      <c r="C3" s="3252" t="s">
        <v>2815</v>
      </c>
      <c r="D3" s="3252" t="s">
        <v>2871</v>
      </c>
      <c r="E3" s="3252" t="s">
        <v>2817</v>
      </c>
      <c r="F3" s="3252" t="s">
        <v>2872</v>
      </c>
      <c r="G3" s="3252" t="s">
        <v>2635</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86" t="s">
        <v>3236</v>
      </c>
      <c r="B1" s="3886"/>
      <c r="C1" s="3886"/>
      <c r="D1" s="3886"/>
      <c r="E1" s="3886"/>
      <c r="F1" s="3887"/>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45421</v>
      </c>
      <c r="B1" s="3206" t="s">
        <v>3374</v>
      </c>
      <c r="C1" s="3207"/>
      <c r="D1" s="3207"/>
      <c r="E1" s="3207"/>
      <c r="F1" s="3207"/>
      <c r="G1" s="3207"/>
      <c r="H1" s="3207"/>
      <c r="I1" s="3207"/>
      <c r="J1" s="3161"/>
      <c r="K1" s="3207" t="s">
        <v>454</v>
      </c>
      <c r="L1" s="3207"/>
      <c r="M1" s="3207"/>
      <c r="N1" s="3207"/>
      <c r="O1" s="3207"/>
      <c r="P1" s="3207"/>
      <c r="Q1" s="3161"/>
      <c r="R1" s="3888" t="s">
        <v>456</v>
      </c>
      <c r="S1" s="3889"/>
      <c r="T1" s="3889"/>
      <c r="U1" s="3889"/>
      <c r="V1" s="3889"/>
      <c r="W1" s="3889"/>
      <c r="X1" s="3161"/>
      <c r="Y1" s="3888" t="s">
        <v>457</v>
      </c>
      <c r="Z1" s="3889"/>
      <c r="AA1" s="3889"/>
      <c r="AB1" s="3889"/>
      <c r="AC1" s="3889"/>
      <c r="AD1" s="3889"/>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3377</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3378</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3380</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3381</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3373</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3372</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3371</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3367</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3358</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3369</v>
      </c>
    </row>
    <row r="21" spans="1:30" s="3005" customFormat="1">
      <c r="I21" s="3204" t="s">
        <v>2829</v>
      </c>
    </row>
    <row r="22" spans="1:30" s="3005" customFormat="1"/>
    <row r="23" spans="1:30" s="3205" customFormat="1" ht="12.75">
      <c r="B23" s="3206" t="s">
        <v>3375</v>
      </c>
      <c r="C23" s="3207"/>
      <c r="D23" s="3207"/>
      <c r="E23" s="3207"/>
      <c r="F23" s="3207"/>
      <c r="G23" s="3207"/>
      <c r="H23" s="3207"/>
      <c r="I23" s="3207"/>
      <c r="J23" s="3161"/>
      <c r="K23" s="3207" t="s">
        <v>2830</v>
      </c>
      <c r="L23" s="3207"/>
      <c r="M23" s="3207"/>
      <c r="N23" s="3207"/>
      <c r="O23" s="3207"/>
      <c r="P23" s="3207"/>
      <c r="Q23" s="3161"/>
      <c r="R23" s="3888" t="s">
        <v>2831</v>
      </c>
      <c r="S23" s="3889"/>
      <c r="T23" s="3889"/>
      <c r="U23" s="3889"/>
      <c r="V23" s="3889"/>
      <c r="W23" s="3889"/>
      <c r="X23" s="3161"/>
      <c r="Y23" s="3888" t="s">
        <v>2832</v>
      </c>
      <c r="Z23" s="3889"/>
      <c r="AA23" s="3889"/>
      <c r="AB23" s="3889"/>
      <c r="AC23" s="3889"/>
      <c r="AD23" s="3889"/>
    </row>
    <row r="24" spans="1:30" s="3139" customFormat="1" ht="14.2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2.75">
      <c r="A25" s="3145" t="s">
        <v>2838</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3377</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3378</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3382</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3381</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3376</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3372</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3371</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3368</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3358</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95" t="s">
        <v>452</v>
      </c>
      <c r="C1" s="3895"/>
      <c r="D1" s="3895"/>
      <c r="E1" s="3895"/>
      <c r="F1" s="3895"/>
      <c r="G1" s="3894" t="s">
        <v>453</v>
      </c>
      <c r="H1" s="3894"/>
      <c r="I1" s="3894"/>
      <c r="J1" s="3894"/>
      <c r="K1" s="3894"/>
      <c r="L1" s="3894"/>
      <c r="N1" s="3894" t="s">
        <v>454</v>
      </c>
      <c r="O1" s="3894"/>
      <c r="P1" s="3894"/>
      <c r="Q1" s="3894"/>
      <c r="S1" s="3894" t="s">
        <v>455</v>
      </c>
      <c r="T1" s="3894"/>
      <c r="U1" s="3894"/>
      <c r="V1" s="3894"/>
      <c r="X1" s="3893" t="s">
        <v>456</v>
      </c>
      <c r="Y1" s="3894"/>
      <c r="Z1" s="3894"/>
      <c r="AA1" s="3894"/>
      <c r="AB1" s="3894"/>
      <c r="AD1" s="3893" t="s">
        <v>457</v>
      </c>
      <c r="AE1" s="3894"/>
      <c r="AF1" s="3894"/>
      <c r="AG1" s="3894"/>
      <c r="AH1" s="389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9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9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9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0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9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9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9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0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9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9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9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9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9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9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9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9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9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9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9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9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9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9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9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9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9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9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9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9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9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9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9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9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9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9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9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9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9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9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9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9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9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9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9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9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9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9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9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9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9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9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9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9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9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9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9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9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9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9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9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9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9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9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9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9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9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9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9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9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76" t="str">
        <f>IF(项目基本情况!B9="房地产市场价值","估价结果一览表","结果表-2")</f>
        <v>结果表-2</v>
      </c>
      <c r="B1" s="3576"/>
      <c r="C1" s="3576"/>
      <c r="D1" s="3576"/>
      <c r="E1" s="3576"/>
      <c r="F1" s="3576"/>
      <c r="G1" s="3576"/>
      <c r="H1" s="3576"/>
      <c r="I1" s="3576"/>
    </row>
    <row r="2" spans="1:9" ht="30" customHeight="1" thickTop="1">
      <c r="A2" s="3577" t="s">
        <v>928</v>
      </c>
      <c r="B2" s="3577" t="s">
        <v>929</v>
      </c>
      <c r="C2" s="3577" t="s">
        <v>930</v>
      </c>
      <c r="D2" s="3577" t="str">
        <f>结果表!D116</f>
        <v>出让国有建设用地使用权价值</v>
      </c>
      <c r="E2" s="3577"/>
      <c r="F2" s="3577" t="str">
        <f>结果表!F116</f>
        <v>在建建筑物价值</v>
      </c>
      <c r="G2" s="3577"/>
      <c r="H2" s="3577" t="str">
        <f>IF(项目基本情况!B9="房地产市场价值","房地产市场价值","房地产价值")</f>
        <v>房地产价值</v>
      </c>
      <c r="I2" s="3577"/>
    </row>
    <row r="3" spans="1:9" ht="15">
      <c r="A3" s="3572"/>
      <c r="B3" s="3572"/>
      <c r="C3" s="3572"/>
      <c r="D3" s="850" t="s">
        <v>925</v>
      </c>
      <c r="E3" s="850" t="s">
        <v>931</v>
      </c>
      <c r="F3" s="850" t="s">
        <v>925</v>
      </c>
      <c r="G3" s="850" t="s">
        <v>926</v>
      </c>
      <c r="H3" s="850" t="s">
        <v>925</v>
      </c>
      <c r="I3" s="850" t="s">
        <v>926</v>
      </c>
    </row>
    <row r="4" spans="1:9" ht="15">
      <c r="A4" s="1501" t="str">
        <f>项目基本情况!S2</f>
        <v>北京市房地产</v>
      </c>
      <c r="B4" s="850">
        <f>项目基本情况!C17</f>
        <v>316967.99</v>
      </c>
      <c r="C4" s="850">
        <f>项目基本情况!C18</f>
        <v>65012.5</v>
      </c>
      <c r="D4" s="850">
        <f ca="1">结果表!D118</f>
        <v>272296</v>
      </c>
      <c r="E4" s="850">
        <f ca="1">结果表!E118</f>
        <v>8590</v>
      </c>
      <c r="F4" s="850">
        <f ca="1">结果表!F118</f>
        <v>349384</v>
      </c>
      <c r="G4" s="850">
        <f ca="1">结果表!G118</f>
        <v>11023</v>
      </c>
      <c r="H4" s="850">
        <f ca="1">结果表!H118</f>
        <v>621680</v>
      </c>
      <c r="I4" s="850">
        <f ca="1">结果表!I118</f>
        <v>19613</v>
      </c>
    </row>
    <row r="5" spans="1:9" ht="30" customHeight="1">
      <c r="A5" s="3572" t="s">
        <v>927</v>
      </c>
      <c r="B5" s="3572"/>
      <c r="C5" s="3572"/>
      <c r="D5" s="3572" t="str">
        <f ca="1">结果表!D119</f>
        <v>贰拾柒亿贰仟贰佰玖拾陆万元整</v>
      </c>
      <c r="E5" s="3572"/>
      <c r="F5" s="3572" t="str">
        <f ca="1">结果表!F119</f>
        <v>叁拾肆亿玖仟叁佰捌拾肆万元整</v>
      </c>
      <c r="G5" s="3572"/>
      <c r="H5" s="3572" t="str">
        <f ca="1">结果表!H119</f>
        <v>陆拾贰亿壹仟陆佰捌拾万元整</v>
      </c>
      <c r="I5" s="3572"/>
    </row>
    <row r="6" spans="1:9" ht="15.75">
      <c r="A6" s="3571" t="str">
        <f>结果表!A120</f>
        <v>估价师知悉的法定优先受偿款</v>
      </c>
      <c r="B6" s="3571"/>
      <c r="C6" s="3571"/>
      <c r="D6" s="3571">
        <f>结果表!D120</f>
        <v>0</v>
      </c>
      <c r="E6" s="3571"/>
      <c r="F6" s="3571"/>
      <c r="G6" s="3571"/>
      <c r="H6" s="3571"/>
      <c r="I6" s="3571"/>
    </row>
    <row r="7" spans="1:9" ht="15">
      <c r="A7" s="3572" t="s">
        <v>927</v>
      </c>
      <c r="B7" s="3572"/>
      <c r="C7" s="3572"/>
      <c r="D7" s="3573" t="str">
        <f>结果表!D121</f>
        <v>零元整</v>
      </c>
      <c r="E7" s="3574"/>
      <c r="F7" s="3574"/>
      <c r="G7" s="3574"/>
      <c r="H7" s="3574"/>
      <c r="I7" s="3575"/>
    </row>
    <row r="8" spans="1:9" ht="15.75">
      <c r="A8" s="3571" t="str">
        <f>结果表!A122</f>
        <v>房地产抵押价值</v>
      </c>
      <c r="B8" s="3571"/>
      <c r="C8" s="3571"/>
      <c r="D8" s="3571">
        <f ca="1">结果表!D122</f>
        <v>621680</v>
      </c>
      <c r="E8" s="3571"/>
      <c r="F8" s="3571"/>
      <c r="G8" s="3571"/>
      <c r="H8" s="3571"/>
      <c r="I8" s="3571"/>
    </row>
    <row r="9" spans="1:9" ht="15">
      <c r="A9" s="3572" t="s">
        <v>927</v>
      </c>
      <c r="B9" s="3572"/>
      <c r="C9" s="3572"/>
      <c r="D9" s="3572" t="str">
        <f ca="1">结果表!D123</f>
        <v>陆拾贰亿壹仟陆佰捌拾万元整</v>
      </c>
      <c r="E9" s="3572"/>
      <c r="F9" s="3572"/>
      <c r="G9" s="3572"/>
      <c r="H9" s="3572"/>
      <c r="I9" s="3572"/>
    </row>
    <row r="10" spans="1:9" ht="15.75">
      <c r="A10" s="3571" t="str">
        <f>结果表!A124</f>
        <v/>
      </c>
      <c r="B10" s="3571"/>
      <c r="C10" s="3571"/>
      <c r="D10" s="3571" t="str">
        <f>结果表!D124</f>
        <v>——</v>
      </c>
      <c r="E10" s="3571"/>
      <c r="F10" s="3571"/>
      <c r="G10" s="3571"/>
      <c r="H10" s="3571"/>
      <c r="I10" s="3571"/>
    </row>
    <row r="11" spans="1:9" ht="15">
      <c r="A11" s="3572" t="s">
        <v>927</v>
      </c>
      <c r="B11" s="3572"/>
      <c r="C11" s="3572"/>
      <c r="D11" s="3572" t="e">
        <f>结果表!D125</f>
        <v>#VALUE!</v>
      </c>
      <c r="E11" s="3572"/>
      <c r="F11" s="3572"/>
      <c r="G11" s="3572"/>
      <c r="H11" s="3572"/>
      <c r="I11" s="3572"/>
    </row>
    <row r="12" spans="1:9" ht="15.75">
      <c r="A12" s="3571" t="str">
        <f>结果表!A126</f>
        <v>抵押净值</v>
      </c>
      <c r="B12" s="3571"/>
      <c r="C12" s="3571"/>
      <c r="D12" s="3571">
        <f ca="1">结果表!D126</f>
        <v>559201</v>
      </c>
      <c r="E12" s="3571"/>
      <c r="F12" s="3571"/>
      <c r="G12" s="3571"/>
      <c r="H12" s="3571"/>
      <c r="I12" s="3571"/>
    </row>
    <row r="13" spans="1:9" ht="15.75" thickBot="1">
      <c r="A13" s="3569" t="s">
        <v>927</v>
      </c>
      <c r="B13" s="3569"/>
      <c r="C13" s="3569"/>
      <c r="D13" s="3569" t="str">
        <f ca="1">结果表!D127</f>
        <v>伍拾伍亿玖仟贰佰零壹万元整</v>
      </c>
      <c r="E13" s="3569"/>
      <c r="F13" s="3569"/>
      <c r="G13" s="3569"/>
      <c r="H13" s="3569"/>
      <c r="I13" s="3569"/>
    </row>
    <row r="14" spans="1:9" ht="15" thickTop="1">
      <c r="A14" s="3570" t="s">
        <v>932</v>
      </c>
      <c r="B14" s="3570"/>
      <c r="C14" s="3570"/>
      <c r="D14" s="3570"/>
      <c r="E14" s="3570"/>
      <c r="F14" s="3570"/>
      <c r="G14" s="3570"/>
      <c r="H14" s="3570"/>
      <c r="I14" s="357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45421</v>
      </c>
      <c r="D1" s="1298" t="s">
        <v>603</v>
      </c>
      <c r="E1" s="1293">
        <f>'数据-取费表'!B22</f>
        <v>2.5</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84" t="s">
        <v>949</v>
      </c>
      <c r="B1" s="3584"/>
      <c r="C1" s="3584"/>
      <c r="D1" s="3584"/>
    </row>
    <row r="2" spans="1:4" ht="18">
      <c r="A2" s="3585" t="s">
        <v>933</v>
      </c>
      <c r="B2" s="3585"/>
      <c r="C2" s="3585"/>
      <c r="D2" s="3585"/>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吴薇</v>
      </c>
      <c r="B5" s="1507">
        <f ca="1">项目基本情况!E4</f>
        <v>1419970001</v>
      </c>
      <c r="C5" s="1510"/>
      <c r="D5" s="1509" t="s">
        <v>938</v>
      </c>
    </row>
    <row r="6" spans="1:4" ht="18">
      <c r="A6" s="3585" t="s">
        <v>939</v>
      </c>
      <c r="B6" s="3585"/>
      <c r="C6" s="3585"/>
      <c r="D6" s="3585"/>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86" t="s">
        <v>942</v>
      </c>
      <c r="B11" s="3578"/>
      <c r="C11" s="3578"/>
      <c r="D11" s="3578"/>
    </row>
    <row r="12" spans="1:4" ht="15.75">
      <c r="A12" s="35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3"/>
      <c r="C12" s="3583"/>
      <c r="D12" s="3583"/>
    </row>
    <row r="13" spans="1:4" ht="30" customHeight="1">
      <c r="A13" s="35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3"/>
      <c r="C13" s="3583"/>
      <c r="D13" s="3583"/>
    </row>
    <row r="14" spans="1:4" ht="15.75" customHeight="1">
      <c r="A14" s="3578" t="str">
        <f>IF(项目基本情况!B8="抵押","4.本次评估估价师所知悉的法定优先受偿款情况说明如下：","——")</f>
        <v>4.本次评估估价师所知悉的法定优先受偿款情况说明如下：</v>
      </c>
      <c r="B14" s="3583"/>
      <c r="C14" s="3583"/>
      <c r="D14" s="3583"/>
    </row>
    <row r="15" spans="1:4" ht="42" customHeight="1">
      <c r="A15" s="35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8"/>
      <c r="C15" s="3578"/>
      <c r="D15" s="3578"/>
    </row>
    <row r="16" spans="1:4" ht="30" customHeight="1">
      <c r="A16" s="3580" t="s">
        <v>943</v>
      </c>
      <c r="B16" s="3580"/>
      <c r="C16" s="3580"/>
      <c r="D16" s="3580"/>
    </row>
    <row r="17" spans="1:4" ht="144" customHeight="1">
      <c r="A17" s="3580" t="s">
        <v>944</v>
      </c>
      <c r="B17" s="3580"/>
      <c r="C17" s="3580"/>
      <c r="D17" s="3580"/>
    </row>
    <row r="18" spans="1:4" ht="15.75" customHeight="1">
      <c r="A18" s="3578" t="str">
        <f>IF(项目基本情况!B8="抵押",结果表!K120,"——")</f>
        <v>故，本次评估不存在估价师知悉的法定优先受偿款</v>
      </c>
      <c r="B18" s="3578"/>
      <c r="C18" s="3578"/>
      <c r="D18" s="3578"/>
    </row>
    <row r="19" spans="1:4" ht="46.5" customHeight="1">
      <c r="A19" s="35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8"/>
      <c r="C19" s="3578"/>
      <c r="D19" s="3578"/>
    </row>
    <row r="20" spans="1:4" ht="57.75" customHeight="1">
      <c r="A20" s="35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8"/>
      <c r="C20" s="3578"/>
      <c r="D20" s="3578"/>
    </row>
    <row r="21" spans="1:4" ht="57.75" customHeight="1">
      <c r="A21" s="35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1"/>
      <c r="C21" s="3581"/>
      <c r="D21" s="3581"/>
    </row>
    <row r="22" spans="1:4" ht="18.75" customHeight="1">
      <c r="A22" s="3582" t="s">
        <v>945</v>
      </c>
      <c r="B22" s="3582"/>
      <c r="C22" s="3582"/>
      <c r="D22" s="358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79">
        <v>42551</v>
      </c>
      <c r="D31" s="35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92" t="s">
        <v>956</v>
      </c>
      <c r="B15" s="3587" t="s">
        <v>109</v>
      </c>
      <c r="C15" s="3588"/>
    </row>
    <row r="16" spans="1:7" ht="13.5">
      <c r="A16" s="3593"/>
      <c r="B16" s="3587" t="s">
        <v>42</v>
      </c>
      <c r="C16" s="3588"/>
    </row>
    <row r="17" spans="1:3" ht="13.5">
      <c r="A17" s="3593"/>
      <c r="B17" s="3590" t="s">
        <v>957</v>
      </c>
      <c r="C17" s="1528" t="s">
        <v>956</v>
      </c>
    </row>
    <row r="18" spans="1:3" ht="13.5">
      <c r="A18" s="3593"/>
      <c r="B18" s="3590"/>
      <c r="C18" s="1528" t="s">
        <v>958</v>
      </c>
    </row>
    <row r="19" spans="1:3" ht="13.5">
      <c r="A19" s="3593"/>
      <c r="B19" s="3590"/>
      <c r="C19" s="1528" t="s">
        <v>959</v>
      </c>
    </row>
    <row r="20" spans="1:3" ht="13.5">
      <c r="A20" s="3594"/>
      <c r="B20" s="3589" t="s">
        <v>960</v>
      </c>
      <c r="C20" s="3588"/>
    </row>
    <row r="21" spans="1:3" ht="13.5">
      <c r="A21" s="1529" t="s">
        <v>961</v>
      </c>
      <c r="B21" s="1530"/>
      <c r="C21" s="1531"/>
    </row>
    <row r="22" spans="1:3" ht="13.5">
      <c r="A22" s="3591" t="s">
        <v>962</v>
      </c>
      <c r="B22" s="3589" t="s">
        <v>963</v>
      </c>
      <c r="C22" s="3588"/>
    </row>
    <row r="23" spans="1:3" ht="13.5">
      <c r="A23" s="3591"/>
      <c r="B23" s="3589" t="s">
        <v>964</v>
      </c>
      <c r="C23" s="3588"/>
    </row>
    <row r="24" spans="1:3" ht="13.5">
      <c r="A24" s="3591"/>
      <c r="B24" s="3589" t="s">
        <v>965</v>
      </c>
      <c r="C24" s="3588"/>
    </row>
    <row r="25" spans="1:3" ht="13.5">
      <c r="A25" s="3591"/>
      <c r="B25" s="3590" t="s">
        <v>966</v>
      </c>
      <c r="C25" s="1528" t="s">
        <v>967</v>
      </c>
    </row>
    <row r="26" spans="1:3" ht="13.5">
      <c r="A26" s="3591"/>
      <c r="B26" s="3590"/>
      <c r="C26" s="1528" t="s">
        <v>968</v>
      </c>
    </row>
    <row r="27" spans="1:3" ht="13.5">
      <c r="A27" s="3591"/>
      <c r="B27" s="3590"/>
      <c r="C27" s="1528" t="s">
        <v>969</v>
      </c>
    </row>
    <row r="28" spans="1:3" ht="13.5">
      <c r="A28" s="3591"/>
      <c r="B28" s="3590"/>
      <c r="C28" s="1528" t="s">
        <v>970</v>
      </c>
    </row>
    <row r="29" spans="1:3" ht="13.5">
      <c r="A29" s="3591"/>
      <c r="B29" s="3590"/>
      <c r="C29" s="1528" t="s">
        <v>971</v>
      </c>
    </row>
    <row r="30" spans="1:3" ht="13.5">
      <c r="A30" s="3591"/>
      <c r="B30" s="3590"/>
      <c r="C30" s="1528" t="s">
        <v>972</v>
      </c>
    </row>
    <row r="31" spans="1:3" ht="13.5">
      <c r="A31" s="3591"/>
      <c r="B31" s="3590"/>
      <c r="C31" s="1528" t="s">
        <v>973</v>
      </c>
    </row>
    <row r="32" spans="1:3" ht="13.5">
      <c r="A32" s="3591"/>
      <c r="B32" s="3590"/>
      <c r="C32" s="1528" t="s">
        <v>974</v>
      </c>
    </row>
    <row r="33" spans="1:3" ht="13.5">
      <c r="A33" s="3591"/>
      <c r="B33" s="359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45422</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2441</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95" t="s">
        <v>2160</v>
      </c>
      <c r="B17" s="3595"/>
      <c r="C17" s="3595"/>
      <c r="D17" s="3595"/>
      <c r="E17" s="3595"/>
      <c r="F17" s="3595"/>
      <c r="G17" s="3595"/>
      <c r="H17" s="3595"/>
    </row>
    <row r="18" spans="1:8" ht="24" customHeight="1">
      <c r="A18" s="3596" t="s">
        <v>2161</v>
      </c>
      <c r="B18" s="3596"/>
      <c r="C18" s="3596"/>
      <c r="D18" s="2339"/>
      <c r="E18" s="3597" t="s">
        <v>2162</v>
      </c>
      <c r="F18" s="3596"/>
      <c r="G18" s="3596"/>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取值过程</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大宗</vt:lpstr>
      <vt:lpstr>收益法（汇总）</vt:lpstr>
      <vt:lpstr>收益法</vt:lpstr>
      <vt:lpstr>收益法 (元)</vt:lpstr>
      <vt:lpstr>收益法-酒店模型</vt:lpstr>
      <vt:lpstr>收益法办</vt:lpstr>
      <vt:lpstr>收益法车</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基准地价修正</vt:lpstr>
      <vt:lpstr>成本法</vt:lpstr>
      <vt:lpstr>区片价</vt:lpstr>
      <vt:lpstr>因素修正幅度</vt:lpstr>
      <vt:lpstr>区片价（范围）</vt:lpstr>
      <vt:lpstr>地价-分区</vt:lpstr>
      <vt:lpstr>地价</vt:lpstr>
      <vt:lpstr>存贷款利率</vt:lpstr>
      <vt:lpstr>面积!bookmark14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2024-05-10T08:52:23Z</dcterms:modified>
</cp:coreProperties>
</file>