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土地比较法-住宅、综合" sheetId="39" state="hidden" r:id="rId21"/>
    <sheet name="成本法 (元)" sheetId="69" state="hidden" r:id="rId22"/>
    <sheet name="假设开发法" sheetId="12" state="hidden" r:id="rId23"/>
    <sheet name="收益法（汇总）" sheetId="70" r:id="rId24"/>
    <sheet name="收益法-工业" sheetId="15" r:id="rId25"/>
    <sheet name="收益法 (元)" sheetId="67"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商业" sheetId="78" state="hidden" r:id="rId44"/>
    <sheet name="比较法-商业" sheetId="33" state="hidden" r:id="rId45"/>
    <sheet name="收益法-车库" sheetId="79" state="hidden" r:id="rId46"/>
    <sheet name="收益法-办公" sheetId="82" r:id="rId47"/>
    <sheet name="土地案例+位置图" sheetId="77" r:id="rId48"/>
    <sheet name="租金" sheetId="80" state="hidden" r:id="rId49"/>
    <sheet name="Sheet1" sheetId="81" r:id="rId50"/>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4"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6">'收益法-办公'!$A$1:$AK$69</definedName>
    <definedName name="_xlnm.Print_Area" localSheetId="45">'收益法-车库'!$A$1:$AK$69</definedName>
    <definedName name="_xlnm.Print_Area" localSheetId="24">'收益法-工业'!$A$1:$AK$69</definedName>
    <definedName name="_xlnm.Print_Area" localSheetId="4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6" i="1" l="1"/>
  <c r="B24" i="3" l="1"/>
  <c r="B26" i="3" s="1"/>
  <c r="B22" i="3"/>
  <c r="B21" i="3"/>
  <c r="B18" i="3"/>
  <c r="B17" i="3"/>
  <c r="B16" i="3"/>
  <c r="B15" i="3"/>
  <c r="B14" i="3"/>
  <c r="B13" i="3"/>
  <c r="B20" i="3"/>
  <c r="B19" i="3"/>
  <c r="Q72" i="82"/>
  <c r="Q59" i="82"/>
  <c r="K59" i="82"/>
  <c r="P74" i="82" s="1"/>
  <c r="F59" i="82"/>
  <c r="Q58" i="82"/>
  <c r="J52" i="82"/>
  <c r="Q51" i="82" s="1"/>
  <c r="J50" i="82"/>
  <c r="M47" i="82"/>
  <c r="D46" i="82"/>
  <c r="F34" i="82"/>
  <c r="F62" i="82" s="1"/>
  <c r="F33" i="82"/>
  <c r="F61" i="82" s="1"/>
  <c r="F32" i="82"/>
  <c r="F60" i="82" s="1"/>
  <c r="F31" i="82"/>
  <c r="F28" i="82"/>
  <c r="C28" i="82" s="1"/>
  <c r="F23" i="82"/>
  <c r="D23" i="82" s="1"/>
  <c r="F21" i="82"/>
  <c r="M20" i="82"/>
  <c r="F20" i="82"/>
  <c r="M19" i="82"/>
  <c r="M18" i="82"/>
  <c r="F18" i="82"/>
  <c r="M17" i="82"/>
  <c r="F17" i="82"/>
  <c r="F15" i="82"/>
  <c r="G1" i="82"/>
  <c r="AM7" i="1"/>
  <c r="AL7" i="1"/>
  <c r="AK7" i="1"/>
  <c r="Y7" i="1"/>
  <c r="W7" i="1"/>
  <c r="N7" i="1"/>
  <c r="J7" i="1"/>
  <c r="F20" i="6"/>
  <c r="E66" i="40"/>
  <c r="F66" i="40" s="1"/>
  <c r="G66" i="40" s="1"/>
  <c r="H66" i="40" s="1"/>
  <c r="I66" i="40" s="1"/>
  <c r="J66" i="40" s="1"/>
  <c r="K66" i="40" s="1"/>
  <c r="L66" i="40" s="1"/>
  <c r="M66" i="40" s="1"/>
  <c r="N66" i="40" s="1"/>
  <c r="D66" i="40"/>
  <c r="E109" i="40"/>
  <c r="F109" i="40" s="1"/>
  <c r="G109" i="40" s="1"/>
  <c r="H109" i="40" s="1"/>
  <c r="I109" i="40" s="1"/>
  <c r="J109" i="40" s="1"/>
  <c r="D109" i="40"/>
  <c r="I34" i="40"/>
  <c r="G34" i="40"/>
  <c r="E34" i="40"/>
  <c r="I11" i="40"/>
  <c r="G11" i="40"/>
  <c r="E11" i="40"/>
  <c r="I7" i="40"/>
  <c r="G7" i="40"/>
  <c r="E7" i="40"/>
  <c r="I6" i="40"/>
  <c r="G6" i="40"/>
  <c r="E6" i="40"/>
  <c r="I5" i="40"/>
  <c r="G5" i="40"/>
  <c r="E5" i="40"/>
  <c r="C14" i="82"/>
  <c r="F16" i="82"/>
  <c r="M9" i="82"/>
  <c r="F6" i="82"/>
  <c r="C18" i="82" l="1"/>
  <c r="C15" i="82"/>
  <c r="D24" i="82"/>
  <c r="D22" i="82"/>
  <c r="J51" i="82"/>
  <c r="P61" i="82"/>
  <c r="AL4" i="77"/>
  <c r="I46" i="39" s="1"/>
  <c r="AL3" i="77"/>
  <c r="G46" i="39" s="1"/>
  <c r="AL2" i="77"/>
  <c r="E46" i="39" s="1"/>
  <c r="L48" i="82"/>
  <c r="J15" i="82"/>
  <c r="M23" i="82"/>
  <c r="F36" i="82"/>
  <c r="M22" i="82"/>
  <c r="F8" i="82"/>
  <c r="M8" i="82"/>
  <c r="L47" i="82"/>
  <c r="M24" i="82"/>
  <c r="F9" i="82"/>
  <c r="F37" i="82"/>
  <c r="F43" i="82"/>
  <c r="C76" i="82"/>
  <c r="M6" i="82"/>
  <c r="M29" i="82"/>
  <c r="F7" i="82"/>
  <c r="M27" i="82"/>
  <c r="F38" i="82"/>
  <c r="M28" i="82"/>
  <c r="C16" i="82"/>
  <c r="M26" i="82"/>
  <c r="F26" i="82"/>
  <c r="F40" i="82"/>
  <c r="F42" i="82"/>
  <c r="F13" i="82"/>
  <c r="F50" i="82" l="1"/>
  <c r="M7" i="82"/>
  <c r="J6" i="82" s="1"/>
  <c r="N59" i="82"/>
  <c r="L59" i="82"/>
  <c r="L58" i="82"/>
  <c r="M59" i="82"/>
  <c r="C27" i="82"/>
  <c r="F65" i="82"/>
  <c r="F51" i="82"/>
  <c r="C6" i="82"/>
  <c r="F68" i="82"/>
  <c r="F71" i="82"/>
  <c r="L57" i="82"/>
  <c r="L56" i="82"/>
  <c r="J57" i="82"/>
  <c r="J55" i="82" s="1"/>
  <c r="J58" i="82" s="1"/>
  <c r="Q50" i="82" s="1"/>
  <c r="I54" i="82"/>
  <c r="L60" i="82"/>
  <c r="J59" i="82"/>
  <c r="J53" i="82"/>
  <c r="F64" i="82"/>
  <c r="F66" i="82"/>
  <c r="Q71" i="82"/>
  <c r="J60" i="82"/>
  <c r="Q48" i="82" s="1"/>
  <c r="N6" i="1"/>
  <c r="C17" i="82"/>
  <c r="C19" i="82" l="1"/>
  <c r="Q52" i="82"/>
  <c r="F1" i="82"/>
  <c r="Q66" i="82"/>
  <c r="Q57" i="82"/>
  <c r="L46" i="82"/>
  <c r="C49" i="82"/>
  <c r="Q61" i="82"/>
  <c r="Q74" i="82"/>
  <c r="Q60" i="82"/>
  <c r="Q73" i="82"/>
  <c r="C38" i="39"/>
  <c r="C20" i="82" l="1"/>
  <c r="C26" i="82" s="1"/>
  <c r="D68" i="33"/>
  <c r="E68" i="33"/>
  <c r="F68" i="33"/>
  <c r="G68" i="33"/>
  <c r="H68" i="33"/>
  <c r="C68" i="33"/>
  <c r="I36" i="33"/>
  <c r="J103" i="33" l="1"/>
  <c r="K103" i="33"/>
  <c r="K104" i="33"/>
  <c r="D107" i="33"/>
  <c r="E107" i="33"/>
  <c r="F107" i="33"/>
  <c r="G107" i="33"/>
  <c r="D112" i="33"/>
  <c r="E112" i="33"/>
  <c r="F112" i="33"/>
  <c r="G112" i="33"/>
  <c r="D119" i="33"/>
  <c r="E119" i="33" s="1"/>
  <c r="F119" i="33" s="1"/>
  <c r="G119" i="33" s="1"/>
  <c r="H119" i="33" s="1"/>
  <c r="C116" i="33"/>
  <c r="C112" i="33"/>
  <c r="C107" i="33"/>
  <c r="C105" i="33"/>
  <c r="K10" i="33"/>
  <c r="K11" i="33"/>
  <c r="K32" i="33"/>
  <c r="K34" i="33"/>
  <c r="K35" i="33"/>
  <c r="K36" i="33"/>
  <c r="K39" i="33"/>
  <c r="K42" i="33"/>
  <c r="K43" i="33"/>
  <c r="D122" i="33"/>
  <c r="E122" i="33"/>
  <c r="F122" i="33"/>
  <c r="G122" i="33"/>
  <c r="C122" i="33"/>
  <c r="G11" i="33"/>
  <c r="E11" i="33"/>
  <c r="C11" i="33"/>
  <c r="E5" i="33"/>
  <c r="K40" i="34"/>
  <c r="K37" i="33" s="1"/>
  <c r="D104" i="34"/>
  <c r="D103" i="33" s="1"/>
  <c r="E104" i="34"/>
  <c r="E103" i="33" s="1"/>
  <c r="F104" i="34"/>
  <c r="F103" i="33" s="1"/>
  <c r="G104" i="34"/>
  <c r="G103" i="33" s="1"/>
  <c r="H104" i="34"/>
  <c r="H103" i="33" s="1"/>
  <c r="I104" i="34"/>
  <c r="I103" i="33" s="1"/>
  <c r="C104" i="34"/>
  <c r="C103" i="33" s="1"/>
  <c r="C105" i="34"/>
  <c r="C104" i="33" s="1"/>
  <c r="E37" i="34"/>
  <c r="E36" i="33" s="1"/>
  <c r="G37" i="34"/>
  <c r="I37" i="34"/>
  <c r="G36" i="33" s="1"/>
  <c r="K15" i="34"/>
  <c r="K15" i="33" s="1"/>
  <c r="K17" i="34"/>
  <c r="K17" i="33" s="1"/>
  <c r="K19" i="34"/>
  <c r="K19" i="33" s="1"/>
  <c r="K21" i="34"/>
  <c r="K21" i="33" s="1"/>
  <c r="K23" i="34"/>
  <c r="K23" i="33" s="1"/>
  <c r="K25" i="34"/>
  <c r="C25" i="34"/>
  <c r="G3" i="80" l="1"/>
  <c r="A16" i="80"/>
  <c r="A12" i="80"/>
  <c r="A8" i="80"/>
  <c r="A4" i="80"/>
  <c r="A15" i="80"/>
  <c r="A11" i="80"/>
  <c r="A7" i="80"/>
  <c r="A3" i="80"/>
  <c r="Q72" i="79"/>
  <c r="Q59" i="79"/>
  <c r="K59" i="79"/>
  <c r="P61" i="79" s="1"/>
  <c r="F59" i="79"/>
  <c r="Q58" i="79"/>
  <c r="J52" i="79"/>
  <c r="Q51" i="79" s="1"/>
  <c r="J50" i="79"/>
  <c r="M47" i="79"/>
  <c r="D46" i="79"/>
  <c r="F33" i="79"/>
  <c r="F61" i="79" s="1"/>
  <c r="F31" i="79"/>
  <c r="F23" i="79"/>
  <c r="F21" i="79"/>
  <c r="F20" i="79"/>
  <c r="M19" i="79"/>
  <c r="F18" i="79"/>
  <c r="M17" i="79"/>
  <c r="F17" i="79"/>
  <c r="F15" i="79"/>
  <c r="Q72" i="78"/>
  <c r="Q59" i="78"/>
  <c r="K59" i="78"/>
  <c r="P61" i="78" s="1"/>
  <c r="F59" i="78"/>
  <c r="Q58" i="78"/>
  <c r="J52" i="78"/>
  <c r="Q51" i="78" s="1"/>
  <c r="J50" i="78"/>
  <c r="M47" i="78"/>
  <c r="D46" i="78"/>
  <c r="F33" i="78"/>
  <c r="F61" i="78" s="1"/>
  <c r="F31" i="78"/>
  <c r="F23" i="78"/>
  <c r="F21" i="78"/>
  <c r="F20" i="78"/>
  <c r="M19" i="78"/>
  <c r="F18" i="78"/>
  <c r="M17" i="78"/>
  <c r="F17" i="78"/>
  <c r="F15" i="78"/>
  <c r="J52" i="15"/>
  <c r="D71" i="39"/>
  <c r="E71" i="39" s="1"/>
  <c r="F71" i="39" s="1"/>
  <c r="G71" i="39" s="1"/>
  <c r="H71" i="39" s="1"/>
  <c r="I71" i="39" s="1"/>
  <c r="J71" i="39" s="1"/>
  <c r="K71" i="39" s="1"/>
  <c r="L71" i="39" s="1"/>
  <c r="M71" i="39" s="1"/>
  <c r="N71" i="39" s="1"/>
  <c r="O71" i="39" s="1"/>
  <c r="D118" i="39"/>
  <c r="D105" i="34" s="1"/>
  <c r="D104" i="33" s="1"/>
  <c r="I38" i="39"/>
  <c r="G38" i="39"/>
  <c r="E38" i="39"/>
  <c r="E11" i="39"/>
  <c r="I11" i="39"/>
  <c r="G11" i="39"/>
  <c r="C10" i="39"/>
  <c r="I7" i="39"/>
  <c r="G7" i="39"/>
  <c r="E7" i="39"/>
  <c r="I5" i="39"/>
  <c r="G5" i="39"/>
  <c r="E5" i="39"/>
  <c r="P74" i="79" l="1"/>
  <c r="E118" i="39"/>
  <c r="P74" i="78"/>
  <c r="D23" i="79"/>
  <c r="D22" i="79"/>
  <c r="D24" i="79"/>
  <c r="D23" i="78"/>
  <c r="D22" i="78"/>
  <c r="D24" i="78"/>
  <c r="F118" i="39" l="1"/>
  <c r="E105" i="34"/>
  <c r="E104" i="33" s="1"/>
  <c r="G118" i="39" l="1"/>
  <c r="F105" i="34"/>
  <c r="F104" i="33" s="1"/>
  <c r="H118" i="39" l="1"/>
  <c r="G105" i="34"/>
  <c r="G104" i="33" s="1"/>
  <c r="I118" i="39" l="1"/>
  <c r="I105" i="34" s="1"/>
  <c r="H105" i="34"/>
  <c r="H104" i="33" s="1"/>
  <c r="J105" i="34" l="1"/>
  <c r="J104" i="33" s="1"/>
  <c r="I104" i="33"/>
  <c r="C11" i="4"/>
  <c r="Y6" i="1" l="1"/>
  <c r="C37" i="34" s="1"/>
  <c r="C36" i="33" s="1"/>
  <c r="B7" i="4" l="1"/>
  <c r="D3" i="4"/>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1" i="76"/>
  <c r="E13" i="76"/>
  <c r="E12" i="76"/>
  <c r="B11" i="76"/>
  <c r="B9" i="76"/>
  <c r="B10" i="76"/>
  <c r="B12" i="76"/>
  <c r="E9" i="76"/>
  <c r="B13" i="76"/>
  <c r="E7" i="76"/>
  <c r="E8" i="76"/>
  <c r="B8" i="76"/>
  <c r="B7"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6" i="73"/>
  <c r="D3" i="73"/>
  <c r="F4" i="73"/>
  <c r="F3" i="73"/>
  <c r="I1" i="73" l="1"/>
  <c r="B39" i="1" s="1"/>
  <c r="D5" i="73"/>
  <c r="D7" i="73"/>
  <c r="D4" i="73"/>
  <c r="D6" i="73"/>
  <c r="F11" i="82" l="1"/>
  <c r="M11" i="82"/>
  <c r="J10" i="82" s="1"/>
  <c r="J5" i="82" s="1"/>
  <c r="F11" i="79"/>
  <c r="M11" i="79"/>
  <c r="F11" i="78"/>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4" i="82" l="1"/>
  <c r="J26" i="82"/>
  <c r="J18" i="82"/>
  <c r="C53" i="82"/>
  <c r="C48" i="82" s="1"/>
  <c r="C10" i="82"/>
  <c r="C5" i="82" s="1"/>
  <c r="C53" i="79"/>
  <c r="C10" i="79"/>
  <c r="C53" i="78"/>
  <c r="AA10" i="43"/>
  <c r="AC10" i="43"/>
  <c r="AE10" i="43"/>
  <c r="AG10" i="43"/>
  <c r="AI10" i="43"/>
  <c r="Z10" i="43"/>
  <c r="AB10" i="43"/>
  <c r="AD10" i="43"/>
  <c r="AF10" i="43"/>
  <c r="AH10" i="43"/>
  <c r="AJ10" i="43"/>
  <c r="C33" i="82" l="1"/>
  <c r="C32" i="82"/>
  <c r="C38" i="82"/>
  <c r="C66" i="82"/>
  <c r="C60" i="82"/>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6" i="71" l="1"/>
  <c r="AA5" i="71"/>
  <c r="AB5" i="71"/>
  <c r="AB6"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0" i="1"/>
  <c r="AO11"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F8"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U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F10" i="34" s="1"/>
  <c r="AA10"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S12" i="34" s="1"/>
  <c r="Q11" i="34"/>
  <c r="Z11" i="34" s="1"/>
  <c r="Q10" i="34"/>
  <c r="Z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AC27" i="35"/>
  <c r="W28" i="35"/>
  <c r="U31" i="35"/>
  <c r="W34" i="35"/>
  <c r="S31" i="35"/>
  <c r="F36" i="34"/>
  <c r="J35" i="34"/>
  <c r="U34" i="34"/>
  <c r="H39" i="33"/>
  <c r="AB39" i="33" s="1"/>
  <c r="F26" i="33"/>
  <c r="AA26" i="33" s="1"/>
  <c r="U33" i="33"/>
  <c r="S40" i="33"/>
  <c r="S27" i="35"/>
  <c r="W8" i="40"/>
  <c r="AA9" i="40"/>
  <c r="AC9" i="40"/>
  <c r="U9"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F101" i="39" s="1"/>
  <c r="H19" i="39"/>
  <c r="AB19" i="39" s="1"/>
  <c r="F19" i="39"/>
  <c r="AA19" i="39" s="1"/>
  <c r="F17" i="39"/>
  <c r="AA17" i="39" s="1"/>
  <c r="J23" i="40"/>
  <c r="AC23" i="40" s="1"/>
  <c r="F21" i="40"/>
  <c r="AA21" i="40" s="1"/>
  <c r="J21" i="40"/>
  <c r="W21" i="40" s="1"/>
  <c r="H42" i="39"/>
  <c r="AB42" i="39" s="1"/>
  <c r="J34" i="39"/>
  <c r="AC34" i="39" s="1"/>
  <c r="J31" i="39"/>
  <c r="H27" i="39"/>
  <c r="U27" i="39" s="1"/>
  <c r="J19" i="39"/>
  <c r="AC19" i="39" s="1"/>
  <c r="J27" i="39"/>
  <c r="AC27" i="39" s="1"/>
  <c r="F11" i="21"/>
  <c r="S11" i="21" s="1"/>
  <c r="S40" i="21"/>
  <c r="U34" i="21"/>
  <c r="S34" i="21"/>
  <c r="C25" i="39"/>
  <c r="C15" i="39"/>
  <c r="H32" i="33"/>
  <c r="AB32" i="33" s="1"/>
  <c r="H11" i="21"/>
  <c r="U11" i="21" s="1"/>
  <c r="J11" i="21"/>
  <c r="W11" i="21" s="1"/>
  <c r="H37" i="40"/>
  <c r="U37" i="40" s="1"/>
  <c r="H36" i="40"/>
  <c r="AB36" i="40" s="1"/>
  <c r="F35" i="40"/>
  <c r="AA35" i="40" s="1"/>
  <c r="H23" i="40"/>
  <c r="AB23" i="40" s="1"/>
  <c r="H17" i="40"/>
  <c r="U17" i="40" s="1"/>
  <c r="J15" i="40"/>
  <c r="W15" i="40" s="1"/>
  <c r="AB8" i="39"/>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AC15" i="34" s="1"/>
  <c r="H15" i="34"/>
  <c r="AB15" i="34" s="1"/>
  <c r="S9" i="34"/>
  <c r="J28" i="34"/>
  <c r="W28" i="34" s="1"/>
  <c r="F41" i="33"/>
  <c r="AA41" i="33" s="1"/>
  <c r="E113" i="33"/>
  <c r="F32" i="33"/>
  <c r="AA32" i="33" s="1"/>
  <c r="J19" i="33"/>
  <c r="AC19" i="33" s="1"/>
  <c r="J15" i="33"/>
  <c r="AC15" i="33" s="1"/>
  <c r="F11" i="33"/>
  <c r="AA11" i="33" s="1"/>
  <c r="F37" i="40"/>
  <c r="AA37" i="40" s="1"/>
  <c r="F36" i="40"/>
  <c r="AA36" i="40" s="1"/>
  <c r="F23" i="40"/>
  <c r="AA23" i="40" s="1"/>
  <c r="F17" i="40"/>
  <c r="AA17" i="40" s="1"/>
  <c r="J17" i="40"/>
  <c r="W17" i="40" s="1"/>
  <c r="F15" i="40"/>
  <c r="S15" i="40" s="1"/>
  <c r="H15" i="40"/>
  <c r="AB15" i="40" s="1"/>
  <c r="S12" i="36"/>
  <c r="AA12" i="36"/>
  <c r="AB30" i="36"/>
  <c r="AC34" i="36"/>
  <c r="U30" i="35"/>
  <c r="F29" i="35"/>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AA42" i="34"/>
  <c r="AC38" i="34"/>
  <c r="AA38" i="34"/>
  <c r="J37" i="34"/>
  <c r="AC37" i="34" s="1"/>
  <c r="J11" i="33"/>
  <c r="W11" i="33" s="1"/>
  <c r="S28" i="34"/>
  <c r="G123" i="21"/>
  <c r="H123" i="21" s="1"/>
  <c r="I123" i="21" s="1"/>
  <c r="J123" i="21" s="1"/>
  <c r="K123" i="21" s="1"/>
  <c r="L123" i="21" s="1"/>
  <c r="M123" i="21" s="1"/>
  <c r="J42" i="21"/>
  <c r="AC42" i="21" s="1"/>
  <c r="H42" i="21"/>
  <c r="U42" i="21" s="1"/>
  <c r="J44" i="34"/>
  <c r="W44" i="34" s="1"/>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c r="J11" i="36"/>
  <c r="AC11" i="36" s="1"/>
  <c r="H11" i="36"/>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J36" i="37"/>
  <c r="AC36" i="37" s="1"/>
  <c r="G105" i="37"/>
  <c r="AB11" i="35"/>
  <c r="J10" i="36"/>
  <c r="AC10" i="36" s="1"/>
  <c r="AB30" i="21"/>
  <c r="W31" i="34"/>
  <c r="AC13" i="36"/>
  <c r="W13" i="36"/>
  <c r="S11" i="36"/>
  <c r="W11" i="36"/>
  <c r="AC30" i="34"/>
  <c r="AC28" i="21"/>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AZ575" i="3" s="1"/>
  <c r="BQ573" i="3"/>
  <c r="BL573" i="3" s="1"/>
  <c r="AZ573" i="3" s="1"/>
  <c r="BQ571" i="3"/>
  <c r="BL571" i="3" s="1"/>
  <c r="AZ571" i="3" s="1"/>
  <c r="BQ569" i="3"/>
  <c r="BL569" i="3" s="1"/>
  <c r="AZ569" i="3" s="1"/>
  <c r="BQ567" i="3"/>
  <c r="BL567" i="3"/>
  <c r="BQ565" i="3"/>
  <c r="BL565" i="3" s="1"/>
  <c r="BQ563" i="3"/>
  <c r="BL563" i="3" s="1"/>
  <c r="BQ561" i="3"/>
  <c r="BL561" i="3" s="1"/>
  <c r="BQ559" i="3"/>
  <c r="BL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AZ519" i="3" s="1"/>
  <c r="BQ517" i="3"/>
  <c r="BL517" i="3" s="1"/>
  <c r="BQ515" i="3"/>
  <c r="BL515" i="3" s="1"/>
  <c r="BQ513" i="3"/>
  <c r="BL513" i="3" s="1"/>
  <c r="AZ513" i="3" s="1"/>
  <c r="BQ511" i="3"/>
  <c r="BL511" i="3" s="1"/>
  <c r="AZ511" i="3" s="1"/>
  <c r="BA509" i="3"/>
  <c r="AC509" i="3"/>
  <c r="BQ509" i="3"/>
  <c r="BL509" i="3" s="1"/>
  <c r="BL508" i="3"/>
  <c r="G507" i="3"/>
  <c r="G505" i="3"/>
  <c r="G503" i="3"/>
  <c r="G501" i="3"/>
  <c r="G499" i="3"/>
  <c r="G497" i="3"/>
  <c r="G495" i="3"/>
  <c r="BQ507" i="3"/>
  <c r="BL507" i="3" s="1"/>
  <c r="AZ507" i="3" s="1"/>
  <c r="BQ505" i="3"/>
  <c r="BL505" i="3" s="1"/>
  <c r="BQ503" i="3"/>
  <c r="BL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AA36" i="39"/>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2" i="36"/>
  <c r="AC33" i="36"/>
  <c r="W23" i="35"/>
  <c r="W14" i="37"/>
  <c r="AB28" i="37"/>
  <c r="U33" i="37"/>
  <c r="AC8" i="37"/>
  <c r="U26" i="37"/>
  <c r="W47" i="34"/>
  <c r="AB13" i="34"/>
  <c r="AB37" i="34"/>
  <c r="AC36" i="34"/>
  <c r="AA13" i="33"/>
  <c r="AC45"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G101" i="39"/>
  <c r="H37" i="39"/>
  <c r="AB37" i="39" s="1"/>
  <c r="H25" i="39"/>
  <c r="AB25" i="39" s="1"/>
  <c r="J25" i="39"/>
  <c r="F25" i="39"/>
  <c r="AA25" i="39" s="1"/>
  <c r="F15" i="39"/>
  <c r="AA15" i="39" s="1"/>
  <c r="H15" i="39"/>
  <c r="U15" i="39" s="1"/>
  <c r="J15" i="39"/>
  <c r="W15" i="39" s="1"/>
  <c r="H41" i="39"/>
  <c r="AB34" i="39"/>
  <c r="W14" i="39"/>
  <c r="W9" i="39"/>
  <c r="W8" i="39"/>
  <c r="J19" i="40"/>
  <c r="AC19" i="40" s="1"/>
  <c r="J50" i="40"/>
  <c r="B54" i="72"/>
  <c r="H103" i="9"/>
  <c r="D8" i="53" s="1"/>
  <c r="B16" i="53"/>
  <c r="B33" i="72" s="1"/>
  <c r="C7" i="37"/>
  <c r="C7" i="34"/>
  <c r="C7" i="36"/>
  <c r="A118" i="9"/>
  <c r="A12" i="52"/>
  <c r="B56" i="72" s="1"/>
  <c r="G4" i="4"/>
  <c r="I4" i="4"/>
  <c r="K5" i="4"/>
  <c r="B47" i="48" s="1"/>
  <c r="A2" i="9"/>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AZ140" i="3" s="1"/>
  <c r="G141" i="3"/>
  <c r="BA143" i="3"/>
  <c r="BL144" i="3"/>
  <c r="AZ144" i="3" s="1"/>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AZ179" i="3" s="1"/>
  <c r="BL180" i="3"/>
  <c r="G181" i="3"/>
  <c r="BA183" i="3"/>
  <c r="BL184" i="3"/>
  <c r="G185" i="3"/>
  <c r="BA187" i="3"/>
  <c r="AZ187" i="3" s="1"/>
  <c r="BL188" i="3"/>
  <c r="G189" i="3"/>
  <c r="BA191" i="3"/>
  <c r="AZ191" i="3" s="1"/>
  <c r="BL192" i="3"/>
  <c r="G193" i="3"/>
  <c r="BA195" i="3"/>
  <c r="AZ195" i="3" s="1"/>
  <c r="BL196" i="3"/>
  <c r="AZ196" i="3" s="1"/>
  <c r="G197" i="3"/>
  <c r="BA199" i="3"/>
  <c r="BL200" i="3"/>
  <c r="AZ200" i="3" s="1"/>
  <c r="G201" i="3"/>
  <c r="BA203" i="3"/>
  <c r="BL204" i="3"/>
  <c r="AZ43" i="3"/>
  <c r="AZ136" i="3"/>
  <c r="G534" i="3"/>
  <c r="G530" i="3"/>
  <c r="G522" i="3"/>
  <c r="G516" i="3"/>
  <c r="G512" i="3"/>
  <c r="G506" i="3"/>
  <c r="G498" i="3"/>
  <c r="G494" i="3"/>
  <c r="G16" i="3"/>
  <c r="BA304" i="3"/>
  <c r="AZ304" i="3" s="1"/>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BL390" i="3"/>
  <c r="G391" i="3"/>
  <c r="G394" i="3"/>
  <c r="AZ194" i="3"/>
  <c r="AZ500" i="3"/>
  <c r="BA16" i="3"/>
  <c r="BL303" i="3"/>
  <c r="G304" i="3"/>
  <c r="BA306" i="3"/>
  <c r="BL307" i="3"/>
  <c r="G308" i="3"/>
  <c r="BA310" i="3"/>
  <c r="AZ310" i="3" s="1"/>
  <c r="BL311" i="3"/>
  <c r="G312" i="3"/>
  <c r="BA314" i="3"/>
  <c r="AZ314" i="3" s="1"/>
  <c r="BL315" i="3"/>
  <c r="G316" i="3"/>
  <c r="BA318" i="3"/>
  <c r="AZ318" i="3" s="1"/>
  <c r="BL319" i="3"/>
  <c r="G320" i="3"/>
  <c r="BA322" i="3"/>
  <c r="BL323" i="3"/>
  <c r="G324" i="3"/>
  <c r="BA326" i="3"/>
  <c r="BL327" i="3"/>
  <c r="G328" i="3"/>
  <c r="BA330" i="3"/>
  <c r="AZ330" i="3" s="1"/>
  <c r="BL331" i="3"/>
  <c r="G332" i="3"/>
  <c r="BA334" i="3"/>
  <c r="AZ334" i="3" s="1"/>
  <c r="BL335" i="3"/>
  <c r="G336" i="3"/>
  <c r="BA338" i="3"/>
  <c r="BL339" i="3"/>
  <c r="G340" i="3"/>
  <c r="BL343" i="3"/>
  <c r="G344" i="3"/>
  <c r="G348" i="3"/>
  <c r="G355" i="3"/>
  <c r="G342" i="3"/>
  <c r="BL345" i="3"/>
  <c r="G346" i="3"/>
  <c r="BL349" i="3"/>
  <c r="BL352" i="3"/>
  <c r="G353" i="3"/>
  <c r="BA357" i="3"/>
  <c r="BL358" i="3"/>
  <c r="G359" i="3"/>
  <c r="BA361" i="3"/>
  <c r="AZ361" i="3" s="1"/>
  <c r="BL362" i="3"/>
  <c r="G363" i="3"/>
  <c r="BA365" i="3"/>
  <c r="AZ365" i="3" s="1"/>
  <c r="BL366" i="3"/>
  <c r="G367" i="3"/>
  <c r="BA369" i="3"/>
  <c r="BL370" i="3"/>
  <c r="G371" i="3"/>
  <c r="BA373" i="3"/>
  <c r="BL374" i="3"/>
  <c r="G375" i="3"/>
  <c r="BA377" i="3"/>
  <c r="AZ233" i="3"/>
  <c r="AZ237" i="3"/>
  <c r="BA379" i="3"/>
  <c r="AZ379" i="3"/>
  <c r="BL380" i="3"/>
  <c r="G381" i="3"/>
  <c r="BA383" i="3"/>
  <c r="BL384" i="3"/>
  <c r="AZ384" i="3" s="1"/>
  <c r="G385" i="3"/>
  <c r="BA387" i="3"/>
  <c r="AZ387" i="3" s="1"/>
  <c r="BL388" i="3"/>
  <c r="G389" i="3"/>
  <c r="BA391" i="3"/>
  <c r="AZ391" i="3" s="1"/>
  <c r="BL392" i="3"/>
  <c r="AZ392" i="3" s="1"/>
  <c r="G393" i="3"/>
  <c r="BO5" i="3"/>
  <c r="BM5" i="3"/>
  <c r="BJ5" i="3"/>
  <c r="BH5" i="3"/>
  <c r="BF5" i="3"/>
  <c r="BD5" i="3"/>
  <c r="AZ333" i="3"/>
  <c r="AC5" i="3"/>
  <c r="AZ549" i="3"/>
  <c r="AZ506" i="3"/>
  <c r="AZ496" i="3"/>
  <c r="G548" i="3"/>
  <c r="G538" i="3"/>
  <c r="G520" i="3"/>
  <c r="G502" i="3"/>
  <c r="BS5" i="3"/>
  <c r="BP5" i="3"/>
  <c r="BN5" i="3"/>
  <c r="AZ343" i="3"/>
  <c r="BK5" i="3"/>
  <c r="BI5" i="3"/>
  <c r="BG5" i="3"/>
  <c r="BE5" i="3"/>
  <c r="BC5" i="3"/>
  <c r="BA17" i="3"/>
  <c r="BT5" i="3"/>
  <c r="AZ356" i="3"/>
  <c r="AZ368" i="3"/>
  <c r="BA15" i="3"/>
  <c r="BB5" i="3"/>
  <c r="E8" i="6" s="1"/>
  <c r="AZ388" i="3"/>
  <c r="AZ509" i="3"/>
  <c r="G509" i="3"/>
  <c r="BL493" i="3"/>
  <c r="AZ493" i="3" s="1"/>
  <c r="AZ390" i="3"/>
  <c r="N4" i="43"/>
  <c r="F81" i="43"/>
  <c r="H83" i="43" s="1"/>
  <c r="F48" i="43"/>
  <c r="H52" i="43" s="1"/>
  <c r="F70" i="43"/>
  <c r="H73" i="43" s="1"/>
  <c r="M11" i="43"/>
  <c r="F39" i="43"/>
  <c r="F35" i="43"/>
  <c r="F6" i="1"/>
  <c r="C10" i="40" s="1"/>
  <c r="S14" i="35"/>
  <c r="U43" i="21"/>
  <c r="U35" i="21"/>
  <c r="AC35" i="21"/>
  <c r="U10" i="21"/>
  <c r="G8" i="1"/>
  <c r="G9" i="1"/>
  <c r="G10" i="1"/>
  <c r="F48" i="9"/>
  <c r="O52" i="9" s="1"/>
  <c r="AZ563" i="3"/>
  <c r="W37" i="37"/>
  <c r="AC44" i="34"/>
  <c r="S15" i="37"/>
  <c r="U13" i="37"/>
  <c r="U12" i="40"/>
  <c r="AA12" i="40"/>
  <c r="J37" i="33"/>
  <c r="W37"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232" i="3"/>
  <c r="AZ235" i="3"/>
  <c r="AZ133" i="3"/>
  <c r="AZ45" i="3"/>
  <c r="H75" i="43"/>
  <c r="H50" i="43"/>
  <c r="H48"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BL16" i="3" l="1"/>
  <c r="AZ16" i="3" s="1"/>
  <c r="H28" i="40"/>
  <c r="U28" i="40" s="1"/>
  <c r="F28" i="40"/>
  <c r="AA28" i="40" s="1"/>
  <c r="J28" i="40"/>
  <c r="AC28" i="40" s="1"/>
  <c r="U36" i="40"/>
  <c r="W35" i="40"/>
  <c r="S21" i="40"/>
  <c r="AC23" i="39"/>
  <c r="W23" i="39"/>
  <c r="AB44" i="39"/>
  <c r="U44" i="39"/>
  <c r="W37" i="39"/>
  <c r="AC37" i="39"/>
  <c r="AC43" i="39"/>
  <c r="W43" i="39"/>
  <c r="U45" i="39"/>
  <c r="AB45" i="39"/>
  <c r="AZ163" i="3"/>
  <c r="AZ508" i="3"/>
  <c r="AZ357" i="3"/>
  <c r="AZ338" i="3"/>
  <c r="AZ327" i="3"/>
  <c r="AZ306" i="3"/>
  <c r="AZ364" i="3"/>
  <c r="AZ355" i="3"/>
  <c r="AZ351" i="3"/>
  <c r="AZ394" i="3"/>
  <c r="AZ380" i="3"/>
  <c r="AZ376" i="3"/>
  <c r="AZ360" i="3"/>
  <c r="AZ341" i="3"/>
  <c r="AZ325" i="3"/>
  <c r="AZ309" i="3"/>
  <c r="AZ505" i="3"/>
  <c r="H9" i="33"/>
  <c r="AB9" i="33" s="1"/>
  <c r="J12" i="34"/>
  <c r="F34" i="35"/>
  <c r="G578" i="3"/>
  <c r="G562" i="3"/>
  <c r="G556" i="3"/>
  <c r="G552" i="3"/>
  <c r="G551" i="3"/>
  <c r="G17" i="3"/>
  <c r="G15" i="3"/>
  <c r="BA398" i="3"/>
  <c r="AZ398" i="3" s="1"/>
  <c r="BL400" i="3"/>
  <c r="G401" i="3"/>
  <c r="BA402" i="3"/>
  <c r="G403" i="3"/>
  <c r="BL404" i="3"/>
  <c r="G407" i="3"/>
  <c r="BA408" i="3"/>
  <c r="G409" i="3"/>
  <c r="BL410" i="3"/>
  <c r="G411" i="3"/>
  <c r="BA412" i="3"/>
  <c r="BL412" i="3"/>
  <c r="BA413" i="3"/>
  <c r="AZ413" i="3" s="1"/>
  <c r="BA414" i="3"/>
  <c r="BL414" i="3"/>
  <c r="G429" i="3"/>
  <c r="BL430" i="3"/>
  <c r="BA434" i="3"/>
  <c r="BL436" i="3"/>
  <c r="G439" i="3"/>
  <c r="BL440" i="3"/>
  <c r="G443" i="3"/>
  <c r="G470" i="3"/>
  <c r="BL471" i="3"/>
  <c r="BA473" i="3"/>
  <c r="G474" i="3"/>
  <c r="BL475" i="3"/>
  <c r="G484" i="3"/>
  <c r="BL485" i="3"/>
  <c r="G488" i="3"/>
  <c r="BL489" i="3"/>
  <c r="G492" i="3"/>
  <c r="BA303" i="3"/>
  <c r="AZ303" i="3" s="1"/>
  <c r="BA307" i="3"/>
  <c r="AZ307" i="3" s="1"/>
  <c r="G218" i="3"/>
  <c r="G259" i="3"/>
  <c r="G263" i="3"/>
  <c r="G267" i="3"/>
  <c r="BL268" i="3"/>
  <c r="BA270" i="3"/>
  <c r="BL272" i="3"/>
  <c r="BA274" i="3"/>
  <c r="BL276" i="3"/>
  <c r="G287" i="3"/>
  <c r="G289" i="3"/>
  <c r="BA290" i="3"/>
  <c r="BL292" i="3"/>
  <c r="BL137" i="3"/>
  <c r="G140" i="3"/>
  <c r="BL141" i="3"/>
  <c r="G144" i="3"/>
  <c r="BL145" i="3"/>
  <c r="BL147" i="3"/>
  <c r="AZ147" i="3" s="1"/>
  <c r="G150" i="3"/>
  <c r="BA153" i="3"/>
  <c r="G154" i="3"/>
  <c r="BL155" i="3"/>
  <c r="AZ155" i="3" s="1"/>
  <c r="BA157" i="3"/>
  <c r="BL157" i="3"/>
  <c r="BL159" i="3"/>
  <c r="AZ159" i="3" s="1"/>
  <c r="G160" i="3"/>
  <c r="BA162" i="3"/>
  <c r="BL162" i="3"/>
  <c r="BA164" i="3"/>
  <c r="AZ164" i="3" s="1"/>
  <c r="BA166" i="3"/>
  <c r="G167" i="3"/>
  <c r="G171" i="3"/>
  <c r="BA174" i="3"/>
  <c r="G179" i="3"/>
  <c r="G27" i="3"/>
  <c r="BL28" i="3"/>
  <c r="BA30" i="3"/>
  <c r="BA32" i="3"/>
  <c r="BA47" i="3"/>
  <c r="BL47" i="3"/>
  <c r="BA48" i="3"/>
  <c r="AZ48" i="3" s="1"/>
  <c r="BA50" i="3"/>
  <c r="AZ50" i="3" s="1"/>
  <c r="BL50" i="3"/>
  <c r="BL52" i="3"/>
  <c r="G53" i="3"/>
  <c r="BA54" i="3"/>
  <c r="AZ54" i="3" s="1"/>
  <c r="BL54" i="3"/>
  <c r="BL56" i="3"/>
  <c r="G57" i="3"/>
  <c r="BA58" i="3"/>
  <c r="G59" i="3"/>
  <c r="BL60" i="3"/>
  <c r="BA62" i="3"/>
  <c r="G63" i="3"/>
  <c r="BL64" i="3"/>
  <c r="G65" i="3"/>
  <c r="BA66"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BL96" i="3"/>
  <c r="BA98" i="3"/>
  <c r="G99" i="3"/>
  <c r="BA100" i="3"/>
  <c r="AZ100" i="3" s="1"/>
  <c r="BL100" i="3"/>
  <c r="BA102" i="3"/>
  <c r="AZ102" i="3" s="1"/>
  <c r="BL102" i="3"/>
  <c r="BA103" i="3"/>
  <c r="AZ103" i="3" s="1"/>
  <c r="BA105" i="3"/>
  <c r="BL105" i="3"/>
  <c r="BL106" i="3"/>
  <c r="G107" i="3"/>
  <c r="AZ373" i="3"/>
  <c r="AZ322" i="3"/>
  <c r="AC12" i="40"/>
  <c r="W12" i="40"/>
  <c r="F42" i="33"/>
  <c r="AA42" i="33" s="1"/>
  <c r="AZ414" i="3"/>
  <c r="BL416" i="3"/>
  <c r="G417" i="3"/>
  <c r="BA418" i="3"/>
  <c r="G419" i="3"/>
  <c r="BL420" i="3"/>
  <c r="G423" i="3"/>
  <c r="BL424" i="3"/>
  <c r="AZ466" i="3"/>
  <c r="BA467" i="3"/>
  <c r="BL467" i="3"/>
  <c r="G476" i="3"/>
  <c r="BA477" i="3"/>
  <c r="G478" i="3"/>
  <c r="BL479" i="3"/>
  <c r="G480" i="3"/>
  <c r="BA481" i="3"/>
  <c r="G482" i="3"/>
  <c r="BL483" i="3"/>
  <c r="BA484" i="3"/>
  <c r="AZ484" i="3" s="1"/>
  <c r="BA485" i="3"/>
  <c r="AZ485" i="3" s="1"/>
  <c r="BA487" i="3"/>
  <c r="BL487" i="3"/>
  <c r="BA488" i="3"/>
  <c r="AZ488" i="3" s="1"/>
  <c r="BA489" i="3"/>
  <c r="AZ489" i="3" s="1"/>
  <c r="BA491" i="3"/>
  <c r="BL491" i="3"/>
  <c r="BA492" i="3"/>
  <c r="AZ492" i="3" s="1"/>
  <c r="BA319" i="3"/>
  <c r="AZ319" i="3" s="1"/>
  <c r="BA323" i="3"/>
  <c r="AZ323" i="3" s="1"/>
  <c r="BL348" i="3"/>
  <c r="BL350" i="3"/>
  <c r="G351" i="3"/>
  <c r="BA352" i="3"/>
  <c r="AZ352" i="3" s="1"/>
  <c r="BL354" i="3"/>
  <c r="BA358" i="3"/>
  <c r="AZ358" i="3" s="1"/>
  <c r="G384" i="3"/>
  <c r="BL385" i="3"/>
  <c r="G396" i="3"/>
  <c r="G212" i="3"/>
  <c r="BA213" i="3"/>
  <c r="G214" i="3"/>
  <c r="BA215" i="3"/>
  <c r="G216" i="3"/>
  <c r="BA217" i="3"/>
  <c r="BL217" i="3"/>
  <c r="BL219" i="3"/>
  <c r="G220" i="3"/>
  <c r="BL221" i="3"/>
  <c r="BL223" i="3"/>
  <c r="G243" i="3"/>
  <c r="G247" i="3"/>
  <c r="BL248" i="3"/>
  <c r="BA250" i="3"/>
  <c r="G251" i="3"/>
  <c r="BL252" i="3"/>
  <c r="BA254"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BL282" i="3"/>
  <c r="BA284" i="3"/>
  <c r="G285" i="3"/>
  <c r="BA286" i="3"/>
  <c r="BL286" i="3"/>
  <c r="BA288" i="3"/>
  <c r="BL288" i="3"/>
  <c r="BA289" i="3"/>
  <c r="AZ289" i="3" s="1"/>
  <c r="BA291" i="3"/>
  <c r="BL291" i="3"/>
  <c r="BA292" i="3"/>
  <c r="AZ292" i="3" s="1"/>
  <c r="BL294" i="3"/>
  <c r="G295" i="3"/>
  <c r="BL296" i="3"/>
  <c r="G297" i="3"/>
  <c r="BL298" i="3"/>
  <c r="BA300" i="3"/>
  <c r="G301" i="3"/>
  <c r="BL302" i="3"/>
  <c r="BL114" i="3"/>
  <c r="G115" i="3"/>
  <c r="BA116" i="3"/>
  <c r="AZ116" i="3" s="1"/>
  <c r="BL118" i="3"/>
  <c r="BA120" i="3"/>
  <c r="AZ120" i="3" s="1"/>
  <c r="BA122" i="3"/>
  <c r="G123" i="3"/>
  <c r="AZ389" i="3"/>
  <c r="AZ382" i="3"/>
  <c r="AZ497" i="3"/>
  <c r="AZ501" i="3"/>
  <c r="F27" i="39"/>
  <c r="S27" i="39" s="1"/>
  <c r="F9" i="33"/>
  <c r="AA9" i="33" s="1"/>
  <c r="F12" i="35"/>
  <c r="J36" i="35"/>
  <c r="J38" i="40"/>
  <c r="AC38" i="40" s="1"/>
  <c r="G582" i="3"/>
  <c r="G402" i="3"/>
  <c r="G404" i="3"/>
  <c r="BA405" i="3"/>
  <c r="G406" i="3"/>
  <c r="BL407" i="3"/>
  <c r="BL433" i="3"/>
  <c r="BA435" i="3"/>
  <c r="AZ435" i="3" s="1"/>
  <c r="BL435" i="3"/>
  <c r="BA436" i="3"/>
  <c r="AZ436" i="3" s="1"/>
  <c r="BA438" i="3"/>
  <c r="BL438" i="3"/>
  <c r="BA439" i="3"/>
  <c r="AZ439" i="3" s="1"/>
  <c r="BA440" i="3"/>
  <c r="AZ440" i="3" s="1"/>
  <c r="BA442" i="3"/>
  <c r="BL442" i="3"/>
  <c r="AZ442" i="3" s="1"/>
  <c r="BL444" i="3"/>
  <c r="G445" i="3"/>
  <c r="BA446" i="3"/>
  <c r="G447" i="3"/>
  <c r="BL448" i="3"/>
  <c r="G449" i="3"/>
  <c r="BA450" i="3"/>
  <c r="G451" i="3"/>
  <c r="BL452" i="3"/>
  <c r="G455" i="3"/>
  <c r="BL456" i="3"/>
  <c r="G459" i="3"/>
  <c r="G469" i="3"/>
  <c r="BL470" i="3"/>
  <c r="BL472" i="3"/>
  <c r="BA137" i="3"/>
  <c r="AZ137" i="3" s="1"/>
  <c r="BA138" i="3"/>
  <c r="AZ138" i="3" s="1"/>
  <c r="BL139" i="3"/>
  <c r="AZ139" i="3" s="1"/>
  <c r="BA141" i="3"/>
  <c r="AZ141" i="3" s="1"/>
  <c r="BA142" i="3"/>
  <c r="AZ142" i="3" s="1"/>
  <c r="BL143" i="3"/>
  <c r="AZ143" i="3" s="1"/>
  <c r="BA145" i="3"/>
  <c r="AZ145" i="3" s="1"/>
  <c r="BA146" i="3"/>
  <c r="AZ146" i="3" s="1"/>
  <c r="BA148" i="3"/>
  <c r="AZ148" i="3" s="1"/>
  <c r="BA150" i="3"/>
  <c r="G151" i="3"/>
  <c r="G155" i="3"/>
  <c r="G166" i="3"/>
  <c r="BA169" i="3"/>
  <c r="G170" i="3"/>
  <c r="BL171" i="3"/>
  <c r="AZ171" i="3" s="1"/>
  <c r="BA173" i="3"/>
  <c r="AZ173" i="3" s="1"/>
  <c r="BL173" i="3"/>
  <c r="BL175" i="3"/>
  <c r="AZ175" i="3" s="1"/>
  <c r="G176" i="3"/>
  <c r="BA178" i="3"/>
  <c r="AZ178" i="3" s="1"/>
  <c r="BL178" i="3"/>
  <c r="BA180" i="3"/>
  <c r="AZ180" i="3" s="1"/>
  <c r="BA182" i="3"/>
  <c r="G183" i="3"/>
  <c r="G187" i="3"/>
  <c r="G198" i="3"/>
  <c r="G202" i="3"/>
  <c r="G18" i="3"/>
  <c r="BL18" i="3"/>
  <c r="G21" i="3"/>
  <c r="BA26" i="3"/>
  <c r="BL26" i="3"/>
  <c r="AZ26" i="3" s="1"/>
  <c r="BA27" i="3"/>
  <c r="AZ27" i="3" s="1"/>
  <c r="BA28" i="3"/>
  <c r="AZ28" i="3" s="1"/>
  <c r="BA29" i="3"/>
  <c r="AZ29" i="3" s="1"/>
  <c r="BA31" i="3"/>
  <c r="AZ31" i="3" s="1"/>
  <c r="BL31" i="3"/>
  <c r="BA33" i="3"/>
  <c r="AZ33" i="3" s="1"/>
  <c r="BL33" i="3"/>
  <c r="BL34" i="3"/>
  <c r="G35" i="3"/>
  <c r="G39" i="3"/>
  <c r="G58" i="3"/>
  <c r="G60" i="3"/>
  <c r="BL61" i="3"/>
  <c r="G66" i="3"/>
  <c r="G68" i="3"/>
  <c r="BL69" i="3"/>
  <c r="G72" i="3"/>
  <c r="G96" i="3"/>
  <c r="BL97" i="3"/>
  <c r="G108" i="3"/>
  <c r="BL109" i="3"/>
  <c r="G110" i="3"/>
  <c r="BA111" i="3"/>
  <c r="BL111" i="3"/>
  <c r="AZ111" i="3" s="1"/>
  <c r="BL112" i="3"/>
  <c r="K100" i="43"/>
  <c r="C40" i="11"/>
  <c r="AA41" i="39"/>
  <c r="BR5" i="3"/>
  <c r="BQ5" i="3"/>
  <c r="F29" i="6"/>
  <c r="C5" i="11"/>
  <c r="G20" i="3"/>
  <c r="A4" i="52"/>
  <c r="B41" i="72" s="1"/>
  <c r="U32" i="33"/>
  <c r="W37" i="34"/>
  <c r="C21" i="39"/>
  <c r="S12" i="21"/>
  <c r="AA12" i="21"/>
  <c r="W12" i="36"/>
  <c r="AC12" i="36"/>
  <c r="AC24" i="36"/>
  <c r="W24" i="36"/>
  <c r="AZ558" i="3"/>
  <c r="D17" i="80"/>
  <c r="E57" i="39"/>
  <c r="M20" i="15"/>
  <c r="F34" i="79"/>
  <c r="F62" i="79" s="1"/>
  <c r="M20" i="78"/>
  <c r="M20" i="79"/>
  <c r="F34" i="78"/>
  <c r="F62" i="78" s="1"/>
  <c r="E21" i="6"/>
  <c r="K8" i="1" s="1"/>
  <c r="E19" i="6"/>
  <c r="G400" i="3"/>
  <c r="BA401" i="3"/>
  <c r="BL401" i="3"/>
  <c r="BA403" i="3"/>
  <c r="BL403" i="3"/>
  <c r="AZ403" i="3" s="1"/>
  <c r="BA404" i="3"/>
  <c r="AZ404" i="3" s="1"/>
  <c r="BA406" i="3"/>
  <c r="BL406" i="3"/>
  <c r="BA407" i="3"/>
  <c r="AZ407" i="3" s="1"/>
  <c r="BL409" i="3"/>
  <c r="G410" i="3"/>
  <c r="BL411" i="3"/>
  <c r="G412" i="3"/>
  <c r="G416" i="3"/>
  <c r="BA417" i="3"/>
  <c r="BL417" i="3"/>
  <c r="BA419" i="3"/>
  <c r="AZ419" i="3" s="1"/>
  <c r="BL419" i="3"/>
  <c r="BA420" i="3"/>
  <c r="AZ420" i="3" s="1"/>
  <c r="BA422" i="3"/>
  <c r="BL422" i="3"/>
  <c r="BA423" i="3"/>
  <c r="AZ423" i="3" s="1"/>
  <c r="BA424" i="3"/>
  <c r="AZ424" i="3" s="1"/>
  <c r="BL426" i="3"/>
  <c r="G427" i="3"/>
  <c r="BA428" i="3"/>
  <c r="BL428" i="3"/>
  <c r="AZ428" i="3" s="1"/>
  <c r="BA429" i="3"/>
  <c r="AZ429" i="3" s="1"/>
  <c r="BA430" i="3"/>
  <c r="AZ430" i="3" s="1"/>
  <c r="BL432" i="3"/>
  <c r="G433" i="3"/>
  <c r="G435" i="3"/>
  <c r="G438" i="3"/>
  <c r="G442" i="3"/>
  <c r="G444" i="3"/>
  <c r="BA445" i="3"/>
  <c r="BL445" i="3"/>
  <c r="BL447" i="3"/>
  <c r="G448" i="3"/>
  <c r="BA449" i="3"/>
  <c r="BL449" i="3"/>
  <c r="BA451" i="3"/>
  <c r="BL451" i="3"/>
  <c r="BA452" i="3"/>
  <c r="AZ452" i="3" s="1"/>
  <c r="BA454" i="3"/>
  <c r="AZ454" i="3" s="1"/>
  <c r="BL454" i="3"/>
  <c r="BA455" i="3"/>
  <c r="AZ455" i="3" s="1"/>
  <c r="BA456" i="3"/>
  <c r="AZ456" i="3" s="1"/>
  <c r="BA458" i="3"/>
  <c r="BL458" i="3"/>
  <c r="BL460" i="3"/>
  <c r="G461" i="3"/>
  <c r="G463" i="3"/>
  <c r="BL464" i="3"/>
  <c r="G465" i="3"/>
  <c r="H82" i="43"/>
  <c r="AZ377" i="3"/>
  <c r="AZ369" i="3"/>
  <c r="AZ345" i="3"/>
  <c r="AZ371" i="3"/>
  <c r="AZ342" i="3"/>
  <c r="AZ329" i="3"/>
  <c r="AZ321" i="3"/>
  <c r="AZ378" i="3"/>
  <c r="W44" i="33"/>
  <c r="U35" i="35"/>
  <c r="AZ515" i="3"/>
  <c r="AZ525" i="3"/>
  <c r="AZ529" i="3"/>
  <c r="AZ533" i="3"/>
  <c r="AZ537" i="3"/>
  <c r="AZ541" i="3"/>
  <c r="AZ545" i="3"/>
  <c r="AZ561" i="3"/>
  <c r="AZ565" i="3"/>
  <c r="AZ577" i="3"/>
  <c r="AZ510" i="3"/>
  <c r="AB31" i="33"/>
  <c r="AA14" i="33"/>
  <c r="S15" i="34"/>
  <c r="W33" i="33"/>
  <c r="J12" i="21"/>
  <c r="AC12" i="21" s="1"/>
  <c r="G27" i="6"/>
  <c r="I4" i="6"/>
  <c r="G3" i="43" s="1"/>
  <c r="B113" i="43" s="1"/>
  <c r="E20" i="6"/>
  <c r="J27" i="34"/>
  <c r="AC27" i="34" s="1"/>
  <c r="H43" i="34"/>
  <c r="AB43" i="34" s="1"/>
  <c r="F9" i="36"/>
  <c r="AA9" i="36" s="1"/>
  <c r="H24" i="36"/>
  <c r="AB24" i="36" s="1"/>
  <c r="F25" i="37"/>
  <c r="AA25" i="37" s="1"/>
  <c r="J26" i="37"/>
  <c r="F40" i="39"/>
  <c r="AA40" i="39" s="1"/>
  <c r="H39" i="40"/>
  <c r="G570" i="3"/>
  <c r="G566" i="3"/>
  <c r="G542" i="3"/>
  <c r="G526" i="3"/>
  <c r="BA469" i="3"/>
  <c r="AZ469" i="3" s="1"/>
  <c r="BL469" i="3"/>
  <c r="BA470" i="3"/>
  <c r="AZ470" i="3" s="1"/>
  <c r="BA471" i="3"/>
  <c r="AZ471" i="3" s="1"/>
  <c r="BA472" i="3"/>
  <c r="AZ472" i="3" s="1"/>
  <c r="BL474" i="3"/>
  <c r="G475" i="3"/>
  <c r="BA476" i="3"/>
  <c r="BL476" i="3"/>
  <c r="BL478" i="3"/>
  <c r="G479" i="3"/>
  <c r="BA480" i="3"/>
  <c r="BL480" i="3"/>
  <c r="BL482" i="3"/>
  <c r="G483" i="3"/>
  <c r="G487" i="3"/>
  <c r="G491" i="3"/>
  <c r="BL312" i="3"/>
  <c r="AZ312" i="3" s="1"/>
  <c r="G313" i="3"/>
  <c r="BA315" i="3"/>
  <c r="AZ315" i="3" s="1"/>
  <c r="BL317" i="3"/>
  <c r="G318" i="3"/>
  <c r="G323" i="3"/>
  <c r="BL324" i="3"/>
  <c r="AZ324" i="3" s="1"/>
  <c r="G327" i="3"/>
  <c r="BA335" i="3"/>
  <c r="AZ335" i="3" s="1"/>
  <c r="BA339" i="3"/>
  <c r="AZ339" i="3" s="1"/>
  <c r="G347" i="3"/>
  <c r="BA348" i="3"/>
  <c r="AZ348" i="3" s="1"/>
  <c r="BA349" i="3"/>
  <c r="AZ349"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BA222" i="3"/>
  <c r="AZ222" i="3" s="1"/>
  <c r="BA223" i="3"/>
  <c r="AZ223" i="3" s="1"/>
  <c r="BL225" i="3"/>
  <c r="G226" i="3"/>
  <c r="G228" i="3"/>
  <c r="BL229" i="3"/>
  <c r="G230" i="3"/>
  <c r="G235" i="3"/>
  <c r="G239" i="3"/>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G278" i="3"/>
  <c r="BL279" i="3"/>
  <c r="G280" i="3"/>
  <c r="BA281" i="3"/>
  <c r="BL281" i="3"/>
  <c r="AZ281" i="3" s="1"/>
  <c r="BA282" i="3"/>
  <c r="BA283" i="3"/>
  <c r="AZ283" i="3" s="1"/>
  <c r="BL285" i="3"/>
  <c r="G286" i="3"/>
  <c r="G288" i="3"/>
  <c r="G291" i="3"/>
  <c r="G294" i="3"/>
  <c r="BL295" i="3"/>
  <c r="G296" i="3"/>
  <c r="BA297" i="3"/>
  <c r="AZ297" i="3" s="1"/>
  <c r="BL297" i="3"/>
  <c r="BA298" i="3"/>
  <c r="AZ298" i="3" s="1"/>
  <c r="BA299" i="3"/>
  <c r="AZ299" i="3" s="1"/>
  <c r="BL301" i="3"/>
  <c r="G302" i="3"/>
  <c r="BL113" i="3"/>
  <c r="G114" i="3"/>
  <c r="G116" i="3"/>
  <c r="BA117" i="3"/>
  <c r="BL117" i="3"/>
  <c r="BA118" i="3"/>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BA18" i="3"/>
  <c r="AZ18" i="3" s="1"/>
  <c r="BA20" i="3"/>
  <c r="BL20" i="3"/>
  <c r="BL22" i="3"/>
  <c r="G23" i="3"/>
  <c r="G25" i="3"/>
  <c r="J51" i="78"/>
  <c r="J51" i="79"/>
  <c r="G100" i="4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78"/>
  <c r="G1" i="79"/>
  <c r="J51" i="15"/>
  <c r="H87" i="43"/>
  <c r="H86" i="43"/>
  <c r="H49" i="43"/>
  <c r="H74" i="43"/>
  <c r="J17" i="43"/>
  <c r="I17" i="43"/>
  <c r="E17" i="43"/>
  <c r="M6" i="43"/>
  <c r="N7" i="43"/>
  <c r="H113" i="43"/>
  <c r="F36" i="43"/>
  <c r="N2" i="43"/>
  <c r="F59" i="43" s="1"/>
  <c r="H62" i="43" s="1"/>
  <c r="W40" i="33"/>
  <c r="AC31" i="33"/>
  <c r="S26" i="33"/>
  <c r="S38" i="33"/>
  <c r="S41" i="33"/>
  <c r="AC41" i="33"/>
  <c r="U40" i="33"/>
  <c r="W39" i="33"/>
  <c r="J42" i="33"/>
  <c r="AC42" i="33" s="1"/>
  <c r="U43" i="33"/>
  <c r="AB26" i="33"/>
  <c r="S9" i="33"/>
  <c r="U8" i="33"/>
  <c r="S8" i="33"/>
  <c r="S34" i="34"/>
  <c r="AA41" i="34"/>
  <c r="AB23" i="34"/>
  <c r="AC17" i="34"/>
  <c r="AB17" i="34"/>
  <c r="W8" i="34"/>
  <c r="W9" i="34"/>
  <c r="W27" i="39"/>
  <c r="J17" i="39"/>
  <c r="W17" i="39" s="1"/>
  <c r="H17" i="39"/>
  <c r="W44" i="39"/>
  <c r="S42" i="39"/>
  <c r="U40" i="39"/>
  <c r="U9" i="39"/>
  <c r="G14" i="3"/>
  <c r="A15" i="62"/>
  <c r="B61" i="72" s="1"/>
  <c r="G11" i="1"/>
  <c r="AZ557" i="3"/>
  <c r="S13" i="35"/>
  <c r="AA13" i="35"/>
  <c r="AB46" i="33"/>
  <c r="U46" i="33"/>
  <c r="U11" i="36"/>
  <c r="AB11" i="36"/>
  <c r="U46" i="34"/>
  <c r="AB46" i="34"/>
  <c r="S14" i="34"/>
  <c r="AA14" i="34"/>
  <c r="U45" i="33"/>
  <c r="AB45" i="33"/>
  <c r="AB13" i="33"/>
  <c r="U13" i="33"/>
  <c r="AA44" i="34"/>
  <c r="S44" i="34"/>
  <c r="AC31" i="40"/>
  <c r="W31" i="40"/>
  <c r="AA38" i="40"/>
  <c r="S38" i="40"/>
  <c r="W40" i="40"/>
  <c r="AC40" i="40"/>
  <c r="G28" i="6"/>
  <c r="AZ326" i="3"/>
  <c r="AZ311" i="3"/>
  <c r="AZ372" i="3"/>
  <c r="AZ347" i="3"/>
  <c r="AZ344" i="3"/>
  <c r="AZ337" i="3"/>
  <c r="AZ320" i="3"/>
  <c r="AZ313" i="3"/>
  <c r="AZ305" i="3"/>
  <c r="AZ362" i="3"/>
  <c r="AZ503" i="3"/>
  <c r="AZ517" i="3"/>
  <c r="AZ523" i="3"/>
  <c r="AZ527" i="3"/>
  <c r="AZ531" i="3"/>
  <c r="AZ535" i="3"/>
  <c r="AZ539" i="3"/>
  <c r="AZ543" i="3"/>
  <c r="AZ547" i="3"/>
  <c r="AZ559" i="3"/>
  <c r="AZ567" i="3"/>
  <c r="AZ579" i="3"/>
  <c r="AZ587" i="3"/>
  <c r="W29" i="33"/>
  <c r="S45" i="33"/>
  <c r="W11" i="35"/>
  <c r="AA14" i="37"/>
  <c r="U31" i="34"/>
  <c r="S29" i="35"/>
  <c r="AA29" i="35"/>
  <c r="AB33" i="35"/>
  <c r="U33" i="35"/>
  <c r="AB14" i="37"/>
  <c r="U14" i="37"/>
  <c r="AC32" i="40"/>
  <c r="W32" i="40"/>
  <c r="BA551" i="3"/>
  <c r="AZ551" i="3" s="1"/>
  <c r="BL550" i="3"/>
  <c r="AZ550" i="3" s="1"/>
  <c r="BA550" i="3"/>
  <c r="BL548" i="3"/>
  <c r="AZ548" i="3" s="1"/>
  <c r="BL15" i="3"/>
  <c r="AZ15" i="3" s="1"/>
  <c r="AZ406" i="3"/>
  <c r="AZ422" i="3"/>
  <c r="AZ438" i="3"/>
  <c r="AZ451" i="3"/>
  <c r="AZ458" i="3"/>
  <c r="AZ487" i="3"/>
  <c r="G329" i="3"/>
  <c r="BA331" i="3"/>
  <c r="AZ331" i="3" s="1"/>
  <c r="BL332" i="3"/>
  <c r="G334" i="3"/>
  <c r="BL346" i="3"/>
  <c r="AZ346" i="3" s="1"/>
  <c r="G349" i="3"/>
  <c r="BA350" i="3"/>
  <c r="AZ350" i="3" s="1"/>
  <c r="AZ521" i="3"/>
  <c r="AZ553" i="3"/>
  <c r="AZ583" i="3"/>
  <c r="AZ581" i="3"/>
  <c r="AZ518" i="3"/>
  <c r="AZ538" i="3"/>
  <c r="AZ552" i="3"/>
  <c r="U23" i="40"/>
  <c r="AA12" i="34"/>
  <c r="C27" i="39"/>
  <c r="H39" i="37"/>
  <c r="U35" i="33"/>
  <c r="U34" i="35"/>
  <c r="W22" i="35"/>
  <c r="AA31" i="36"/>
  <c r="W28" i="36"/>
  <c r="F39" i="37"/>
  <c r="BL586" i="3"/>
  <c r="BL585" i="3"/>
  <c r="AZ585" i="3" s="1"/>
  <c r="H12" i="33"/>
  <c r="J25" i="37"/>
  <c r="H38" i="40"/>
  <c r="F40" i="40"/>
  <c r="G574" i="3"/>
  <c r="G558" i="3"/>
  <c r="G398" i="3"/>
  <c r="G399" i="3"/>
  <c r="BL399" i="3"/>
  <c r="AZ399" i="3" s="1"/>
  <c r="BA400" i="3"/>
  <c r="AZ400" i="3" s="1"/>
  <c r="BL402" i="3"/>
  <c r="AZ402" i="3" s="1"/>
  <c r="G405" i="3"/>
  <c r="BL405" i="3"/>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AZ437" i="3" s="1"/>
  <c r="G440" i="3"/>
  <c r="G441" i="3"/>
  <c r="BL441" i="3"/>
  <c r="AZ441" i="3" s="1"/>
  <c r="BL443" i="3"/>
  <c r="AZ443" i="3" s="1"/>
  <c r="BA444" i="3"/>
  <c r="AZ444" i="3" s="1"/>
  <c r="BL446" i="3"/>
  <c r="AZ446" i="3" s="1"/>
  <c r="BA447" i="3"/>
  <c r="AZ447" i="3" s="1"/>
  <c r="BA448" i="3"/>
  <c r="AZ448" i="3" s="1"/>
  <c r="BL450" i="3"/>
  <c r="AZ450" i="3" s="1"/>
  <c r="G453" i="3"/>
  <c r="BL453" i="3"/>
  <c r="AZ453" i="3" s="1"/>
  <c r="G456" i="3"/>
  <c r="G457" i="3"/>
  <c r="BL457" i="3"/>
  <c r="BL459" i="3"/>
  <c r="AZ459" i="3" s="1"/>
  <c r="BA460" i="3"/>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BA482" i="3"/>
  <c r="AZ482" i="3" s="1"/>
  <c r="BA483" i="3"/>
  <c r="G485" i="3"/>
  <c r="G486" i="3"/>
  <c r="BL486" i="3"/>
  <c r="AZ486" i="3" s="1"/>
  <c r="G489" i="3"/>
  <c r="G490" i="3"/>
  <c r="BL490" i="3"/>
  <c r="G311" i="3"/>
  <c r="G315" i="3"/>
  <c r="BA317" i="3"/>
  <c r="AZ317" i="3" s="1"/>
  <c r="AZ332"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BA216" i="3"/>
  <c r="AZ216" i="3" s="1"/>
  <c r="BL218" i="3"/>
  <c r="AZ218" i="3" s="1"/>
  <c r="BA219" i="3"/>
  <c r="AZ219" i="3" s="1"/>
  <c r="G222" i="3"/>
  <c r="G223" i="3"/>
  <c r="G224" i="3"/>
  <c r="BL224" i="3"/>
  <c r="BA225" i="3"/>
  <c r="BL227" i="3"/>
  <c r="AZ227" i="3" s="1"/>
  <c r="BA228" i="3"/>
  <c r="AZ228" i="3" s="1"/>
  <c r="BA229" i="3"/>
  <c r="AZ229" i="3" s="1"/>
  <c r="G232" i="3"/>
  <c r="G233" i="3"/>
  <c r="G234" i="3"/>
  <c r="BL234" i="3"/>
  <c r="AZ234" i="3" s="1"/>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BA257" i="3"/>
  <c r="AZ257" i="3" s="1"/>
  <c r="BL259" i="3"/>
  <c r="AZ259" i="3" s="1"/>
  <c r="BA260" i="3"/>
  <c r="AZ260" i="3" s="1"/>
  <c r="BA261" i="3"/>
  <c r="AZ261" i="3" s="1"/>
  <c r="BL263" i="3"/>
  <c r="AZ263" i="3" s="1"/>
  <c r="BA264" i="3"/>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BA296" i="3"/>
  <c r="AZ296" i="3" s="1"/>
  <c r="G299" i="3"/>
  <c r="G300" i="3"/>
  <c r="BL300" i="3"/>
  <c r="BA301" i="3"/>
  <c r="AZ301" i="3" s="1"/>
  <c r="BA302" i="3"/>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BA206" i="3"/>
  <c r="AZ206" i="3" s="1"/>
  <c r="G19" i="3"/>
  <c r="BL19" i="3"/>
  <c r="AZ19" i="3" s="1"/>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AZ80" i="3" s="1"/>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62" i="39" s="1"/>
  <c r="E15" i="6"/>
  <c r="E60" i="40" s="1"/>
  <c r="K6" i="1"/>
  <c r="E13" i="6"/>
  <c r="E58" i="40" s="1"/>
  <c r="G29" i="6"/>
  <c r="E29" i="6" s="1"/>
  <c r="AC26" i="33"/>
  <c r="W26" i="33"/>
  <c r="W27" i="34"/>
  <c r="AB34" i="36"/>
  <c r="U34" i="36"/>
  <c r="AB33" i="36"/>
  <c r="U33" i="36"/>
  <c r="AC12" i="39"/>
  <c r="W12" i="39"/>
  <c r="AC39" i="40"/>
  <c r="W39" i="40"/>
  <c r="AZ401" i="3"/>
  <c r="AZ412" i="3"/>
  <c r="AZ417" i="3"/>
  <c r="AZ433" i="3"/>
  <c r="AZ465" i="3"/>
  <c r="AZ586" i="3"/>
  <c r="W12" i="33"/>
  <c r="AC12" i="33"/>
  <c r="AA32" i="36"/>
  <c r="S32" i="36"/>
  <c r="AZ408" i="3"/>
  <c r="AZ457" i="3"/>
  <c r="AZ490" i="3"/>
  <c r="AA39" i="34"/>
  <c r="F28" i="6"/>
  <c r="F30" i="6" s="1"/>
  <c r="BL14" i="3"/>
  <c r="AZ266" i="3"/>
  <c r="U30" i="33"/>
  <c r="AC13" i="34"/>
  <c r="AA47" i="34"/>
  <c r="W28" i="37"/>
  <c r="S19" i="39"/>
  <c r="F12" i="33"/>
  <c r="H12" i="39"/>
  <c r="AB12" i="39" s="1"/>
  <c r="F39" i="40"/>
  <c r="BA14" i="3"/>
  <c r="AZ14" i="3" s="1"/>
  <c r="AZ367" i="3"/>
  <c r="AZ224" i="3"/>
  <c r="AZ238" i="3"/>
  <c r="AZ254" i="3"/>
  <c r="AZ286" i="3"/>
  <c r="AZ149" i="3"/>
  <c r="AZ157" i="3"/>
  <c r="AZ165" i="3"/>
  <c r="AZ181" i="3"/>
  <c r="AZ189" i="3"/>
  <c r="AZ197" i="3"/>
  <c r="AZ35" i="3"/>
  <c r="AZ41" i="3"/>
  <c r="S12" i="1"/>
  <c r="AQ12" i="1" s="1"/>
  <c r="R12" i="1"/>
  <c r="B12" i="1"/>
  <c r="E12" i="1" s="1"/>
  <c r="S10" i="1"/>
  <c r="AQ10" i="1" s="1"/>
  <c r="R10" i="1"/>
  <c r="B10" i="1"/>
  <c r="E10" i="1" s="1"/>
  <c r="D1" i="66"/>
  <c r="E10" i="66" s="1"/>
  <c r="AZ84" i="3"/>
  <c r="AZ88" i="3"/>
  <c r="AZ107"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61" i="39" s="1"/>
  <c r="BL17" i="3"/>
  <c r="AZ17" i="3" s="1"/>
  <c r="BL13" i="3"/>
  <c r="E65" i="39"/>
  <c r="G30" i="6"/>
  <c r="G31" i="6" s="1"/>
  <c r="J56" i="9"/>
  <c r="J57" i="9" s="1"/>
  <c r="A24" i="51"/>
  <c r="B18" i="72" s="1"/>
  <c r="U29" i="34"/>
  <c r="E14" i="6"/>
  <c r="E64" i="39" s="1"/>
  <c r="E5" i="6"/>
  <c r="D9" i="11" s="1"/>
  <c r="C9" i="11" s="1"/>
  <c r="P10" i="1"/>
  <c r="H22" i="43"/>
  <c r="H101" i="43"/>
  <c r="M101" i="43"/>
  <c r="M109" i="43" s="1"/>
  <c r="E101" i="43"/>
  <c r="E32" i="6"/>
  <c r="L19" i="6" s="1"/>
  <c r="G1" i="68"/>
  <c r="K1" i="12"/>
  <c r="E57" i="40"/>
  <c r="T12" i="1"/>
  <c r="E19" i="69"/>
  <c r="E19" i="68"/>
  <c r="E19" i="11"/>
  <c r="E1" i="73"/>
  <c r="K1" i="73" s="1"/>
  <c r="G41" i="69"/>
  <c r="G22" i="69"/>
  <c r="G41" i="68"/>
  <c r="G22" i="68"/>
  <c r="G27" i="12"/>
  <c r="G26" i="12"/>
  <c r="G41" i="11"/>
  <c r="G22" i="11"/>
  <c r="G25" i="12"/>
  <c r="C100" i="43"/>
  <c r="E11" i="43"/>
  <c r="E10" i="43"/>
  <c r="E9" i="43"/>
  <c r="E8" i="43"/>
  <c r="E81" i="43"/>
  <c r="B79" i="43" s="1"/>
  <c r="AJ11" i="43"/>
  <c r="AJ13" i="43" s="1"/>
  <c r="AF11" i="43"/>
  <c r="AF13" i="43" s="1"/>
  <c r="AB11" i="43"/>
  <c r="AB13" i="43" s="1"/>
  <c r="Z7" i="43"/>
  <c r="AG11" i="43"/>
  <c r="AG13" i="43" s="1"/>
  <c r="AC11" i="43"/>
  <c r="AC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6" i="43"/>
  <c r="H65" i="43"/>
  <c r="H64" i="43"/>
  <c r="H63"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A2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3" i="15"/>
  <c r="F40" i="15"/>
  <c r="F36" i="67"/>
  <c r="F8" i="15"/>
  <c r="M22" i="67"/>
  <c r="F13" i="15"/>
  <c r="L47" i="67"/>
  <c r="M6" i="67"/>
  <c r="C76" i="67"/>
  <c r="G1" i="73"/>
  <c r="F26" i="15"/>
  <c r="C76" i="15"/>
  <c r="F42" i="15"/>
  <c r="F37" i="67"/>
  <c r="L48" i="67"/>
  <c r="F9" i="67"/>
  <c r="L48" i="15"/>
  <c r="F16" i="15"/>
  <c r="M26" i="67"/>
  <c r="M9" i="15"/>
  <c r="M8" i="67"/>
  <c r="F13" i="67"/>
  <c r="M26" i="15"/>
  <c r="M23" i="15"/>
  <c r="M24" i="67"/>
  <c r="M29" i="67"/>
  <c r="F16" i="67"/>
  <c r="F43" i="67"/>
  <c r="C7" i="43" l="1"/>
  <c r="AZ291" i="3"/>
  <c r="AZ262" i="3"/>
  <c r="AZ258" i="3"/>
  <c r="AZ217" i="3"/>
  <c r="AZ213" i="3"/>
  <c r="AZ105" i="3"/>
  <c r="AZ85" i="3"/>
  <c r="AZ47" i="3"/>
  <c r="AZ162" i="3"/>
  <c r="AA34" i="35"/>
  <c r="S34" i="35"/>
  <c r="W12" i="34"/>
  <c r="AC12" i="34"/>
  <c r="S12" i="35"/>
  <c r="AA12" i="35"/>
  <c r="AA29" i="21"/>
  <c r="AC15" i="21"/>
  <c r="S9" i="36"/>
  <c r="AA11" i="43"/>
  <c r="AA13" i="43" s="1"/>
  <c r="AE11" i="43"/>
  <c r="AE13" i="43" s="1"/>
  <c r="AI11" i="43"/>
  <c r="AI13" i="43" s="1"/>
  <c r="Z11" i="43"/>
  <c r="Z13" i="43" s="1"/>
  <c r="AD11" i="43"/>
  <c r="AD13" i="43" s="1"/>
  <c r="AH11" i="43"/>
  <c r="AH13" i="43" s="1"/>
  <c r="AR12" i="1"/>
  <c r="E28" i="6"/>
  <c r="G22" i="43"/>
  <c r="I101" i="43"/>
  <c r="I109" i="43" s="1"/>
  <c r="D101" i="43"/>
  <c r="D109" i="43" s="1"/>
  <c r="L101" i="43"/>
  <c r="L109" i="43" s="1"/>
  <c r="G5" i="3"/>
  <c r="B3" i="3" s="1"/>
  <c r="W42" i="33"/>
  <c r="S25" i="37"/>
  <c r="F32" i="39"/>
  <c r="AZ205" i="3"/>
  <c r="AZ122" i="3"/>
  <c r="AZ302" i="3"/>
  <c r="AZ300" i="3"/>
  <c r="AZ295" i="3"/>
  <c r="AZ264" i="3"/>
  <c r="AZ256" i="3"/>
  <c r="AZ225" i="3"/>
  <c r="AZ215" i="3"/>
  <c r="AZ483" i="3"/>
  <c r="AZ481" i="3"/>
  <c r="AZ460" i="3"/>
  <c r="AZ405" i="3"/>
  <c r="S40" i="39"/>
  <c r="AZ118" i="3"/>
  <c r="AZ282" i="3"/>
  <c r="AZ221" i="3"/>
  <c r="AC36" i="35"/>
  <c r="W36" i="35"/>
  <c r="AZ288" i="3"/>
  <c r="AZ275" i="3"/>
  <c r="AZ271" i="3"/>
  <c r="AZ491" i="3"/>
  <c r="AZ467" i="3"/>
  <c r="N101" i="43"/>
  <c r="J101" i="43"/>
  <c r="F22" i="43"/>
  <c r="G101" i="43"/>
  <c r="K101" i="43"/>
  <c r="B115" i="43"/>
  <c r="C115" i="43" s="1"/>
  <c r="D117" i="43"/>
  <c r="E117" i="43" s="1"/>
  <c r="F117" i="43" s="1"/>
  <c r="G117" i="43" s="1"/>
  <c r="H117" i="43" s="1"/>
  <c r="D116" i="43"/>
  <c r="E116" i="43" s="1"/>
  <c r="F116" i="43" s="1"/>
  <c r="G116" i="43" s="1"/>
  <c r="H116" i="43" s="1"/>
  <c r="B118" i="43"/>
  <c r="C118" i="43" s="1"/>
  <c r="I116" i="43"/>
  <c r="J116" i="43" s="1"/>
  <c r="K116" i="43" s="1"/>
  <c r="L116" i="43" s="1"/>
  <c r="M116" i="43" s="1"/>
  <c r="G118" i="43"/>
  <c r="H118" i="43" s="1"/>
  <c r="N104" i="46"/>
  <c r="C101" i="43"/>
  <c r="C107" i="43" s="1"/>
  <c r="E22" i="43"/>
  <c r="D22" i="43" s="1"/>
  <c r="F101" i="43"/>
  <c r="F103" i="43" s="1"/>
  <c r="E56" i="40"/>
  <c r="C109"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3" i="43"/>
  <c r="F102" i="43"/>
  <c r="I115" i="43"/>
  <c r="J115" i="43" s="1"/>
  <c r="K115" i="43" s="1"/>
  <c r="L115" i="43" s="1"/>
  <c r="M115" i="43" s="1"/>
  <c r="C106" i="43"/>
  <c r="W17" i="21"/>
  <c r="C6" i="43"/>
  <c r="F53" i="9"/>
  <c r="F32" i="79"/>
  <c r="F60" i="79" s="1"/>
  <c r="F28" i="79"/>
  <c r="C28" i="79" s="1"/>
  <c r="M18" i="79"/>
  <c r="F32" i="78"/>
  <c r="F60" i="78" s="1"/>
  <c r="F28" i="78"/>
  <c r="C28" i="78" s="1"/>
  <c r="M18" i="78"/>
  <c r="AZ95" i="3"/>
  <c r="AZ71" i="3"/>
  <c r="AZ67" i="3"/>
  <c r="AZ65" i="3"/>
  <c r="AZ38" i="3"/>
  <c r="AZ20" i="3"/>
  <c r="AZ5" i="3" s="1"/>
  <c r="E3" i="6" s="1"/>
  <c r="AZ170" i="3"/>
  <c r="AZ117" i="3"/>
  <c r="AZ246" i="3"/>
  <c r="AZ242" i="3"/>
  <c r="AZ220" i="3"/>
  <c r="AZ211" i="3"/>
  <c r="AZ480" i="3"/>
  <c r="AZ476" i="3"/>
  <c r="U39" i="40"/>
  <c r="AB39" i="40"/>
  <c r="AC26" i="37"/>
  <c r="W26" i="37"/>
  <c r="F27" i="6"/>
  <c r="F31" i="6" s="1"/>
  <c r="M8" i="1"/>
  <c r="G4" i="80"/>
  <c r="G1" i="80"/>
  <c r="AZ449" i="3"/>
  <c r="AZ445" i="3"/>
  <c r="H67" i="43"/>
  <c r="H59" i="43"/>
  <c r="H60" i="43"/>
  <c r="H61" i="43"/>
  <c r="AB17" i="39"/>
  <c r="U17" i="39"/>
  <c r="AR10" i="1"/>
  <c r="G109" i="43"/>
  <c r="N104" i="43"/>
  <c r="G103" i="43"/>
  <c r="K107" i="43"/>
  <c r="J103" i="43"/>
  <c r="N106" i="43"/>
  <c r="N103" i="43"/>
  <c r="T10" i="1"/>
  <c r="C4" i="4"/>
  <c r="E4" i="4"/>
  <c r="B5" i="62" s="1"/>
  <c r="B73" i="72" s="1"/>
  <c r="AB38" i="40"/>
  <c r="U38" i="40"/>
  <c r="U12" i="33"/>
  <c r="AB12" i="33"/>
  <c r="AA40" i="40"/>
  <c r="S40" i="40"/>
  <c r="AC25" i="37"/>
  <c r="W25" i="37"/>
  <c r="S39" i="37"/>
  <c r="AA39" i="37"/>
  <c r="AB39" i="37"/>
  <c r="U39" i="37"/>
  <c r="C53" i="15"/>
  <c r="C10" i="67"/>
  <c r="C53" i="67"/>
  <c r="L58" i="67"/>
  <c r="N59" i="67"/>
  <c r="L59" i="67" s="1"/>
  <c r="M59"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F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L56" i="67"/>
  <c r="J57" i="67"/>
  <c r="J55" i="67" s="1"/>
  <c r="J58" i="67" s="1"/>
  <c r="Q50" i="67" s="1"/>
  <c r="F71" i="67"/>
  <c r="Q71" i="67"/>
  <c r="F64" i="67"/>
  <c r="F65" i="67"/>
  <c r="F71" i="15"/>
  <c r="C27" i="15"/>
  <c r="Q71" i="15"/>
  <c r="F51" i="15"/>
  <c r="J57" i="15"/>
  <c r="J55" i="15" s="1"/>
  <c r="J58" i="15" s="1"/>
  <c r="Q50" i="15" s="1"/>
  <c r="F68" i="15"/>
  <c r="AP7" i="1"/>
  <c r="C36" i="69" s="1"/>
  <c r="M7" i="1"/>
  <c r="Q16" i="1"/>
  <c r="F27" i="69" s="1"/>
  <c r="H16" i="1"/>
  <c r="AB45" i="21"/>
  <c r="AC33" i="21"/>
  <c r="W33" i="21"/>
  <c r="S33" i="21"/>
  <c r="AA33" i="21"/>
  <c r="W32" i="21"/>
  <c r="AC32" i="21"/>
  <c r="AB9" i="21"/>
  <c r="U9" i="21"/>
  <c r="AA32" i="21"/>
  <c r="S32" i="21"/>
  <c r="W9" i="21"/>
  <c r="AC9" i="21"/>
  <c r="AB32" i="21"/>
  <c r="U32" i="21"/>
  <c r="AA10" i="21"/>
  <c r="S10" i="21"/>
  <c r="M17" i="15"/>
  <c r="F31" i="15"/>
  <c r="F59" i="67"/>
  <c r="M17" i="67"/>
  <c r="F59" i="15"/>
  <c r="F31" i="67"/>
  <c r="J15" i="67"/>
  <c r="M8" i="79"/>
  <c r="F13" i="79"/>
  <c r="M9" i="78"/>
  <c r="F8" i="67"/>
  <c r="C76" i="78"/>
  <c r="M6" i="15"/>
  <c r="F9" i="78"/>
  <c r="M27" i="79"/>
  <c r="F16" i="79"/>
  <c r="J15" i="79"/>
  <c r="M22" i="15"/>
  <c r="M22" i="78"/>
  <c r="M24" i="15"/>
  <c r="F9" i="15"/>
  <c r="F40" i="79"/>
  <c r="F37" i="79"/>
  <c r="F8" i="78"/>
  <c r="F7" i="79"/>
  <c r="M9" i="67"/>
  <c r="F38" i="15"/>
  <c r="M28" i="15"/>
  <c r="F16" i="78"/>
  <c r="M29" i="78"/>
  <c r="L48" i="79"/>
  <c r="F37" i="15"/>
  <c r="C16" i="15"/>
  <c r="F36" i="79"/>
  <c r="L48" i="78"/>
  <c r="F13" i="78"/>
  <c r="F26" i="67"/>
  <c r="M8" i="78"/>
  <c r="C76" i="79"/>
  <c r="M29" i="15"/>
  <c r="M22" i="79"/>
  <c r="L47" i="15"/>
  <c r="F38" i="78"/>
  <c r="L47" i="78"/>
  <c r="M29" i="79"/>
  <c r="F36" i="78"/>
  <c r="M8" i="15"/>
  <c r="M6" i="78"/>
  <c r="F42" i="79"/>
  <c r="F43" i="79"/>
  <c r="F40" i="78"/>
  <c r="F38" i="79"/>
  <c r="F37" i="78"/>
  <c r="F42" i="67"/>
  <c r="M26" i="79"/>
  <c r="F6" i="79"/>
  <c r="M23" i="78"/>
  <c r="F42" i="78"/>
  <c r="J15" i="15"/>
  <c r="F43" i="78"/>
  <c r="J15" i="78"/>
  <c r="M27" i="78"/>
  <c r="F7" i="15"/>
  <c r="M28" i="79"/>
  <c r="C16" i="67"/>
  <c r="L47" i="79"/>
  <c r="F36" i="15"/>
  <c r="M23" i="67"/>
  <c r="F38" i="67"/>
  <c r="F7" i="78"/>
  <c r="F8" i="79"/>
  <c r="F9" i="79"/>
  <c r="F26" i="78"/>
  <c r="M24" i="78"/>
  <c r="F26" i="79"/>
  <c r="M9" i="79"/>
  <c r="M28" i="67"/>
  <c r="F7" i="67"/>
  <c r="M23" i="79"/>
  <c r="F40" i="67"/>
  <c r="M6" i="79"/>
  <c r="M24" i="79"/>
  <c r="M26" i="78"/>
  <c r="M28" i="78"/>
  <c r="C24" i="82" l="1"/>
  <c r="C23" i="82"/>
  <c r="C11" i="39"/>
  <c r="J11" i="39" s="1"/>
  <c r="C11" i="40"/>
  <c r="N102" i="43"/>
  <c r="N109" i="43"/>
  <c r="N105" i="43"/>
  <c r="N107" i="43"/>
  <c r="J104" i="43"/>
  <c r="J107" i="43"/>
  <c r="J109" i="43"/>
  <c r="J102" i="43"/>
  <c r="J106" i="43"/>
  <c r="J105" i="43"/>
  <c r="E27" i="6"/>
  <c r="K103" i="43"/>
  <c r="K102" i="43"/>
  <c r="K105" i="43"/>
  <c r="K109" i="43"/>
  <c r="K104" i="43"/>
  <c r="K106" i="43"/>
  <c r="G105" i="43"/>
  <c r="G104" i="43"/>
  <c r="G106" i="43"/>
  <c r="G102" i="43"/>
  <c r="G107" i="43"/>
  <c r="F104" i="43"/>
  <c r="F107" i="43"/>
  <c r="F105" i="43"/>
  <c r="F109" i="43"/>
  <c r="F106" i="43"/>
  <c r="C104" i="43"/>
  <c r="C105" i="43"/>
  <c r="C102" i="43"/>
  <c r="D113" i="43"/>
  <c r="J22" i="43" s="1"/>
  <c r="F66" i="79"/>
  <c r="Q71" i="79"/>
  <c r="C27" i="79"/>
  <c r="C6" i="79"/>
  <c r="C5" i="79" s="1"/>
  <c r="F71" i="79"/>
  <c r="F65" i="79"/>
  <c r="F51" i="79"/>
  <c r="Q71" i="78"/>
  <c r="L57" i="78"/>
  <c r="L56" i="78"/>
  <c r="L60" i="78"/>
  <c r="J57" i="78"/>
  <c r="J55" i="78" s="1"/>
  <c r="J58" i="78" s="1"/>
  <c r="Q50" i="78" s="1"/>
  <c r="I54" i="78"/>
  <c r="J53" i="78"/>
  <c r="C27" i="78"/>
  <c r="F71" i="78"/>
  <c r="F51" i="78"/>
  <c r="F50" i="15"/>
  <c r="M7" i="15"/>
  <c r="J6" i="15" s="1"/>
  <c r="J10" i="15" s="1"/>
  <c r="F68" i="67"/>
  <c r="F70" i="67"/>
  <c r="F66" i="67"/>
  <c r="F51" i="67"/>
  <c r="M59" i="15"/>
  <c r="L58" i="15"/>
  <c r="Q73" i="15" s="1"/>
  <c r="N59" i="15"/>
  <c r="F65" i="15"/>
  <c r="M7" i="79"/>
  <c r="J6" i="79" s="1"/>
  <c r="J10" i="79" s="1"/>
  <c r="J5" i="79" s="1"/>
  <c r="F50" i="79"/>
  <c r="F64" i="79"/>
  <c r="L59" i="79"/>
  <c r="M59" i="79"/>
  <c r="N59" i="79"/>
  <c r="L58" i="79"/>
  <c r="F68" i="79"/>
  <c r="L60" i="79"/>
  <c r="L57" i="79"/>
  <c r="L56" i="79"/>
  <c r="J53" i="79"/>
  <c r="I54" i="79"/>
  <c r="J57" i="79"/>
  <c r="J55" i="79" s="1"/>
  <c r="J58" i="79" s="1"/>
  <c r="Q50" i="79" s="1"/>
  <c r="F66" i="78"/>
  <c r="N59" i="78"/>
  <c r="L59" i="78"/>
  <c r="M59" i="78"/>
  <c r="L58" i="78"/>
  <c r="M7" i="78"/>
  <c r="J6" i="78" s="1"/>
  <c r="J10" i="78" s="1"/>
  <c r="J5" i="78" s="1"/>
  <c r="F50" i="78"/>
  <c r="F64" i="78"/>
  <c r="F65" i="78"/>
  <c r="F68" i="78"/>
  <c r="F66" i="15"/>
  <c r="C27" i="67"/>
  <c r="F64" i="15"/>
  <c r="M7" i="67"/>
  <c r="J6" i="67" s="1"/>
  <c r="F50" i="67"/>
  <c r="H11" i="34"/>
  <c r="G2" i="80"/>
  <c r="AW18" i="3"/>
  <c r="AY6" i="3"/>
  <c r="AY87" i="3" s="1"/>
  <c r="G5" i="80"/>
  <c r="O7" i="1"/>
  <c r="S11" i="34"/>
  <c r="AA11" i="34"/>
  <c r="F24" i="78"/>
  <c r="F24" i="79"/>
  <c r="C24" i="78"/>
  <c r="S8" i="1"/>
  <c r="E8" i="70" s="1"/>
  <c r="K16" i="1"/>
  <c r="B29" i="1" s="1"/>
  <c r="C8" i="68" s="1"/>
  <c r="K4" i="4"/>
  <c r="B46" i="48" s="1"/>
  <c r="B4" i="72" s="1"/>
  <c r="B4" i="62"/>
  <c r="B71" i="72"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F10" i="40"/>
  <c r="AA10" i="40" s="1"/>
  <c r="H10" i="39"/>
  <c r="J10" i="39"/>
  <c r="C49" i="15"/>
  <c r="M16" i="1"/>
  <c r="N16" i="1" s="1"/>
  <c r="Q60" i="67"/>
  <c r="Q73" i="67"/>
  <c r="F27" i="11"/>
  <c r="Q61" i="67"/>
  <c r="Q74" i="67"/>
  <c r="F1" i="67"/>
  <c r="Q52" i="67"/>
  <c r="C14" i="78"/>
  <c r="C16" i="78"/>
  <c r="C17" i="78"/>
  <c r="C16" i="79"/>
  <c r="C17" i="79"/>
  <c r="C29" i="82" l="1"/>
  <c r="C23" i="43"/>
  <c r="C21" i="43" s="1"/>
  <c r="C29" i="43" s="1"/>
  <c r="S3" i="43"/>
  <c r="T3" i="43" s="1"/>
  <c r="V3" i="43" s="1"/>
  <c r="F11" i="39"/>
  <c r="S2" i="43"/>
  <c r="T2" i="43" s="1"/>
  <c r="V2" i="43" s="1"/>
  <c r="E66" i="39"/>
  <c r="C34" i="40"/>
  <c r="AY206" i="3"/>
  <c r="AY33" i="3"/>
  <c r="AY28" i="3"/>
  <c r="AY44" i="3"/>
  <c r="AY60" i="3"/>
  <c r="AY76" i="3"/>
  <c r="AY45" i="3"/>
  <c r="AY61" i="3"/>
  <c r="AY77" i="3"/>
  <c r="AY92" i="3"/>
  <c r="AY108" i="3"/>
  <c r="AY97" i="3"/>
  <c r="AY553" i="3"/>
  <c r="BE6" i="3"/>
  <c r="AY541" i="3"/>
  <c r="AY533" i="3"/>
  <c r="AY569" i="3"/>
  <c r="AY544" i="3"/>
  <c r="BK6" i="3"/>
  <c r="AY549" i="3"/>
  <c r="AY513" i="3"/>
  <c r="AY401" i="3"/>
  <c r="AY433" i="3"/>
  <c r="AY420" i="3"/>
  <c r="AY452" i="3"/>
  <c r="AY463" i="3"/>
  <c r="AY465" i="3"/>
  <c r="AY310" i="3"/>
  <c r="AY342" i="3"/>
  <c r="AY327" i="3"/>
  <c r="AY358" i="3"/>
  <c r="AY372" i="3"/>
  <c r="AY395" i="3"/>
  <c r="AY217" i="3"/>
  <c r="AY228" i="3"/>
  <c r="AY260" i="3"/>
  <c r="AY245" i="3"/>
  <c r="AY300" i="3"/>
  <c r="AY180" i="3"/>
  <c r="AY26" i="3"/>
  <c r="AY106" i="3"/>
  <c r="AY529" i="3"/>
  <c r="AY409" i="3"/>
  <c r="AY441" i="3"/>
  <c r="AY428" i="3"/>
  <c r="AY460" i="3"/>
  <c r="AY470" i="3"/>
  <c r="AY473" i="3"/>
  <c r="AY318" i="3"/>
  <c r="AY303" i="3"/>
  <c r="AY335" i="3"/>
  <c r="AY366" i="3"/>
  <c r="AY371" i="3"/>
  <c r="AY382"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S6" i="43"/>
  <c r="T6" i="43" s="1"/>
  <c r="V6" i="43" s="1"/>
  <c r="H11" i="39"/>
  <c r="F11" i="40"/>
  <c r="J11" i="40"/>
  <c r="H11" i="40"/>
  <c r="Q60" i="15"/>
  <c r="S7" i="43"/>
  <c r="T7" i="43" s="1"/>
  <c r="V7" i="43" s="1"/>
  <c r="S4" i="43"/>
  <c r="T4" i="43" s="1"/>
  <c r="V4" i="43" s="1"/>
  <c r="S5" i="43"/>
  <c r="T5" i="43" s="1"/>
  <c r="V5" i="43" s="1"/>
  <c r="K20" i="6"/>
  <c r="E31" i="6"/>
  <c r="K21" i="6"/>
  <c r="M21" i="6" s="1"/>
  <c r="I21" i="6" s="1"/>
  <c r="S21" i="6" s="1"/>
  <c r="K22" i="6"/>
  <c r="M22" i="6" s="1"/>
  <c r="I22" i="6" s="1"/>
  <c r="S22" i="6" s="1"/>
  <c r="K25" i="6"/>
  <c r="M25" i="6" s="1"/>
  <c r="I25" i="6" s="1"/>
  <c r="S25" i="6" s="1"/>
  <c r="K24" i="6"/>
  <c r="M24" i="6" s="1"/>
  <c r="I24" i="6" s="1"/>
  <c r="S24" i="6" s="1"/>
  <c r="K26" i="6"/>
  <c r="M26" i="6" s="1"/>
  <c r="I26" i="6" s="1"/>
  <c r="S26" i="6" s="1"/>
  <c r="K19" i="6"/>
  <c r="K23" i="6"/>
  <c r="M23" i="6" s="1"/>
  <c r="I23" i="6" s="1"/>
  <c r="S23" i="6" s="1"/>
  <c r="AA11" i="39"/>
  <c r="S11" i="39"/>
  <c r="AB11" i="39"/>
  <c r="U11" i="39"/>
  <c r="W11" i="39"/>
  <c r="AC11" i="39"/>
  <c r="C49" i="67"/>
  <c r="C18" i="78"/>
  <c r="C15" i="78"/>
  <c r="C24" i="9"/>
  <c r="Q73" i="78"/>
  <c r="Q60" i="78"/>
  <c r="Q74" i="78"/>
  <c r="Q61" i="78"/>
  <c r="Q57" i="79"/>
  <c r="Q66" i="79"/>
  <c r="Q73" i="79"/>
  <c r="Q60" i="79"/>
  <c r="J26" i="79"/>
  <c r="J18" i="79"/>
  <c r="J24" i="79"/>
  <c r="F1" i="78"/>
  <c r="Q52" i="78"/>
  <c r="C32" i="79"/>
  <c r="C38" i="79"/>
  <c r="C25" i="9"/>
  <c r="J18" i="78"/>
  <c r="J26" i="78"/>
  <c r="J24" i="78"/>
  <c r="F1" i="79"/>
  <c r="Q52" i="79"/>
  <c r="Q74" i="79"/>
  <c r="Q61" i="79"/>
  <c r="C49" i="79"/>
  <c r="C48" i="79" s="1"/>
  <c r="C49" i="78"/>
  <c r="C48" i="78" s="1"/>
  <c r="Q57" i="78"/>
  <c r="Q66" i="78"/>
  <c r="C24" i="79"/>
  <c r="AR8" i="1"/>
  <c r="T8" i="1"/>
  <c r="AQ8" i="1"/>
  <c r="Q61" i="15"/>
  <c r="E37" i="43"/>
  <c r="AA7" i="36"/>
  <c r="R36" i="36" s="1"/>
  <c r="E36" i="36" s="1"/>
  <c r="E40" i="36" s="1"/>
  <c r="F40" i="36" s="1"/>
  <c r="AC11" i="37"/>
  <c r="W11" i="37"/>
  <c r="AB7" i="37"/>
  <c r="T42" i="37" s="1"/>
  <c r="G42" i="37" s="1"/>
  <c r="G46" i="37" s="1"/>
  <c r="H46" i="37" s="1"/>
  <c r="W11" i="34"/>
  <c r="AC11" i="34"/>
  <c r="J5" i="67"/>
  <c r="J5" i="15"/>
  <c r="AB7" i="36"/>
  <c r="T36" i="36" s="1"/>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W10" i="39"/>
  <c r="AC10" i="39"/>
  <c r="U10" i="39"/>
  <c r="AB10" i="39"/>
  <c r="F50" i="11"/>
  <c r="F50" i="69"/>
  <c r="F50" i="68"/>
  <c r="C47" i="11"/>
  <c r="D45" i="11" s="1"/>
  <c r="C29" i="11"/>
  <c r="D27" i="11" s="1"/>
  <c r="C28" i="11"/>
  <c r="C27" i="11" s="1"/>
  <c r="L16" i="1"/>
  <c r="C14" i="79"/>
  <c r="C57" i="82" l="1"/>
  <c r="Q49" i="82"/>
  <c r="C36" i="82"/>
  <c r="J19" i="82"/>
  <c r="J14" i="82"/>
  <c r="C13" i="82"/>
  <c r="AB11" i="40"/>
  <c r="U11" i="40"/>
  <c r="AA11" i="40"/>
  <c r="S11" i="40"/>
  <c r="H34" i="40"/>
  <c r="J34" i="40"/>
  <c r="F34" i="40"/>
  <c r="W11" i="40"/>
  <c r="AC11" i="40"/>
  <c r="H26" i="6"/>
  <c r="H21" i="6"/>
  <c r="S6" i="1"/>
  <c r="M19" i="6"/>
  <c r="K27" i="6"/>
  <c r="S7" i="1"/>
  <c r="M20" i="6"/>
  <c r="I20" i="6" s="1"/>
  <c r="C19" i="78"/>
  <c r="C20" i="78" s="1"/>
  <c r="C26" i="78" s="1"/>
  <c r="C15" i="79"/>
  <c r="C18" i="79"/>
  <c r="C60" i="79"/>
  <c r="C66" i="79"/>
  <c r="C60" i="78"/>
  <c r="C66" i="78"/>
  <c r="AA7" i="34"/>
  <c r="R49" i="34" s="1"/>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23" i="12"/>
  <c r="M21" i="79"/>
  <c r="F35" i="79"/>
  <c r="E6" i="76"/>
  <c r="C17" i="15"/>
  <c r="J22" i="82" l="1"/>
  <c r="J13" i="82"/>
  <c r="J23" i="82" s="1"/>
  <c r="C64" i="82"/>
  <c r="C61" i="82"/>
  <c r="C75" i="82"/>
  <c r="Q70" i="82"/>
  <c r="C56" i="82"/>
  <c r="C65" i="82" s="1"/>
  <c r="C37" i="82"/>
  <c r="AC34" i="40"/>
  <c r="W34" i="40"/>
  <c r="AA34" i="40"/>
  <c r="S34" i="40"/>
  <c r="AB34" i="40"/>
  <c r="U34" i="40"/>
  <c r="E7" i="70"/>
  <c r="T7" i="1"/>
  <c r="AQ7" i="1"/>
  <c r="AR7" i="1"/>
  <c r="M27" i="6"/>
  <c r="I19" i="6"/>
  <c r="S20" i="6"/>
  <c r="H20" i="6"/>
  <c r="R20" i="6" s="1"/>
  <c r="R7" i="1" s="1"/>
  <c r="AQ6" i="1"/>
  <c r="E6" i="70"/>
  <c r="T6" i="1"/>
  <c r="AR6" i="1"/>
  <c r="C23" i="78"/>
  <c r="C29" i="78" s="1"/>
  <c r="C57" i="78" s="1"/>
  <c r="C19" i="79"/>
  <c r="C20" i="79" s="1"/>
  <c r="C26" i="79" s="1"/>
  <c r="C33" i="79"/>
  <c r="R50" i="34"/>
  <c r="C50" i="34" s="1"/>
  <c r="E49" i="34"/>
  <c r="E54" i="34" s="1"/>
  <c r="F54" i="34" s="1"/>
  <c r="F63" i="79"/>
  <c r="C62" i="79" s="1"/>
  <c r="C34" i="79"/>
  <c r="J20" i="79"/>
  <c r="C35" i="11"/>
  <c r="C33" i="11" s="1"/>
  <c r="C42" i="11" s="1"/>
  <c r="D31" i="6"/>
  <c r="I6" i="6"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M21" i="67"/>
  <c r="M21" i="78"/>
  <c r="F6" i="15"/>
  <c r="B6" i="76"/>
  <c r="F35" i="78"/>
  <c r="F35" i="67"/>
  <c r="S19" i="6" l="1"/>
  <c r="S27" i="6" s="1"/>
  <c r="H19" i="6"/>
  <c r="I27" i="6"/>
  <c r="C61" i="78"/>
  <c r="C64" i="78"/>
  <c r="C13" i="78"/>
  <c r="C56" i="78" s="1"/>
  <c r="C65" i="78" s="1"/>
  <c r="Q49" i="78"/>
  <c r="J59" i="78"/>
  <c r="J60" i="78" s="1"/>
  <c r="L46" i="78" s="1"/>
  <c r="J19" i="78"/>
  <c r="C36" i="78"/>
  <c r="J14" i="78"/>
  <c r="C31" i="79"/>
  <c r="C23" i="79"/>
  <c r="C29" i="79" s="1"/>
  <c r="C49" i="34"/>
  <c r="I54" i="34"/>
  <c r="J54" i="34" s="1"/>
  <c r="C6" i="15"/>
  <c r="E53" i="34"/>
  <c r="F53" i="34" s="1"/>
  <c r="J20" i="78"/>
  <c r="F63" i="78"/>
  <c r="C62" i="78" s="1"/>
  <c r="C34" i="78"/>
  <c r="I5" i="6"/>
  <c r="B2" i="76"/>
  <c r="B3" i="76" s="1"/>
  <c r="B3" i="43"/>
  <c r="C49" i="21"/>
  <c r="F63" i="67"/>
  <c r="C62" i="67" s="1"/>
  <c r="C34" i="67"/>
  <c r="J20" i="67"/>
  <c r="C24" i="68"/>
  <c r="C22" i="12"/>
  <c r="C30" i="12" s="1"/>
  <c r="C28" i="12" s="1"/>
  <c r="C33" i="68"/>
  <c r="I63" i="40"/>
  <c r="H65" i="40"/>
  <c r="C39" i="11"/>
  <c r="C43" i="11" s="1"/>
  <c r="C41" i="11" s="1"/>
  <c r="I70" i="39"/>
  <c r="R19" i="6" l="1"/>
  <c r="H27" i="6"/>
  <c r="J17" i="78"/>
  <c r="Q48" i="78"/>
  <c r="Q70" i="78"/>
  <c r="C59" i="78"/>
  <c r="C58" i="78" s="1"/>
  <c r="C67" i="78" s="1"/>
  <c r="J22" i="78"/>
  <c r="J13" i="78"/>
  <c r="J23" i="78" s="1"/>
  <c r="C75" i="78"/>
  <c r="C37" i="78"/>
  <c r="J59" i="79"/>
  <c r="J60" i="79" s="1"/>
  <c r="C36" i="79"/>
  <c r="J14" i="79"/>
  <c r="Q49" i="79"/>
  <c r="C57" i="79"/>
  <c r="J19" i="79"/>
  <c r="J17" i="79" s="1"/>
  <c r="C13" i="79"/>
  <c r="C10" i="15"/>
  <c r="C5" i="15" s="1"/>
  <c r="C27" i="12"/>
  <c r="C25" i="12" s="1"/>
  <c r="C32" i="12" s="1"/>
  <c r="B2" i="12" s="1"/>
  <c r="B3" i="12" s="1"/>
  <c r="C39" i="68"/>
  <c r="C43" i="68" s="1"/>
  <c r="C42" i="68"/>
  <c r="J63" i="40"/>
  <c r="I65" i="40"/>
  <c r="C46" i="11"/>
  <c r="C45" i="11" s="1"/>
  <c r="C49" i="11" s="1"/>
  <c r="C51" i="11" s="1"/>
  <c r="C52" i="11" s="1"/>
  <c r="B2" i="11" s="1"/>
  <c r="B3" i="11" s="1"/>
  <c r="J70" i="39"/>
  <c r="R27" i="6" l="1"/>
  <c r="R6" i="1"/>
  <c r="J16" i="78"/>
  <c r="J25" i="78" s="1"/>
  <c r="C75" i="79"/>
  <c r="C56" i="79"/>
  <c r="C65" i="79" s="1"/>
  <c r="Q70" i="79"/>
  <c r="C37" i="79"/>
  <c r="C30" i="79" s="1"/>
  <c r="C39" i="79" s="1"/>
  <c r="C61" i="79"/>
  <c r="C59" i="79" s="1"/>
  <c r="C64" i="79"/>
  <c r="J13" i="79"/>
  <c r="J23" i="79" s="1"/>
  <c r="J22" i="79"/>
  <c r="Q48" i="79"/>
  <c r="L46" i="79"/>
  <c r="C32" i="15"/>
  <c r="C38" i="15"/>
  <c r="C41" i="68"/>
  <c r="C46" i="68"/>
  <c r="C45" i="68" s="1"/>
  <c r="K63" i="40"/>
  <c r="J65" i="40"/>
  <c r="K70" i="39"/>
  <c r="C56" i="11"/>
  <c r="C57" i="11" s="1"/>
  <c r="M21" i="15"/>
  <c r="F35" i="15"/>
  <c r="M21" i="82"/>
  <c r="F35" i="82"/>
  <c r="F63" i="82" l="1"/>
  <c r="C62" i="82" s="1"/>
  <c r="C59" i="82" s="1"/>
  <c r="C58" i="82" s="1"/>
  <c r="C67" i="82" s="1"/>
  <c r="C34" i="82"/>
  <c r="C31" i="82" s="1"/>
  <c r="C30" i="82" s="1"/>
  <c r="C39" i="82" s="1"/>
  <c r="J20" i="82"/>
  <c r="J17" i="82" s="1"/>
  <c r="J16" i="82" s="1"/>
  <c r="J25" i="82" s="1"/>
  <c r="J20" i="15"/>
  <c r="C34" i="15"/>
  <c r="F63" i="15"/>
  <c r="C62" i="15" s="1"/>
  <c r="R16" i="1"/>
  <c r="J16" i="79"/>
  <c r="J25" i="79" s="1"/>
  <c r="Q69" i="79"/>
  <c r="Q68" i="79" s="1"/>
  <c r="C58" i="79"/>
  <c r="C67" i="79" s="1"/>
  <c r="C80" i="79"/>
  <c r="C79" i="79" s="1"/>
  <c r="C49" i="68"/>
  <c r="C51" i="68" s="1"/>
  <c r="L63" i="40"/>
  <c r="K65" i="40"/>
  <c r="L70" i="39"/>
  <c r="E2" i="70"/>
  <c r="C34" i="69"/>
  <c r="C17" i="67"/>
  <c r="L51" i="79"/>
  <c r="Q69" i="82" l="1"/>
  <c r="Q68" i="82" s="1"/>
  <c r="C80" i="82"/>
  <c r="C79" i="82" s="1"/>
  <c r="Q67" i="79"/>
  <c r="M63" i="40"/>
  <c r="L65" i="40"/>
  <c r="M70" i="39"/>
  <c r="C35" i="69"/>
  <c r="C38" i="69"/>
  <c r="D10" i="69"/>
  <c r="L51" i="82"/>
  <c r="Q67" i="82" l="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48" i="67"/>
  <c r="C60" i="67" s="1"/>
  <c r="C14" i="15"/>
  <c r="AE7" i="1"/>
  <c r="C59" i="67" l="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F41" i="79"/>
  <c r="F41" i="15"/>
  <c r="M27" i="15"/>
  <c r="F41" i="82"/>
  <c r="M27" i="67"/>
  <c r="F41" i="78"/>
  <c r="L51" i="15"/>
  <c r="J29" i="82" l="1"/>
  <c r="F69" i="82"/>
  <c r="C68" i="82" s="1"/>
  <c r="C40" i="82"/>
  <c r="C43" i="82" s="1"/>
  <c r="C71" i="82"/>
  <c r="Q67" i="15"/>
  <c r="J29" i="78"/>
  <c r="F69" i="78"/>
  <c r="C68" i="78" s="1"/>
  <c r="C71" i="78" s="1"/>
  <c r="J29" i="79"/>
  <c r="C40" i="79"/>
  <c r="F69" i="79"/>
  <c r="C68" i="79" s="1"/>
  <c r="C71" i="79" s="1"/>
  <c r="J26" i="15"/>
  <c r="J29" i="15" s="1"/>
  <c r="J26" i="67"/>
  <c r="J29" i="67" s="1"/>
  <c r="C58" i="15"/>
  <c r="C67" i="15" s="1"/>
  <c r="F69" i="15"/>
  <c r="C40" i="15"/>
  <c r="C43" i="15" s="1"/>
  <c r="L46" i="15"/>
  <c r="Q57" i="15"/>
  <c r="Q66" i="15"/>
  <c r="F69" i="67"/>
  <c r="C68" i="67" s="1"/>
  <c r="C71" i="67" s="1"/>
  <c r="Q47" i="82" l="1"/>
  <c r="Q53" i="82" s="1"/>
  <c r="C83" i="82"/>
  <c r="C82" i="82" s="1"/>
  <c r="Q65" i="82"/>
  <c r="Q75" i="82" s="1"/>
  <c r="C46" i="82"/>
  <c r="B2" i="82"/>
  <c r="B3" i="82" s="1"/>
  <c r="Q56" i="82"/>
  <c r="Q62" i="82" s="1"/>
  <c r="C43" i="79"/>
  <c r="C46" i="79"/>
  <c r="Q56" i="79"/>
  <c r="Q62" i="79" s="1"/>
  <c r="Q47" i="79"/>
  <c r="Q53" i="79" s="1"/>
  <c r="B2" i="79"/>
  <c r="B3" i="79" s="1"/>
  <c r="C83" i="79"/>
  <c r="C82" i="79" s="1"/>
  <c r="Q65" i="79"/>
  <c r="Q75" i="79" s="1"/>
  <c r="C68" i="15"/>
  <c r="C71" i="15" s="1"/>
  <c r="C83" i="15"/>
  <c r="C82" i="15" s="1"/>
  <c r="Q65" i="15"/>
  <c r="Q75" i="15" s="1"/>
  <c r="Q47" i="15"/>
  <c r="Q53" i="15" s="1"/>
  <c r="Q56" i="15"/>
  <c r="Q62" i="15" s="1"/>
  <c r="B2" i="15"/>
  <c r="B3" i="15" s="1"/>
  <c r="E2" i="69"/>
  <c r="AO6" i="1"/>
  <c r="AO8" i="1"/>
  <c r="B8" i="70" l="1"/>
  <c r="B6" i="70"/>
  <c r="C46" i="15"/>
  <c r="B2" i="69"/>
  <c r="B3" i="69" s="1"/>
  <c r="D2" i="36"/>
  <c r="D2" i="21"/>
  <c r="D2" i="35"/>
  <c r="D2" i="37"/>
  <c r="D2" i="33"/>
  <c r="F20" i="31"/>
  <c r="D2" i="34"/>
  <c r="E2" i="68"/>
  <c r="B20" i="31" l="1"/>
  <c r="B2" i="36"/>
  <c r="B3" i="36" s="1"/>
  <c r="B2" i="35"/>
  <c r="B3" i="35" s="1"/>
  <c r="B2" i="37"/>
  <c r="B3" i="37" s="1"/>
  <c r="B2" i="34"/>
  <c r="B3" i="34" s="1"/>
  <c r="B2" i="21"/>
  <c r="B3" i="21"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I2" i="80"/>
  <c r="G52" i="39"/>
  <c r="H52" i="39" s="1"/>
  <c r="G51" i="39"/>
  <c r="H51" i="39" s="1"/>
  <c r="I51" i="39"/>
  <c r="J51" i="39" s="1"/>
  <c r="W7" i="39"/>
  <c r="U7" i="39"/>
  <c r="AA7" i="39"/>
  <c r="R47" i="39" s="1"/>
  <c r="I4" i="80" l="1"/>
  <c r="I3" i="80"/>
  <c r="R48" i="39"/>
  <c r="E47" i="39"/>
  <c r="I5" i="80" l="1"/>
  <c r="C48" i="39"/>
  <c r="C47" i="39"/>
  <c r="E51" i="39"/>
  <c r="F51" i="39" s="1"/>
  <c r="E52" i="39"/>
  <c r="F52" i="39" s="1"/>
  <c r="I52" i="39"/>
  <c r="J52" i="39" s="1"/>
  <c r="F6" i="78"/>
  <c r="F6" i="67"/>
  <c r="C6" i="67" l="1"/>
  <c r="C5" i="67" s="1"/>
  <c r="C6" i="78"/>
  <c r="C10" i="78" s="1"/>
  <c r="C5" i="78" s="1"/>
  <c r="C33" i="78" s="1"/>
  <c r="B61" i="39"/>
  <c r="F61" i="39" s="1"/>
  <c r="B60" i="39"/>
  <c r="F60" i="39" s="1"/>
  <c r="B56" i="39"/>
  <c r="F56" i="39" s="1"/>
  <c r="B58" i="39"/>
  <c r="F58" i="39" s="1"/>
  <c r="B59" i="39"/>
  <c r="F59" i="39" s="1"/>
  <c r="B64" i="39"/>
  <c r="F64" i="39" s="1"/>
  <c r="B65" i="39"/>
  <c r="F65" i="39" s="1"/>
  <c r="B57" i="39"/>
  <c r="F57" i="39" s="1"/>
  <c r="B63" i="39"/>
  <c r="F63" i="39" s="1"/>
  <c r="B62" i="39"/>
  <c r="F62" i="39" s="1"/>
  <c r="C32" i="67" l="1"/>
  <c r="C31" i="67" s="1"/>
  <c r="C38" i="67"/>
  <c r="C32" i="78"/>
  <c r="C31" i="78" s="1"/>
  <c r="C38" i="78"/>
  <c r="F66" i="39"/>
  <c r="B2" i="39" s="1"/>
  <c r="C30" i="67" l="1"/>
  <c r="C39" i="67" s="1"/>
  <c r="Q69" i="67" s="1"/>
  <c r="Q68" i="67" s="1"/>
  <c r="C30" i="78"/>
  <c r="C39" i="78" s="1"/>
  <c r="C80" i="78" s="1"/>
  <c r="C79" i="78" s="1"/>
  <c r="B3" i="39"/>
  <c r="C40" i="67" l="1"/>
  <c r="C83" i="67" s="1"/>
  <c r="C82" i="67" s="1"/>
  <c r="C80" i="67"/>
  <c r="C79" i="67" s="1"/>
  <c r="L46" i="67"/>
  <c r="Q69" i="78"/>
  <c r="Q68" i="78" s="1"/>
  <c r="C40" i="78"/>
  <c r="Q65" i="78" s="1"/>
  <c r="Q75" i="78" s="1"/>
  <c r="C7" i="68"/>
  <c r="C5" i="68" s="1"/>
  <c r="L51" i="67"/>
  <c r="L51" i="78"/>
  <c r="D2" i="67" l="1"/>
  <c r="B2" i="67" s="1"/>
  <c r="Q67" i="67"/>
  <c r="L57" i="67"/>
  <c r="L60" i="67" s="1"/>
  <c r="Q57" i="67" s="1"/>
  <c r="Q56" i="67"/>
  <c r="C43" i="67"/>
  <c r="Q47" i="67"/>
  <c r="Q53" i="67" s="1"/>
  <c r="C45" i="67"/>
  <c r="C46" i="67" s="1"/>
  <c r="Q65" i="67"/>
  <c r="B3" i="67"/>
  <c r="Q47" i="78"/>
  <c r="Q53" i="78" s="1"/>
  <c r="Q67" i="78"/>
  <c r="B2" i="78"/>
  <c r="C43" i="78"/>
  <c r="C46" i="78"/>
  <c r="C83" i="78"/>
  <c r="C82" i="78" s="1"/>
  <c r="Q56" i="78"/>
  <c r="Q62" i="78" s="1"/>
  <c r="C23" i="68"/>
  <c r="C20" i="68"/>
  <c r="H112" i="9"/>
  <c r="D21" i="53" s="1"/>
  <c r="B39" i="72" s="1"/>
  <c r="H111" i="9"/>
  <c r="D126" i="9" s="1"/>
  <c r="D19" i="53"/>
  <c r="D59" i="9"/>
  <c r="M55" i="9"/>
  <c r="AO7" i="1"/>
  <c r="Q62" i="67" l="1"/>
  <c r="Q66" i="67"/>
  <c r="Q75" i="67" s="1"/>
  <c r="B7" i="70"/>
  <c r="B2" i="70" s="1"/>
  <c r="B3" i="78"/>
  <c r="C28" i="68"/>
  <c r="C27" i="68" s="1"/>
  <c r="C25" i="68"/>
  <c r="C22" i="68" s="1"/>
  <c r="B38" i="72"/>
  <c r="D20" i="53"/>
  <c r="B40" i="72" s="1"/>
  <c r="I14" i="74"/>
  <c r="B8" i="74" s="1"/>
  <c r="D127" i="9"/>
  <c r="D13" i="52" s="1"/>
  <c r="D12" i="52"/>
  <c r="D19" i="9"/>
  <c r="D102" i="9" l="1"/>
  <c r="D21" i="9"/>
  <c r="B3" i="70"/>
  <c r="C31" i="68"/>
  <c r="C52" i="68" s="1"/>
  <c r="D8" i="74"/>
  <c r="C8" i="74"/>
  <c r="H107" i="9"/>
  <c r="D20" i="9"/>
  <c r="D103" i="9" l="1"/>
  <c r="C57" i="68"/>
  <c r="C56" i="68" s="1"/>
  <c r="B2" i="68"/>
  <c r="D122" i="9"/>
  <c r="H108" i="9"/>
  <c r="D15" i="53" s="1"/>
  <c r="B31" i="72" s="1"/>
  <c r="D13" i="53"/>
  <c r="C19" i="9"/>
  <c r="C102" i="9" l="1"/>
  <c r="C21" i="9"/>
  <c r="G19" i="9"/>
  <c r="D22" i="9"/>
  <c r="B3" i="68"/>
  <c r="D14" i="53"/>
  <c r="B32" i="72" s="1"/>
  <c r="B30" i="72"/>
  <c r="G14" i="74"/>
  <c r="B6" i="74" s="1"/>
  <c r="D123" i="9"/>
  <c r="D9" i="52" s="1"/>
  <c r="D8" i="52"/>
  <c r="C20" i="9"/>
  <c r="D35" i="9"/>
  <c r="D34" i="9"/>
  <c r="C103" i="9" l="1"/>
  <c r="G20" i="9"/>
  <c r="G21" i="9"/>
  <c r="J20" i="9" s="1"/>
  <c r="C32" i="9"/>
  <c r="D6" i="74"/>
  <c r="C6" i="74"/>
  <c r="C35" i="9" l="1"/>
  <c r="F118" i="9" s="1"/>
  <c r="H118" i="9"/>
  <c r="C104" i="9" l="1"/>
  <c r="H101" i="9"/>
  <c r="H119" i="9"/>
  <c r="H5" i="52" s="1"/>
  <c r="H4" i="52"/>
  <c r="I118" i="9"/>
  <c r="D14" i="74"/>
  <c r="G118" i="9"/>
  <c r="G4" i="52" s="1"/>
  <c r="B52" i="72" s="1"/>
  <c r="F119" i="9"/>
  <c r="F5" i="52" s="1"/>
  <c r="B53" i="72" s="1"/>
  <c r="F4" i="52"/>
  <c r="B51" i="72" s="1"/>
  <c r="C34" i="9"/>
  <c r="D118" i="9" s="1"/>
  <c r="C105" i="9" l="1"/>
  <c r="I4" i="52"/>
  <c r="H102" i="9"/>
  <c r="D7" i="53" s="1"/>
  <c r="B21" i="72" s="1"/>
  <c r="E118" i="9"/>
  <c r="E4" i="52" s="1"/>
  <c r="B48" i="72" s="1"/>
  <c r="D119" i="9"/>
  <c r="D5" i="52" s="1"/>
  <c r="B49" i="72" s="1"/>
  <c r="D4" i="52"/>
  <c r="B47" i="72" s="1"/>
  <c r="B5" i="74"/>
  <c r="E14" i="74"/>
  <c r="F14" i="74"/>
  <c r="H109" i="9"/>
  <c r="M48" i="9"/>
  <c r="D45" i="9"/>
  <c r="D5" i="53"/>
  <c r="AD3" i="71"/>
  <c r="P21" i="43" s="1"/>
  <c r="B20" i="72" l="1"/>
  <c r="D6" i="53"/>
  <c r="B22" i="72" s="1"/>
  <c r="D5" i="74"/>
  <c r="C5" i="74"/>
  <c r="D53" i="9"/>
  <c r="C93" i="9"/>
  <c r="C86" i="9" s="1"/>
  <c r="C78" i="9"/>
  <c r="C73" i="9" s="1"/>
  <c r="C72" i="9"/>
  <c r="C64" i="9"/>
  <c r="C63" i="9" s="1"/>
  <c r="C67" i="9" s="1"/>
  <c r="C68" i="9" s="1"/>
  <c r="D54" i="9" s="1"/>
  <c r="D52" i="9"/>
  <c r="C85" i="9"/>
  <c r="D55" i="9"/>
  <c r="M53" i="9" s="1"/>
  <c r="D16" i="53"/>
  <c r="H110" i="9"/>
  <c r="D18" i="53" s="1"/>
  <c r="B35" i="72" s="1"/>
  <c r="D124" i="9"/>
  <c r="M49" i="9"/>
  <c r="P22" i="43"/>
  <c r="P23" i="43"/>
  <c r="B71" i="39" s="1"/>
  <c r="P24" i="43"/>
  <c r="B66" i="40" s="1"/>
  <c r="P25" i="43"/>
  <c r="C95" i="9" l="1"/>
  <c r="C96" i="9" s="1"/>
  <c r="E96" i="9" s="1"/>
  <c r="E97" i="9" s="1"/>
  <c r="H14" i="74"/>
  <c r="B7" i="74" s="1"/>
  <c r="D10" i="52"/>
  <c r="D125" i="9"/>
  <c r="D11" i="52" s="1"/>
  <c r="B34" i="72"/>
  <c r="D17" i="53"/>
  <c r="B36" i="72" s="1"/>
  <c r="L64" i="9"/>
  <c r="M64" i="9" s="1"/>
  <c r="L68" i="9"/>
  <c r="M68" i="9" s="1"/>
  <c r="L67" i="9"/>
  <c r="M67" i="9" s="1"/>
  <c r="L66" i="9"/>
  <c r="M66" i="9" s="1"/>
  <c r="L63" i="9"/>
  <c r="M63" i="9" s="1"/>
  <c r="L65" i="9"/>
  <c r="M65" i="9" s="1"/>
  <c r="C79" i="9"/>
  <c r="C97" i="9" l="1"/>
  <c r="D58" i="9" s="1"/>
  <c r="D56" i="9" s="1"/>
  <c r="M54" i="9" s="1"/>
  <c r="N57" i="9" s="1"/>
  <c r="N58" i="9" s="1"/>
  <c r="C80" i="9"/>
  <c r="E80" i="9" s="1"/>
  <c r="E81" i="9" s="1"/>
  <c r="C7" i="74"/>
  <c r="D7" i="74"/>
  <c r="M69" i="9"/>
  <c r="N69"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<sst xmlns="http://schemas.openxmlformats.org/spreadsheetml/2006/main" count="9141" uniqueCount="3316">
  <si>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</si>
  <si>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</si>
  <si>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</si>
  <si>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</si>
  <si>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</si>
  <si>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</si>
  <si>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</si>
  <si>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</si>
  <si>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</si>
  <si>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</si>
  <si>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</si>
  <si>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</si>
  <si>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</si>
  <si>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</si>
  <si>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</si>
  <si>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</si>
  <si>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</si>
  <si>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</si>
  <si>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</si>
  <si>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</si>
  <si>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</si>
  <si>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</si>
  <si>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</si>
  <si>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</si>
  <si>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</si>
  <si>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</si>
  <si>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</si>
  <si>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</si>
  <si>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</si>
  <si>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</si>
  <si>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</si>
  <si>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</si>
  <si>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</si>
  <si>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</si>
  <si>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</si>
  <si>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</si>
  <si>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</si>
  <si>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</si>
  <si>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</si>
  <si>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</si>
  <si>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</si>
  <si>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</si>
  <si>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</si>
  <si>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</si>
  <si>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</si>
  <si>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</si>
  <si>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</si>
  <si>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</si>
  <si>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</si>
  <si>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</si>
  <si>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</si>
  <si>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</si>
  <si>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</si>
  <si>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</si>
  <si>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</si>
  <si>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</si>
  <si>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</si>
  <si>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</si>
  <si>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</si>
  <si>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</si>
  <si>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</si>
  <si>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</si>
  <si>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</si>
  <si>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</si>
  <si>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</si>
  <si>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</si>
  <si>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</si>
  <si>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</si>
  <si>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</si>
  <si>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</si>
  <si>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</si>
  <si>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</si>
  <si>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</si>
  <si>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</si>
  <si>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</si>
  <si>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</si>
  <si>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</si>
  <si>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</si>
  <si>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</si>
  <si>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</si>
  <si>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</si>
  <si>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</si>
  <si>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</si>
  <si>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</si>
  <si>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</si>
  <si>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</si>
  <si>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</si>
  <si>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</si>
  <si>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</si>
  <si>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</si>
  <si>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</si>
  <si>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</si>
  <si>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</si>
  <si>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</si>
  <si>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</si>
  <si>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</si>
  <si>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</si>
  <si>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</si>
  <si>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</si>
  <si>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</si>
  <si>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</si>
  <si>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</si>
  <si>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</si>
  <si>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</si>
  <si>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</si>
  <si>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</si>
  <si>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</si>
  <si>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</si>
  <si>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</si>
  <si>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</si>
  <si>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</si>
  <si>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</si>
  <si>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</si>
  <si>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</si>
  <si>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</si>
  <si>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</si>
  <si>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</si>
  <si>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</si>
  <si>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</si>
  <si>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</si>
  <si>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</si>
  <si>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</si>
  <si>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</si>
  <si>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</si>
  <si>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</si>
  <si>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</si>
  <si>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</si>
  <si>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</si>
  <si>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</si>
  <si>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</si>
  <si>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</si>
  <si>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</si>
  <si>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</si>
  <si>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</si>
  <si>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</si>
  <si>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</si>
  <si>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</si>
  <si>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</si>
  <si>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</si>
  <si>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</si>
  <si>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</si>
  <si>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</si>
  <si>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</si>
  <si>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</si>
  <si>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</si>
  <si>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</si>
  <si>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</si>
  <si>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</si>
  <si>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</si>
  <si>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</si>
  <si>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</si>
  <si>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</si>
  <si>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</si>
  <si>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</si>
  <si>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</si>
  <si>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</si>
  <si>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</si>
  <si>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</si>
  <si>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</si>
  <si>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</si>
  <si>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</si>
  <si>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</si>
  <si>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</si>
  <si>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</si>
  <si>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</si>
  <si>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</si>
  <si>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</si>
  <si>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</si>
  <si>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</si>
  <si>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</si>
  <si>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</si>
  <si>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</si>
  <si>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</si>
  <si>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</si>
  <si>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</si>
  <si>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</si>
  <si>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</si>
  <si>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</si>
  <si>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</si>
  <si>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</si>
  <si>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</si>
  <si>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</si>
  <si>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</si>
  <si>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</si>
  <si>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</si>
  <si>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</si>
  <si>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</si>
  <si>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</si>
  <si>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</si>
  <si>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</si>
  <si>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</si>
  <si>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</si>
  <si>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</si>
  <si>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</si>
  <si>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</si>
  <si>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</si>
  <si>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</si>
  <si>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</si>
  <si>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</si>
  <si>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</si>
  <si>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</si>
  <si>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</si>
  <si>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</si>
  <si>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</si>
  <si>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</si>
  <si>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</si>
  <si>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</si>
  <si>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</si>
  <si>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</si>
  <si>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</si>
  <si>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</si>
  <si>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</si>
  <si>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</si>
  <si>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</si>
  <si>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</si>
  <si>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</si>
  <si>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</si>
  <si>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</si>
  <si>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</si>
  <si>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</si>
  <si>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</si>
  <si>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</si>
  <si>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</si>
  <si>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</si>
  <si>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</si>
  <si>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</si>
  <si>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</si>
  <si>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</si>
  <si>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</si>
  <si>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</si>
  <si>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</si>
  <si>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</si>
  <si>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</si>
  <si>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</si>
  <si>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</si>
  <si>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</si>
  <si>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</si>
  <si>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</si>
  <si>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</si>
  <si>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</si>
  <si>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</si>
  <si>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</si>
  <si>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</si>
  <si>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</si>
  <si>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</si>
  <si>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</si>
  <si>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</si>
  <si>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</si>
  <si>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</si>
  <si>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</si>
  <si>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</si>
  <si>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</si>
  <si>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</si>
  <si>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</si>
  <si>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</si>
  <si>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</si>
  <si>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</si>
  <si>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</si>
  <si>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</si>
  <si>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</si>
  <si>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</si>
  <si>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</si>
  <si>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</si>
  <si>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</si>
  <si>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</si>
  <si>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</si>
  <si>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</si>
  <si>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</si>
  <si>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</si>
  <si>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</si>
  <si>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</si>
  <si>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</si>
  <si>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</si>
  <si>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</si>
  <si>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</si>
  <si>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</si>
  <si>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</si>
  <si>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</si>
  <si>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</si>
  <si>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</si>
  <si>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</si>
  <si>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</si>
  <si>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</si>
  <si>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</si>
  <si>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</si>
  <si>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</si>
  <si>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</si>
  <si>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</si>
  <si>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</si>
  <si>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</si>
  <si>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</si>
  <si>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</si>
  <si>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</si>
  <si>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</si>
  <si>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</si>
  <si>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</si>
  <si>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</si>
  <si>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</si>
  <si>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</si>
  <si>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</si>
  <si>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</si>
  <si>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</si>
  <si>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</si>
  <si>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</si>
  <si>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</si>
  <si>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</si>
  <si>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</si>
  <si>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</si>
  <si>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</si>
  <si>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</si>
  <si>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</si>
  <si>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</si>
  <si>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</si>
  <si>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</si>
  <si>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</si>
  <si>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</si>
  <si>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</si>
  <si>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</si>
  <si>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</si>
  <si>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</si>
  <si>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</si>
  <si>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</si>
  <si>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</si>
  <si>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</si>
  <si>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</si>
  <si>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</si>
  <si>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</si>
  <si>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</si>
  <si>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</si>
  <si>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</si>
  <si>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</si>
  <si>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</si>
  <si>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</si>
  <si>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</si>
  <si>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</si>
  <si>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</si>
  <si>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</si>
  <si>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</si>
  <si>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</si>
  <si>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</si>
  <si>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</si>
  <si>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</si>
  <si>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</si>
  <si>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</si>
  <si>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</si>
  <si>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</si>
  <si>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</si>
  <si>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</si>
  <si>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</si>
  <si>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</si>
  <si>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</si>
  <si>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</si>
  <si>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</si>
  <si>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</si>
  <si>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</si>
  <si>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</si>
  <si>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</si>
  <si>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</si>
  <si>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</si>
  <si>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</si>
  <si>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</si>
  <si>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</si>
  <si>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</si>
  <si>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</si>
  <si>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</si>
  <si>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</si>
  <si>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</si>
  <si>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</si>
  <si>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</si>
  <si>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</si>
  <si>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</si>
  <si>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</si>
  <si>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</si>
  <si>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</si>
  <si>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</si>
  <si>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</si>
  <si>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</si>
  <si>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</si>
  <si>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</si>
  <si>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</si>
  <si>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</si>
  <si>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</si>
  <si>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</si>
  <si>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</si>
  <si>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</si>
  <si>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</si>
  <si>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</si>
  <si>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</si>
  <si>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</si>
  <si>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</si>
  <si>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</si>
  <si>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</si>
  <si>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</si>
  <si>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</si>
  <si>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</si>
  <si>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</si>
  <si>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</si>
  <si>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</si>
  <si>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</si>
  <si>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</si>
  <si>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</si>
  <si>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</si>
  <si>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</si>
  <si>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</si>
  <si>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</si>
  <si>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</si>
  <si>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</si>
  <si>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</si>
  <si>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</si>
  <si>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</si>
  <si>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</si>
  <si>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</si>
  <si>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</si>
  <si>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</si>
  <si>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</si>
  <si>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</si>
  <si>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</si>
  <si>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</si>
  <si>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</si>
  <si>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</si>
  <si>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</si>
  <si>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</si>
  <si>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</si>
  <si>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</si>
  <si>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</si>
  <si>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</si>
  <si>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</si>
  <si>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</si>
  <si>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</si>
  <si>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</si>
  <si>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</si>
  <si>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</si>
  <si>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</si>
  <si>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</si>
  <si>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</si>
  <si>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</si>
  <si>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</si>
  <si>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</si>
  <si>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</si>
  <si>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</si>
  <si>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</si>
  <si>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</si>
  <si>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</si>
  <si>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</si>
  <si>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</si>
  <si>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</si>
  <si>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</si>
  <si>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</si>
  <si>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</si>
  <si>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</si>
  <si>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</si>
  <si>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</si>
  <si>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</si>
  <si>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</si>
  <si>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</si>
  <si>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</si>
  <si>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</si>
  <si>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</si>
  <si>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</si>
  <si>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</si>
  <si>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</si>
  <si>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</si>
  <si>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</si>
  <si>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</si>
  <si>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</si>
  <si>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</si>
  <si>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</si>
  <si>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</si>
  <si>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</si>
  <si>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</si>
  <si>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</si>
  <si>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</si>
  <si>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</si>
  <si>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</si>
  <si>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</si>
  <si>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</si>
  <si>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</si>
  <si>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</si>
  <si>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</si>
  <si>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</si>
  <si>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</si>
  <si>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</si>
  <si>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</si>
  <si>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</si>
  <si>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</si>
  <si>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</si>
  <si>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</si>
  <si>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</si>
  <si>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</si>
  <si>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</si>
  <si>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</si>
  <si>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</si>
  <si>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</si>
  <si>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</si>
  <si>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</si>
  <si>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</si>
  <si>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</si>
  <si>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</si>
  <si>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</si>
  <si>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</si>
  <si>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</si>
  <si>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</si>
  <si>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</si>
  <si>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</si>
  <si>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</si>
  <si>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</si>
  <si>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</si>
  <si>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</si>
  <si>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</si>
  <si>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</si>
  <si>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</si>
  <si>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</si>
  <si>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</si>
  <si>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</si>
  <si>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</si>
  <si>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</si>
  <si>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</si>
  <si>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</si>
  <si>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</si>
  <si>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</si>
  <si>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</si>
  <si>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</si>
  <si>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</si>
  <si>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</si>
  <si>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</si>
  <si>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</si>
  <si>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</si>
  <si>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</si>
  <si>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</si>
  <si>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</si>
  <si>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</si>
  <si>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</si>
  <si>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</si>
  <si>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</si>
  <si>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</si>
  <si>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</si>
  <si>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</si>
  <si>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</si>
  <si>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</si>
  <si>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</si>
  <si>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</si>
  <si>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</si>
  <si>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</si>
  <si>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</si>
  <si>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</si>
  <si>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</si>
  <si>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</si>
  <si>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</si>
  <si>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</si>
  <si>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</si>
  <si>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</si>
  <si>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</si>
  <si>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</si>
  <si>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</si>
  <si>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</si>
  <si>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</si>
  <si>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</si>
  <si>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</si>
  <si>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</si>
  <si>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</si>
  <si>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</si>
  <si>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</si>
  <si>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</si>
  <si>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</si>
  <si>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</si>
  <si>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</si>
  <si>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</si>
  <si>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</si>
  <si>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</si>
  <si>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</si>
  <si>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</si>
  <si>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</si>
  <si>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</si>
  <si>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</si>
  <si>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</si>
  <si>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</si>
  <si>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</si>
  <si>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</si>
  <si>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</si>
  <si>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</si>
  <si>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</si>
  <si>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</si>
  <si>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</si>
  <si>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</si>
  <si>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</si>
  <si>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</si>
  <si>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</si>
  <si>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</si>
  <si>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</si>
  <si>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</si>
  <si>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</si>
  <si>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</si>
  <si>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</si>
  <si>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</si>
  <si>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</si>
  <si>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</si>
  <si>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</si>
  <si>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</si>
  <si>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</si>
  <si>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</si>
  <si>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</si>
  <si>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</si>
  <si>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</si>
  <si>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</si>
  <si>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</si>
  <si>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</si>
  <si>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</si>
  <si>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</si>
  <si>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</si>
  <si>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</si>
  <si>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</si>
  <si>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</si>
  <si>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</si>
  <si>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</si>
  <si>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</si>
  <si>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</si>
  <si>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</si>
  <si>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</si>
  <si>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</si>
  <si>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</si>
  <si>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</si>
  <si>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</si>
  <si>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</si>
  <si>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</si>
  <si>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</si>
  <si>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</si>
  <si>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</si>
  <si>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</si>
  <si>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</si>
  <si>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</si>
  <si>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</si>
  <si>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</si>
  <si>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</si>
  <si>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</si>
  <si>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</si>
  <si>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</si>
  <si>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</si>
  <si>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</si>
  <si>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</si>
  <si>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</si>
  <si>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</si>
  <si>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</si>
  <si>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</si>
  <si>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</si>
  <si>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</si>
  <si>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</si>
  <si>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</si>
  <si>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</si>
  <si>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</si>
  <si>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</si>
  <si>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</si>
  <si>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</si>
  <si>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</si>
  <si>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</si>
  <si>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</si>
  <si>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</si>
  <si>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</si>
  <si>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</si>
  <si>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</si>
  <si>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</si>
  <si>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</si>
  <si>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</si>
  <si>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</si>
  <si>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</si>
  <si>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</si>
  <si>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</si>
  <si>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</si>
  <si>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</si>
  <si>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</si>
  <si>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</si>
  <si>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</si>
  <si>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</si>
  <si>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</si>
  <si>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</si>
  <si>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</si>
  <si>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</si>
  <si>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</si>
  <si>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</si>
  <si>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</si>
  <si>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</si>
  <si>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</si>
  <si>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</si>
  <si>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</si>
  <si>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</si>
  <si>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</si>
  <si>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</si>
  <si>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</si>
  <si>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</si>
  <si>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</si>
  <si>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</si>
  <si>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</si>
  <si>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</si>
  <si>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</si>
  <si>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</si>
  <si>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</si>
  <si>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</si>
  <si>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</si>
  <si>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</si>
  <si>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</si>
  <si>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</si>
  <si>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</si>
  <si>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</si>
  <si>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</si>
  <si>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</si>
  <si>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</si>
  <si>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</si>
  <si>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</si>
  <si>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</si>
  <si>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</si>
  <si>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</si>
  <si>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</si>
  <si>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</si>
  <si>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</si>
  <si>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</si>
  <si>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</si>
  <si>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</si>
  <si>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</si>
  <si>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</si>
  <si>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</si>
  <si>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</si>
  <si>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</si>
  <si>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</si>
  <si>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</si>
  <si>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</si>
  <si>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</si>
  <si>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</si>
  <si>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</si>
  <si>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</si>
  <si>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</si>
  <si>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</si>
  <si>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</si>
  <si>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</si>
  <si>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</si>
  <si>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</si>
  <si>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</si>
  <si>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</si>
  <si>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</si>
  <si>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</si>
  <si>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</si>
  <si>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</si>
  <si>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</si>
  <si>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</si>
  <si>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</si>
  <si>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</si>
  <si>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</si>
  <si>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</si>
  <si>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</si>
  <si>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</si>
  <si>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</si>
  <si>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</si>
  <si>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</si>
  <si>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</si>
  <si>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</si>
  <si>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</si>
  <si>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</si>
  <si>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</si>
  <si>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</si>
  <si>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</si>
  <si>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</si>
  <si>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</si>
  <si>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</si>
  <si>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</si>
  <si>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</si>
  <si>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</si>
  <si>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</si>
  <si>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</si>
  <si>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</si>
  <si>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</si>
  <si>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</si>
  <si>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</si>
  <si>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</si>
  <si>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</si>
  <si>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</si>
  <si>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</si>
  <si>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</si>
  <si>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</si>
  <si>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</si>
  <si>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</si>
  <si>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</si>
  <si>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</si>
  <si>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</si>
  <si>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</si>
  <si>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</si>
  <si>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</si>
  <si>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</si>
  <si>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</si>
  <si>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</si>
  <si>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</si>
  <si>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</si>
  <si>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</si>
  <si>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</si>
  <si>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</si>
  <si>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</si>
  <si>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</si>
  <si>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</si>
  <si>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</si>
  <si>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</si>
  <si>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</si>
  <si>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</si>
  <si>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</si>
  <si>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</si>
  <si>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</si>
  <si>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</si>
  <si>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</si>
  <si>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</si>
  <si>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</si>
  <si>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</si>
  <si>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</si>
  <si>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</si>
  <si>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</si>
  <si>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</si>
  <si>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</si>
  <si>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</si>
  <si>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</si>
  <si>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</si>
  <si>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</si>
  <si>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</si>
  <si>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</si>
  <si>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</si>
  <si>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</si>
  <si>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</si>
  <si>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</si>
  <si>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</si>
  <si>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</si>
  <si>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</si>
  <si>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</si>
  <si>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</si>
  <si>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</si>
  <si>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</si>
  <si>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</si>
  <si>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</si>
  <si>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</si>
  <si>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</si>
  <si>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</si>
  <si>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</si>
  <si>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</si>
  <si>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</si>
  <si>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</si>
  <si>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</si>
  <si>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</si>
  <si>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</si>
  <si>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</si>
  <si>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</si>
  <si>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</si>
  <si>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</si>
  <si>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</si>
  <si>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</si>
  <si>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</si>
  <si>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</si>
  <si>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</si>
  <si>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</si>
  <si>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</si>
  <si>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</si>
  <si>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</si>
  <si>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</si>
  <si>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</si>
  <si>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</si>
  <si>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</si>
  <si>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</si>
  <si>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</si>
  <si>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</si>
  <si>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</si>
  <si>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</si>
  <si>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</si>
  <si>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</si>
  <si>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</si>
  <si>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</si>
  <si>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</si>
  <si>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</si>
  <si>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</si>
  <si>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</si>
  <si>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</si>
  <si>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</si>
  <si>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</si>
  <si>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</si>
  <si>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</si>
  <si>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</si>
  <si>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</si>
  <si>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</si>
  <si>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</si>
  <si>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</si>
  <si>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</si>
  <si>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</si>
  <si>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</si>
  <si>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</si>
  <si>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</si>
  <si>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</si>
  <si>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</si>
  <si>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</si>
  <si>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</si>
  <si>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</si>
  <si>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</si>
  <si>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</si>
  <si>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</si>
  <si>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</si>
  <si>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</si>
  <si>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</si>
  <si>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</si>
  <si>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</si>
  <si>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</si>
  <si>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</si>
  <si>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</si>
  <si>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</si>
  <si>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</si>
  <si>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</si>
  <si>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</si>
  <si>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</si>
  <si>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</si>
  <si>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</si>
  <si>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</si>
  <si>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</si>
  <si>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</si>
  <si>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</si>
  <si>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</si>
  <si>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</si>
  <si>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</si>
  <si>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</si>
  <si>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</si>
  <si>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</si>
  <si>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</si>
  <si>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</si>
  <si>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</si>
  <si>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</si>
  <si>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</si>
  <si>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</si>
  <si>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</si>
  <si>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</si>
  <si>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</si>
  <si>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</si>
  <si>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</si>
  <si>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</si>
  <si>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</si>
  <si>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</si>
  <si>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</si>
  <si>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</si>
  <si>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</si>
  <si>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</si>
  <si>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</si>
  <si>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</si>
  <si>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</si>
  <si>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</si>
  <si>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</si>
  <si>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</si>
  <si>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</si>
  <si>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</si>
  <si>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</si>
  <si>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</si>
  <si>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</si>
  <si>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</si>
  <si>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</si>
  <si>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</si>
  <si>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</si>
  <si>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</si>
  <si>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</si>
  <si>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</si>
  <si>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</si>
  <si>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</si>
  <si>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</si>
  <si>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</si>
  <si>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</si>
  <si>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</si>
  <si>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</si>
  <si>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</si>
  <si>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</si>
  <si>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</si>
  <si>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</si>
  <si>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</si>
  <si>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</si>
  <si>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</si>
  <si>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</si>
  <si>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</si>
  <si>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</si>
  <si>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</si>
  <si>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</si>
  <si>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</si>
  <si>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</si>
  <si>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</si>
  <si>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</si>
  <si>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</si>
  <si>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</si>
  <si>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</si>
  <si>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</si>
  <si>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</si>
  <si>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</si>
  <si>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</si>
  <si>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</si>
  <si>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</si>
  <si>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</si>
  <si>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</si>
  <si>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</si>
  <si>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</si>
  <si>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</si>
  <si>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</si>
  <si>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</si>
  <si>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</si>
  <si>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</si>
  <si>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</si>
  <si>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</si>
  <si>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</si>
  <si>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</si>
  <si>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</si>
  <si>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</si>
  <si>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</si>
  <si>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</si>
  <si>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</si>
  <si>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</si>
  <si>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</si>
  <si>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</si>
  <si>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</si>
  <si>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</si>
  <si>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</si>
  <si>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</si>
  <si>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</si>
  <si>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</si>
  <si>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</si>
  <si>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</si>
  <si>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</si>
  <si>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</si>
  <si>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</si>
  <si>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</si>
  <si>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</si>
  <si>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</si>
  <si>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</si>
  <si>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</si>
  <si>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</si>
  <si>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</si>
  <si>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</si>
  <si>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</si>
  <si>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</si>
  <si>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</si>
  <si>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</si>
  <si>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</si>
  <si>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</si>
  <si>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</si>
  <si>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</si>
  <si>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</si>
  <si>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</si>
  <si>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</si>
  <si>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</si>
  <si>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</si>
  <si>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</si>
  <si>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</si>
  <si>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</si>
  <si>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</si>
  <si>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</si>
  <si>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</si>
  <si>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</si>
  <si>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</si>
  <si>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</si>
  <si>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</si>
  <si>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</si>
  <si>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</si>
  <si>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</si>
  <si>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</si>
  <si>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</si>
  <si>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</si>
  <si>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</si>
  <si>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</si>
  <si>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</si>
  <si>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</si>
  <si>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</si>
  <si>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</si>
  <si>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</si>
  <si>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</si>
  <si>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</si>
  <si>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</si>
  <si>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</si>
  <si>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</si>
  <si>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</si>
  <si>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</si>
  <si>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</si>
  <si>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</si>
  <si>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</si>
  <si>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</si>
  <si>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</si>
  <si>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</si>
  <si>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</si>
  <si>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</si>
  <si>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</si>
  <si>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</si>
  <si>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</si>
  <si>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</si>
  <si>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</si>
  <si>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</si>
  <si>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</si>
  <si>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</si>
  <si>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</si>
  <si>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</si>
  <si>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</si>
  <si>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</si>
  <si>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</si>
  <si>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</si>
  <si>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</si>
  <si>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</si>
  <si>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</si>
  <si>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</si>
  <si>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</si>
  <si>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</si>
  <si>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</si>
  <si>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</si>
  <si>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</si>
  <si>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</si>
  <si>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</si>
  <si>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</si>
  <si>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</si>
  <si>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</si>
  <si>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</si>
  <si>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</si>
  <si>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</si>
  <si>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</si>
  <si>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</si>
  <si>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</si>
  <si>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</si>
  <si>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</si>
  <si>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</si>
  <si>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</si>
  <si>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</si>
  <si>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</si>
  <si>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</si>
  <si>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</si>
  <si>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</si>
  <si>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</si>
  <si>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</si>
  <si>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</si>
  <si>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</si>
  <si>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</si>
  <si>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</si>
  <si>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</si>
  <si>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</si>
  <si>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</si>
  <si>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</si>
  <si>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</si>
  <si>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</si>
  <si>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</si>
  <si>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</si>
  <si>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</si>
  <si>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</si>
  <si>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</si>
  <si>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</si>
  <si>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</si>
  <si>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</si>
  <si>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</si>
  <si>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</si>
  <si>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</si>
  <si>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</si>
  <si>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</si>
  <si>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</si>
  <si>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</si>
  <si>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</si>
  <si>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</si>
  <si>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</si>
  <si>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</si>
  <si>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</si>
  <si>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</si>
  <si>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</si>
  <si>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</si>
  <si>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</si>
  <si>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</si>
  <si>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</si>
  <si>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</si>
  <si>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</si>
  <si>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</si>
  <si>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</si>
  <si>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</si>
  <si>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</si>
  <si>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</si>
  <si>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</si>
  <si>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</si>
  <si>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</si>
  <si>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</si>
  <si>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</si>
  <si>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</si>
  <si>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</si>
  <si>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</si>
  <si>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</si>
  <si>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</si>
  <si>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</si>
  <si>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</si>
  <si>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</si>
  <si>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</si>
  <si>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</si>
  <si>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</si>
  <si>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</si>
  <si>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</si>
  <si>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</si>
  <si>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</si>
  <si>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</si>
  <si>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</si>
  <si>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</si>
  <si>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</si>
  <si>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</si>
  <si>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</si>
  <si>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</si>
  <si>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</si>
  <si>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</si>
  <si>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</si>
  <si>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</si>
  <si>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</si>
  <si>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</si>
  <si>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</si>
  <si>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</si>
  <si>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</si>
  <si>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</si>
  <si>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</si>
  <si>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</si>
  <si>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</si>
  <si>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</si>
  <si>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</si>
  <si>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</si>
  <si>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</si>
  <si>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</si>
  <si>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</si>
  <si>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</si>
  <si>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</si>
  <si>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</si>
  <si>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</si>
  <si>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</si>
  <si>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</si>
  <si>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</si>
  <si>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</si>
  <si>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</si>
  <si>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</si>
  <si>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</si>
  <si>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</si>
  <si>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</si>
  <si>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</si>
  <si>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</si>
  <si>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</si>
  <si>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</si>
  <si>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</si>
  <si>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</si>
  <si>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</si>
  <si>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</si>
  <si>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</si>
  <si>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</si>
  <si>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</si>
  <si>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</si>
  <si>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</si>
  <si>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</si>
  <si>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</si>
  <si>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</si>
  <si>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</si>
  <si>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</si>
  <si>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</si>
  <si>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</si>
  <si>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</si>
  <si>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</si>
  <si>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</si>
  <si>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</si>
  <si>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</si>
  <si>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</si>
  <si>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</si>
  <si>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</si>
  <si>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</si>
  <si>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</si>
  <si>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</si>
  <si>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</si>
  <si>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</si>
  <si>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</si>
  <si>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</si>
  <si>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</si>
  <si>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</si>
  <si>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</si>
  <si>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</si>
  <si>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</si>
  <si>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</si>
  <si>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</si>
  <si>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</si>
  <si>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</si>
  <si>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</si>
  <si>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</si>
  <si>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</si>
  <si>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</si>
  <si>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</si>
  <si>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</si>
  <si>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</si>
  <si>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</si>
  <si>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</si>
  <si>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</si>
  <si>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</si>
  <si>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</si>
  <si>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</si>
  <si>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</si>
  <si>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</si>
  <si>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</si>
  <si>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</si>
  <si>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</si>
  <si>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</si>
  <si>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</si>
  <si>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</si>
  <si>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</si>
  <si>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</si>
  <si>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</si>
  <si>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</si>
  <si>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</si>
  <si>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</si>
  <si>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</si>
  <si>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</si>
  <si>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</si>
  <si>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</si>
  <si>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</si>
  <si>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</si>
  <si>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</si>
  <si>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</si>
  <si>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</si>
  <si>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</si>
  <si>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</si>
  <si>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</si>
  <si>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</si>
  <si>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</si>
  <si>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</si>
  <si>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</si>
  <si>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</si>
  <si>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</si>
  <si>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</si>
  <si>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</si>
  <si>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</si>
  <si>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</si>
  <si>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</si>
  <si>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</si>
  <si>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</si>
  <si>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</si>
  <si>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</si>
  <si>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</si>
  <si>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</si>
  <si>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</si>
  <si>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</si>
  <si>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</si>
  <si>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</si>
  <si>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</si>
  <si>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</si>
  <si>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</si>
  <si>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</si>
  <si>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</si>
  <si>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</si>
  <si>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</si>
  <si>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</si>
  <si>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</si>
  <si>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</si>
  <si>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</si>
  <si>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</si>
  <si>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</si>
  <si>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</si>
  <si>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</si>
  <si>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</si>
  <si>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</si>
  <si>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</si>
  <si>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</si>
  <si>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</si>
  <si>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</si>
  <si>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</si>
  <si>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</si>
  <si>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</si>
  <si>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</si>
  <si>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</si>
  <si>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</si>
  <si>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</si>
  <si>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</si>
  <si>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</si>
  <si>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</si>
  <si>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</si>
  <si>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</si>
  <si>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</si>
  <si>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</si>
  <si>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</si>
  <si>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</si>
  <si>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</si>
  <si>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</si>
  <si>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</si>
  <si>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</si>
  <si>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</si>
  <si>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</si>
  <si>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</si>
  <si>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</si>
  <si>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</si>
  <si>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</si>
  <si>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</si>
  <si>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</si>
  <si>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</si>
  <si>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</si>
  <si>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</si>
  <si>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</si>
  <si>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</si>
  <si>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</si>
  <si>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</si>
  <si>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</si>
  <si>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</si>
  <si>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</si>
  <si>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</si>
  <si>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</si>
  <si>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</si>
  <si>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</si>
  <si>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</si>
  <si>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</si>
  <si>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</si>
  <si>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</si>
  <si>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</si>
  <si>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</si>
  <si>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</si>
  <si>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</si>
  <si>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</si>
  <si>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</si>
  <si>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</si>
  <si>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</si>
  <si>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</si>
  <si>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</si>
  <si>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</si>
  <si>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</si>
  <si>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</si>
  <si>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</si>
  <si>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</si>
  <si>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</si>
  <si>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</si>
  <si>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</si>
  <si>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</si>
  <si>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</si>
  <si>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</si>
  <si>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</si>
  <si>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</si>
  <si>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</si>
  <si>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</si>
  <si>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</si>
  <si>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</si>
  <si>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</si>
  <si>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</si>
  <si>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</si>
  <si>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</si>
  <si>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</si>
  <si>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</si>
  <si>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</si>
  <si>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</si>
  <si>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</si>
  <si>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</si>
  <si>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</si>
  <si>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</si>
  <si>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</si>
  <si>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</si>
  <si>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</si>
  <si>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</si>
  <si>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</si>
  <si>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</si>
  <si>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</si>
  <si>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</si>
  <si>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</si>
  <si>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</si>
  <si>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</si>
  <si>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</si>
  <si>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</si>
  <si>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</si>
  <si>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</si>
  <si>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</si>
  <si>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</si>
  <si>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</si>
  <si>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</si>
  <si>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</si>
  <si>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</si>
  <si>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</si>
  <si>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</si>
  <si>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</si>
  <si>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</si>
  <si>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</si>
  <si>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</si>
  <si>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</si>
  <si>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</si>
  <si>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</si>
  <si>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</si>
  <si>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</si>
  <si>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</si>
  <si>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</si>
  <si>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</si>
  <si>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</si>
  <si>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</si>
  <si>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</si>
  <si>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</si>
  <si>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</si>
  <si>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</si>
  <si>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</si>
  <si>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</si>
  <si>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</si>
  <si>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</si>
  <si>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</si>
  <si>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</si>
  <si>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</si>
  <si>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</si>
  <si>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</si>
  <si>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</si>
  <si>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</si>
  <si>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</si>
  <si>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</si>
  <si>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</si>
  <si>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</si>
  <si>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</si>
  <si>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</si>
  <si>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</si>
  <si>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</si>
  <si>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</si>
  <si>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</si>
  <si>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</si>
  <si>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</si>
  <si>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</si>
  <si>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</si>
  <si>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</si>
  <si>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</si>
  <si>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</si>
  <si>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</si>
  <si>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</si>
  <si>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</si>
  <si>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</si>
  <si>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</si>
  <si>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</si>
  <si>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</si>
  <si>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</si>
  <si>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</si>
  <si>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</si>
  <si>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</si>
  <si>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</si>
  <si>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</si>
  <si>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</si>
  <si>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</si>
  <si>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</si>
  <si>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</si>
  <si>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</si>
  <si>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</si>
  <si>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</si>
  <si>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</si>
  <si>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</si>
  <si>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</si>
  <si>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</si>
  <si>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</si>
  <si>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</si>
  <si>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</si>
  <si>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</si>
  <si>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</si>
  <si>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</si>
  <si>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</si>
  <si>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</si>
  <si>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</si>
  <si>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</si>
  <si>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</si>
  <si>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</si>
  <si>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</si>
  <si>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</si>
  <si>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</si>
  <si>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</si>
  <si>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</si>
  <si>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</si>
  <si>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</si>
  <si>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</si>
  <si>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</si>
  <si>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</si>
  <si>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</si>
  <si>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</si>
  <si>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</si>
  <si>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</si>
  <si>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</si>
  <si>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</si>
  <si>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</si>
  <si>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</si>
  <si>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</si>
  <si>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</si>
  <si>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</si>
  <si>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</si>
  <si>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</si>
  <si>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</si>
  <si>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</si>
  <si>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</si>
  <si>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</si>
  <si>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</si>
  <si>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</si>
  <si>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</si>
  <si>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</si>
  <si>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</si>
  <si>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</si>
  <si>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</si>
  <si>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</si>
  <si>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</si>
  <si>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</si>
  <si>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</si>
  <si>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</si>
  <si>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</si>
  <si>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</si>
  <si>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</si>
  <si>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</si>
  <si>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</si>
  <si>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</si>
  <si>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</si>
  <si>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</si>
  <si>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</si>
  <si>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</si>
  <si>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</si>
  <si>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</si>
  <si>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</si>
  <si>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</si>
  <si>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</si>
  <si>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</si>
  <si>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</si>
  <si>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</si>
  <si>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</si>
  <si>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</si>
  <si>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</si>
  <si>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</si>
  <si>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</si>
  <si>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</si>
  <si>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</si>
  <si>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</si>
  <si>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</si>
  <si>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</si>
  <si>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</si>
  <si>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</si>
  <si>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</si>
  <si>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</si>
  <si>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</si>
  <si>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</si>
  <si>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</si>
  <si>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</si>
  <si>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</si>
  <si>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</si>
  <si>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</si>
  <si>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</si>
  <si>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</si>
  <si>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</si>
  <si>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</si>
  <si>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</si>
  <si>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</si>
  <si>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</si>
  <si>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</si>
  <si>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</si>
  <si>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</si>
  <si>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</si>
  <si>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</si>
  <si>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</si>
  <si>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</si>
  <si>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</si>
  <si>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</si>
  <si>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</si>
  <si>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</si>
  <si>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</si>
  <si>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</si>
  <si>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</si>
  <si>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</si>
  <si>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</si>
  <si>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</si>
  <si>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</si>
  <si>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</si>
  <si>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</si>
  <si>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</si>
  <si>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</si>
  <si>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</si>
  <si>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</si>
  <si>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</si>
  <si>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</si>
  <si>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</si>
  <si>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</si>
  <si>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</si>
  <si>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</si>
  <si>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</si>
  <si>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</si>
  <si>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</si>
  <si>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</si>
  <si>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</si>
  <si>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</si>
  <si>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</si>
  <si>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</si>
  <si>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</si>
  <si>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</si>
  <si>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</si>
  <si>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</si>
  <si>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</si>
  <si>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</si>
  <si>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</si>
  <si>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</si>
  <si>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</si>
  <si>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</si>
  <si>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</si>
  <si>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</si>
  <si>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</si>
  <si>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</si>
  <si>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</si>
  <si>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</si>
  <si>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</si>
  <si>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</si>
  <si>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</si>
  <si>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</si>
  <si>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</si>
  <si>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</si>
  <si>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</si>
  <si>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</si>
  <si>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</si>
  <si>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</si>
  <si>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</si>
  <si>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</si>
  <si>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</si>
  <si>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</si>
  <si>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</si>
  <si>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</si>
  <si>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</si>
  <si>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</si>
  <si>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</si>
  <si>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</si>
  <si>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</si>
  <si>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</si>
  <si>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</si>
  <si>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</si>
  <si>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</si>
  <si>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</si>
  <si>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</si>
  <si>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</si>
  <si>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</si>
  <si>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</si>
  <si>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</si>
  <si>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</si>
  <si>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</si>
  <si>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</si>
  <si>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</si>
  <si>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</si>
  <si>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</si>
  <si>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</si>
  <si>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</si>
  <si>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</si>
  <si>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</si>
  <si>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</si>
  <si>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</si>
  <si>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</si>
  <si>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</si>
  <si>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</si>
  <si>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</si>
  <si>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</si>
  <si>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</si>
  <si>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</si>
  <si>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</si>
  <si>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</si>
  <si>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</si>
  <si>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</si>
  <si>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</si>
  <si>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</si>
  <si>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</si>
  <si>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</si>
  <si>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</si>
  <si>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</si>
  <si>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</si>
  <si>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</si>
  <si>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</si>
  <si>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</si>
  <si>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</si>
  <si>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</si>
  <si>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</si>
  <si>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</si>
  <si>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</si>
  <si>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</si>
  <si>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</si>
  <si>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</si>
  <si>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</si>
  <si>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</si>
  <si>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</si>
  <si>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</si>
  <si>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</si>
  <si>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</si>
  <si>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</si>
  <si>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</si>
  <si>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</si>
  <si>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</si>
  <si>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</si>
  <si>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</si>
  <si>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</si>
  <si>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</si>
  <si>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</si>
  <si>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</si>
  <si>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</si>
  <si>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</si>
  <si>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</si>
  <si>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</si>
  <si>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</si>
  <si>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</si>
  <si>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</si>
  <si>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</si>
  <si>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</si>
  <si>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</si>
  <si>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</si>
  <si>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</si>
  <si>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</si>
  <si>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</si>
  <si>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</si>
  <si>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</si>
  <si>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</si>
  <si>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</si>
  <si>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</si>
  <si>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</si>
  <si>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</si>
  <si>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</si>
  <si>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</si>
  <si>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</si>
  <si>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</si>
  <si>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</si>
  <si>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</si>
  <si>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</si>
  <si>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</si>
  <si>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</si>
  <si>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</si>
  <si>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</si>
  <si>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</si>
  <si>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</si>
  <si>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</si>
  <si>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</si>
  <si>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</si>
  <si>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</si>
  <si>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</si>
  <si>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</si>
  <si>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</si>
  <si>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</si>
  <si>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</si>
  <si>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</si>
  <si>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</si>
  <si>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</si>
  <si>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</si>
  <si>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</si>
  <si>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</si>
  <si>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</si>
  <si>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</si>
  <si>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</si>
  <si>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</si>
  <si>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</si>
  <si>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</si>
  <si>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</si>
  <si>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</si>
  <si>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</si>
  <si>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</si>
  <si>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</si>
  <si>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</si>
  <si>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</si>
  <si>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</si>
  <si>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</si>
  <si>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</si>
  <si>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</si>
  <si>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</si>
  <si>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</si>
  <si>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</si>
  <si>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</si>
  <si>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</si>
  <si>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</si>
  <si>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</si>
  <si>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</si>
  <si>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</si>
  <si>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</si>
  <si>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</si>
  <si>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</si>
  <si>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</si>
  <si>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</si>
  <si>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</si>
  <si>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</si>
  <si>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</si>
  <si>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</si>
  <si>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</si>
  <si>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</si>
  <si>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</si>
  <si>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</si>
  <si>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</si>
  <si>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</si>
  <si>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</si>
  <si>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</si>
  <si>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</si>
  <si>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</si>
  <si>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</si>
  <si>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</si>
  <si>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</si>
  <si>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</si>
  <si>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</si>
  <si>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</si>
  <si>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</si>
  <si>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</si>
  <si>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</si>
  <si>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</si>
  <si>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</si>
  <si>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</si>
  <si>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</si>
  <si>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</si>
  <si>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</si>
  <si>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</si>
  <si>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</si>
  <si>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</si>
  <si>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</si>
  <si>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</si>
  <si>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</si>
  <si>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</si>
  <si>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</si>
  <si>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</si>
  <si>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</si>
  <si>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</si>
  <si>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</si>
  <si>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</si>
  <si>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</si>
  <si>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</si>
  <si>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</si>
  <si>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</si>
  <si>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</si>
  <si>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</si>
  <si>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</si>
  <si>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</si>
  <si>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</si>
  <si>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</si>
  <si>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</si>
  <si>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</si>
  <si>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</si>
  <si>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</si>
  <si>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</si>
  <si>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</si>
  <si>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</si>
  <si>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</si>
  <si>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</si>
  <si>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</si>
  <si>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</si>
  <si>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</si>
  <si>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</si>
  <si>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</si>
  <si>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</si>
  <si>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</si>
  <si>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</si>
  <si>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</si>
  <si>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</si>
  <si>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</si>
  <si>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</si>
  <si>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</si>
  <si>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</si>
  <si>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</si>
  <si>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</si>
  <si>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</si>
  <si>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</si>
  <si>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</si>
  <si>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</si>
  <si>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</si>
  <si>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</si>
  <si>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</si>
  <si>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</si>
  <si>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</si>
  <si>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</si>
  <si>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</si>
  <si>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</si>
  <si>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</si>
  <si>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</si>
  <si>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</si>
  <si>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</si>
  <si>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</si>
  <si>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</si>
  <si>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</si>
  <si>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</si>
  <si>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</si>
  <si>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</si>
  <si>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</si>
  <si>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</si>
  <si>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</si>
  <si>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</si>
  <si>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</si>
  <si>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</si>
  <si>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</si>
  <si>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</si>
  <si>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</si>
  <si>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</si>
  <si>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</si>
  <si>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</si>
  <si>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</si>
  <si>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</si>
  <si>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</si>
  <si>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</si>
  <si>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</si>
  <si>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</si>
  <si>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</si>
  <si>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</si>
  <si>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</si>
  <si>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</si>
  <si>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</si>
  <si>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</si>
  <si>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</si>
  <si>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</si>
  <si>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</si>
  <si>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</si>
  <si>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</si>
  <si>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</si>
  <si>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</si>
  <si>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</si>
  <si>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</si>
  <si>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</si>
  <si>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</si>
  <si>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</si>
  <si>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</si>
  <si>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</si>
  <si>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</si>
  <si>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</si>
  <si>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</si>
  <si>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</si>
  <si>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</si>
  <si>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</si>
  <si>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</si>
  <si>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</si>
  <si>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</si>
  <si>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</si>
  <si>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</si>
  <si>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</si>
  <si>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</si>
  <si>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</si>
  <si>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</si>
  <si>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</si>
  <si>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</si>
  <si>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</si>
  <si>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</si>
  <si>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</si>
  <si>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</si>
  <si>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</si>
  <si>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</si>
  <si>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</si>
  <si>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</si>
  <si>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</si>
  <si>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</si>
  <si>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</si>
  <si>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</si>
  <si>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</si>
  <si>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</si>
  <si>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</si>
  <si>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</si>
  <si>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</si>
  <si>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</si>
  <si>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</si>
  <si>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</si>
  <si>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</si>
  <si>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</si>
  <si>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</si>
  <si>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</si>
  <si>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</si>
  <si>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</si>
  <si>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</si>
  <si>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</si>
  <si>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</si>
  <si>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</si>
  <si>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</si>
  <si>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</si>
  <si>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</si>
  <si>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</si>
  <si>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</si>
  <si>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</si>
  <si>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</si>
  <si>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</si>
  <si>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</si>
  <si>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</si>
  <si>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</si>
  <si>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</si>
  <si>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</si>
  <si>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</si>
  <si>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</si>
  <si>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</si>
  <si>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</si>
  <si>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</si>
  <si>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</si>
  <si>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</si>
  <si>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</si>
  <si>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</si>
  <si>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</si>
  <si>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</si>
  <si>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</si>
  <si>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</si>
  <si>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</si>
  <si>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</si>
  <si>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</si>
  <si>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</si>
  <si>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</si>
  <si>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</si>
  <si>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</si>
  <si>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</si>
  <si>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</si>
  <si>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</si>
  <si>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</si>
  <si>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</si>
  <si>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</si>
  <si>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</si>
  <si>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</si>
  <si>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</si>
  <si>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</si>
  <si>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</si>
  <si>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</si>
  <si>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</si>
  <si>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</si>
  <si>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</si>
  <si>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</si>
  <si>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</si>
  <si>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</si>
  <si>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</si>
  <si>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</si>
  <si>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</si>
  <si>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</si>
  <si>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</si>
  <si>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</si>
  <si>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</si>
  <si>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</si>
  <si>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</si>
  <si>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</si>
  <si>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</si>
  <si>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</si>
  <si>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</si>
  <si>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</si>
  <si>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</si>
  <si>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</si>
  <si>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</si>
  <si>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</si>
  <si>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</si>
  <si>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</si>
  <si>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</si>
  <si>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</si>
  <si>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</si>
  <si>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</si>
  <si>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</si>
  <si>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</si>
  <si>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</si>
  <si>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</si>
  <si>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</si>
  <si>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</si>
  <si>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</si>
  <si>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</si>
  <si>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</si>
  <si>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</si>
  <si>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</si>
  <si>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</si>
  <si>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</si>
  <si>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</si>
  <si>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</si>
  <si>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</si>
  <si>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</si>
  <si>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</si>
  <si>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</si>
  <si>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</si>
  <si>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</si>
  <si>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</si>
  <si>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</si>
  <si>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</si>
  <si>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</si>
  <si>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</si>
  <si>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</si>
  <si>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</si>
  <si>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</si>
  <si>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</si>
  <si>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</si>
  <si>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</si>
  <si>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</si>
  <si>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</si>
  <si>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</si>
  <si>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</si>
  <si>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</si>
  <si>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</si>
  <si>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</si>
  <si>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</si>
  <si>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</si>
  <si>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</si>
  <si>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</si>
  <si>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</si>
  <si>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</si>
  <si>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</si>
  <si>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</si>
  <si>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</si>
  <si>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</si>
  <si>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</si>
  <si>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</si>
  <si>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</si>
  <si>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</si>
  <si>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</si>
  <si>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</si>
  <si>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</si>
  <si>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</si>
  <si>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</si>
  <si>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</si>
  <si>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</si>
  <si>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</si>
  <si>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</si>
  <si>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</si>
  <si>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</si>
  <si>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</si>
  <si>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</si>
  <si>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</si>
  <si>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</si>
  <si>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</si>
  <si>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</si>
  <si>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</si>
  <si>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</si>
  <si>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</si>
  <si>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</si>
  <si>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</si>
  <si>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</si>
  <si>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</si>
  <si>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</si>
  <si>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</si>
  <si>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</si>
  <si>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</si>
  <si>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</si>
  <si>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</si>
  <si>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</si>
  <si>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</si>
  <si>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</si>
  <si>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</si>
  <si>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</si>
  <si>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</si>
  <si>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</si>
  <si>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</si>
  <si>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</si>
  <si>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</si>
  <si>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</si>
  <si>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</si>
  <si>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</si>
  <si>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</si>
  <si>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</si>
  <si>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</si>
  <si>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</si>
  <si>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</si>
  <si>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</si>
  <si>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</si>
  <si>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</si>
  <si>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</si>
  <si>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</si>
  <si>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</si>
  <si>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</si>
  <si>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</si>
  <si>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</si>
  <si>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</si>
  <si>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</si>
  <si>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</si>
  <si>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</si>
  <si>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</si>
  <si>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</si>
  <si>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</si>
  <si>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</si>
  <si>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</si>
  <si>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</si>
  <si>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</si>
  <si>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</si>
  <si>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</si>
  <si>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</si>
  <si>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</si>
  <si>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</si>
  <si>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</si>
  <si>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</si>
  <si>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</si>
  <si>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</si>
  <si>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</si>
  <si>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</si>
  <si>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</si>
  <si>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</si>
  <si>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</si>
  <si>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</si>
  <si>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</si>
  <si>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</si>
  <si>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</si>
  <si>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</si>
  <si>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</si>
  <si>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</si>
  <si>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</si>
  <si>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</si>
  <si>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</si>
  <si>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</si>
  <si>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</si>
  <si>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</si>
  <si>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</si>
  <si>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</si>
  <si>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</si>
  <si>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</si>
  <si>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</si>
  <si>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</si>
  <si>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</si>
  <si>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</si>
  <si>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</si>
  <si>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</si>
  <si>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</si>
  <si>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</si>
  <si>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</si>
  <si>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</si>
  <si>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</si>
  <si>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</si>
  <si>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</si>
  <si>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</si>
  <si>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</si>
  <si>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</si>
  <si>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</si>
  <si>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</si>
  <si>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</si>
  <si>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</si>
  <si>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</si>
  <si>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</si>
  <si>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</si>
  <si>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</si>
  <si>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</si>
  <si>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</si>
  <si>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</si>
  <si>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</si>
  <si>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</si>
  <si>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</si>
  <si>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</si>
  <si>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</si>
  <si>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</si>
  <si>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</si>
  <si>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</si>
  <si>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</si>
  <si>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</si>
  <si>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</si>
  <si>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</si>
  <si>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</si>
  <si>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</si>
  <si>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</si>
  <si>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</si>
  <si>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</si>
  <si>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</si>
  <si>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</si>
  <si>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</si>
  <si>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</si>
  <si>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</si>
  <si>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</si>
  <si>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</si>
  <si>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</si>
  <si>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</si>
  <si>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</si>
  <si>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</si>
  <si>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</si>
  <si>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</si>
  <si>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</si>
  <si>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</si>
  <si>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</si>
  <si>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</si>
  <si>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</si>
  <si>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</si>
  <si>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</si>
  <si>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</si>
  <si>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</si>
  <si>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</si>
  <si>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</si>
  <si>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</si>
  <si>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</si>
  <si>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</si>
  <si>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</si>
  <si>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</si>
  <si>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</si>
  <si>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</si>
  <si>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</si>
  <si>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</si>
  <si>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</si>
  <si>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</si>
  <si>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</si>
  <si>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</si>
  <si>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</si>
  <si>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</si>
  <si>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</si>
  <si>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</si>
  <si>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</si>
  <si>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</si>
  <si>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</si>
  <si>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</si>
  <si>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</si>
  <si>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</si>
  <si>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</si>
  <si>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</si>
  <si>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</si>
  <si>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</si>
  <si>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</si>
  <si>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</si>
  <si>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</si>
  <si>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</si>
  <si>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</si>
  <si>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</si>
  <si>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</si>
  <si>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</si>
  <si>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</si>
  <si>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</si>
  <si>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</si>
  <si>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</si>
  <si>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</si>
  <si>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</si>
  <si>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</si>
  <si>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</si>
  <si>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</si>
  <si>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</si>
  <si>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</si>
  <si>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</si>
  <si>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</si>
  <si>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</si>
  <si>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</si>
  <si>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</si>
  <si>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</si>
  <si>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</si>
  <si>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</si>
  <si>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</si>
  <si>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</si>
  <si>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</si>
  <si>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</si>
  <si>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</si>
  <si>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</si>
  <si>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</si>
  <si>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</si>
  <si>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</si>
  <si>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</si>
  <si>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</si>
  <si>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</si>
  <si>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</si>
  <si>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</si>
  <si>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</si>
  <si>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</si>
  <si>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</si>
  <si>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</si>
  <si>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</si>
  <si>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</si>
  <si>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</si>
  <si>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</si>
  <si>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</si>
  <si>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</si>
  <si>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</si>
  <si>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</si>
  <si>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</si>
  <si>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</si>
  <si>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</si>
  <si>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</si>
  <si>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</si>
  <si>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</si>
  <si>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</si>
  <si>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</si>
  <si>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</si>
  <si>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</si>
  <si>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</si>
  <si>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</si>
  <si>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</si>
  <si>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</si>
  <si>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</si>
  <si>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</si>
  <si>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</si>
  <si>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</si>
  <si>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</si>
  <si>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</si>
  <si>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</si>
  <si>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</si>
  <si>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</si>
  <si>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</si>
  <si>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</si>
  <si>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</si>
  <si>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</si>
  <si>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</si>
  <si>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</si>
  <si>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</si>
  <si>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</si>
  <si>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</si>
  <si>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</si>
  <si>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</si>
  <si>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</si>
  <si>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</si>
  <si>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</si>
  <si>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</si>
  <si>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</si>
  <si>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</si>
  <si>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</si>
  <si>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</si>
  <si>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</si>
  <si>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</si>
  <si>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</si>
  <si>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</si>
  <si>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</si>
  <si>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</si>
  <si>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</si>
  <si>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</si>
  <si>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</si>
  <si>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</si>
  <si>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</si>
  <si>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</si>
  <si>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</si>
  <si>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</si>
  <si>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</si>
  <si>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</si>
  <si>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</si>
  <si>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</si>
  <si>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</si>
  <si>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</si>
  <si>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</si>
  <si>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</si>
  <si>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</si>
  <si>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</si>
  <si>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</si>
  <si>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</si>
  <si>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</si>
  <si>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</si>
  <si>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</si>
  <si>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</si>
  <si>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</si>
  <si>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</si>
  <si>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</si>
  <si>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</si>
  <si>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</si>
  <si>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</si>
  <si>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</si>
  <si>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</si>
  <si>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</si>
  <si>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</si>
  <si>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</si>
  <si>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</si>
  <si>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</si>
  <si>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</si>
  <si>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</si>
  <si>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</si>
  <si>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</si>
  <si>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</si>
  <si>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</si>
  <si>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</si>
  <si>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</si>
  <si>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</si>
  <si>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</si>
  <si>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</si>
  <si>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</si>
  <si>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</si>
  <si>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</si>
  <si>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</si>
  <si>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</si>
  <si>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</si>
  <si>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</si>
  <si>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</si>
  <si>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</si>
  <si>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</si>
  <si>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</si>
  <si>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</si>
  <si>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</si>
  <si>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</si>
  <si>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</si>
  <si>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</si>
  <si>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</si>
  <si>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</si>
  <si>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</si>
  <si>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</si>
  <si>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</si>
  <si>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</si>
  <si>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</si>
  <si>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</si>
  <si>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</si>
  <si>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</si>
  <si>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</si>
  <si>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</si>
  <si>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</si>
  <si>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</si>
  <si>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</si>
  <si>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</si>
  <si>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</si>
  <si>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</si>
  <si>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</si>
  <si>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</si>
  <si>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</si>
  <si>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</si>
  <si>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</si>
  <si>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</si>
  <si>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</si>
  <si>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</si>
  <si>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</si>
  <si>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</si>
  <si>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</si>
  <si>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</si>
  <si>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</si>
  <si>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</si>
  <si>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</si>
  <si>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</si>
  <si>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</si>
  <si>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</si>
  <si>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</si>
  <si>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</si>
  <si>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</si>
  <si>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</si>
  <si>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</si>
  <si>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</si>
  <si>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</si>
  <si>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</si>
  <si>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</si>
  <si>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</si>
  <si>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</si>
  <si>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</si>
  <si>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</si>
  <si>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</si>
  <si>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</si>
  <si>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</si>
  <si>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</si>
  <si>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</si>
  <si>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</si>
  <si>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</si>
  <si>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</si>
  <si>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</si>
  <si>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</si>
  <si>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</si>
  <si>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</si>
  <si>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</si>
  <si>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</si>
  <si>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</si>
  <si>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</si>
  <si>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</si>
  <si>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</si>
  <si>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</si>
  <si>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</si>
  <si>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</si>
  <si>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</si>
  <si>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</si>
  <si>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</si>
  <si>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</si>
  <si>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</si>
  <si>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</si>
  <si>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</si>
  <si>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</si>
  <si>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</si>
  <si>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</si>
  <si>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</si>
  <si>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</si>
  <si>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</si>
  <si>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</si>
  <si>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</si>
  <si>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</si>
  <si>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</si>
  <si>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</si>
  <si>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</si>
  <si>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</si>
  <si>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</si>
  <si>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</si>
  <si>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</si>
  <si>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</si>
  <si>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</si>
  <si>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</si>
  <si>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</si>
  <si>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</si>
  <si>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</si>
  <si>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</si>
  <si>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</si>
  <si>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</si>
  <si>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</si>
  <si>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</si>
  <si>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</si>
  <si>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</si>
  <si>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</si>
  <si>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</si>
  <si>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</si>
  <si>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</si>
  <si>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</si>
  <si>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</si>
  <si>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</si>
  <si>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</si>
  <si>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</si>
  <si>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</si>
  <si>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</si>
  <si>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</si>
  <si>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</si>
  <si>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</si>
  <si>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</si>
  <si>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</si>
  <si>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</si>
  <si>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</si>
  <si>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</si>
  <si>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</si>
  <si>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</si>
  <si>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</si>
  <si>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</si>
  <si>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</si>
  <si>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</si>
  <si>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</si>
  <si>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</si>
  <si>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</si>
  <si>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</si>
  <si>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</si>
  <si>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</si>
  <si>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</si>
  <si>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</si>
  <si>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</si>
  <si>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</si>
  <si>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</si>
  <si>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</si>
  <si>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</si>
  <si>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</si>
  <si>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</si>
  <si>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</si>
  <si>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</si>
  <si>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</si>
  <si>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</si>
  <si>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</si>
  <si>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</si>
  <si>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</si>
  <si>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</si>
  <si>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</si>
  <si>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</si>
  <si>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</si>
  <si>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</si>
  <si>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</si>
  <si>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</si>
  <si>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</si>
  <si>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</si>
  <si>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</si>
  <si>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</si>
  <si>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</si>
  <si>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</si>
  <si>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</si>
  <si>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</si>
  <si>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</si>
  <si>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</si>
  <si>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</si>
  <si>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</si>
  <si>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</si>
  <si>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</si>
  <si>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</si>
  <si>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</si>
  <si>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</si>
  <si>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</si>
  <si>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</si>
  <si>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</si>
  <si>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</si>
  <si>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</si>
  <si>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</si>
  <si>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</si>
  <si>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</si>
  <si>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</si>
  <si>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</si>
  <si>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</si>
  <si>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</si>
  <si>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</si>
  <si>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</si>
  <si>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</si>
  <si>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</si>
  <si>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</si>
  <si>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</si>
  <si>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</si>
  <si>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</si>
  <si>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</si>
  <si>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</si>
  <si>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</si>
  <si>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</si>
  <si>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</si>
  <si>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</si>
  <si>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</si>
  <si>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</si>
  <si>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</si>
  <si>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</si>
  <si>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</si>
  <si>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</si>
  <si>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</si>
  <si>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</si>
  <si>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</si>
  <si>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</si>
  <si>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</si>
  <si>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</si>
  <si>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</si>
  <si>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</si>
  <si>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</si>
  <si>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</si>
  <si>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</si>
  <si>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</si>
  <si>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</si>
  <si>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</si>
  <si>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</si>
  <si>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</si>
  <si>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</si>
  <si>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</si>
  <si>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</si>
  <si>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</si>
  <si>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</si>
  <si>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</si>
  <si>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</si>
  <si>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</si>
  <si>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</si>
  <si>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</si>
  <si>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</si>
  <si>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</si>
  <si>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</si>
  <si>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</si>
  <si>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</si>
  <si>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</si>
  <si>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</si>
  <si>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</si>
  <si>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</si>
  <si>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</si>
  <si>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</si>
  <si>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</si>
  <si>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</si>
  <si>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</si>
  <si>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</si>
  <si>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</si>
  <si>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</si>
  <si>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</si>
  <si>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</si>
  <si>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</si>
  <si>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</si>
  <si>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</si>
  <si>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</si>
  <si>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</si>
  <si>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</si>
  <si>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</si>
  <si>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</si>
  <si>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</si>
  <si>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</si>
  <si>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</si>
  <si>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</si>
  <si>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</si>
  <si>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</si>
  <si>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</si>
  <si>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</si>
  <si>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</si>
  <si>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</si>
  <si>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</si>
  <si>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</si>
  <si>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</si>
  <si>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</si>
  <si>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</si>
  <si>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</si>
  <si>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</si>
  <si>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</si>
  <si>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</si>
  <si>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</si>
  <si>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</si>
  <si>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</si>
  <si>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</si>
  <si>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</si>
  <si>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</si>
  <si>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</si>
  <si>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</si>
  <si>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</si>
  <si>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</si>
  <si>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</si>
  <si>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</si>
  <si>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</si>
  <si>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</si>
  <si>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</si>
  <si>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</si>
  <si>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</si>
  <si>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</si>
  <si>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</si>
  <si>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</si>
  <si>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</si>
  <si>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</si>
  <si>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</si>
  <si>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</si>
  <si>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</si>
  <si>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</si>
  <si>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</si>
  <si>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</si>
  <si>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</si>
  <si>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</si>
  <si>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</si>
  <si>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</si>
  <si>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</si>
  <si>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</si>
  <si>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</si>
  <si>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</si>
  <si>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</si>
  <si>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</si>
  <si>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</si>
  <si>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</si>
  <si>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</si>
  <si>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</si>
  <si>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</si>
  <si>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</si>
  <si>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</si>
  <si>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</si>
  <si>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</si>
  <si>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</si>
  <si>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</si>
  <si>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</si>
  <si>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</si>
  <si>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</si>
  <si>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</si>
  <si>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</si>
  <si>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</si>
  <si>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</si>
  <si>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</si>
  <si>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</si>
  <si>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</si>
  <si>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</si>
  <si>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</si>
  <si>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</si>
  <si>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</si>
  <si>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</si>
  <si>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</si>
  <si>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</si>
  <si>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</si>
  <si>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</si>
  <si>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</si>
  <si>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</si>
  <si>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</si>
  <si>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</si>
  <si>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</si>
  <si>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</si>
  <si>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</si>
  <si>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</si>
  <si>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</si>
  <si>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</si>
  <si>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</si>
  <si>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</si>
  <si>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</si>
  <si>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</si>
  <si>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</si>
  <si>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</si>
  <si>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</si>
  <si>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</si>
  <si>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</si>
  <si>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</si>
  <si>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</si>
  <si>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</si>
  <si>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</si>
  <si>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</si>
  <si>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</si>
  <si>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</si>
  <si>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</si>
  <si>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</si>
  <si>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</si>
  <si>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</si>
  <si>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</si>
  <si>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</si>
  <si>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</si>
  <si>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</si>
  <si>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</si>
  <si>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</si>
  <si>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</si>
  <si>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</si>
  <si>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</si>
  <si>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</si>
  <si>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</si>
  <si>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</si>
  <si>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</si>
  <si>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</si>
  <si>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</si>
  <si>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</si>
  <si>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</si>
  <si>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</si>
  <si>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</si>
  <si>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</si>
  <si>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</si>
  <si>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</si>
  <si>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</si>
  <si>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</si>
  <si>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</si>
  <si>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</si>
  <si>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</si>
  <si>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</si>
  <si>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</si>
  <si>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</si>
  <si>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</si>
  <si>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</si>
  <si>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</si>
  <si>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</si>
  <si>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</si>
  <si>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</si>
  <si>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</si>
  <si>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</si>
  <si>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</si>
  <si>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</si>
  <si>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</si>
  <si>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</si>
  <si>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</si>
  <si>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</si>
  <si>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</si>
  <si>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</si>
  <si>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</si>
  <si>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</si>
  <si>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</si>
  <si>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</si>
  <si>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</si>
  <si>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</si>
  <si>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</si>
  <si>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</si>
  <si>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</si>
  <si>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</si>
  <si>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</si>
  <si>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</si>
  <si>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</si>
  <si>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</si>
  <si>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</si>
  <si>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</si>
  <si>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</si>
  <si>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</si>
  <si>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</si>
  <si>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</si>
  <si>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</si>
  <si>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</si>
  <si>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</si>
  <si>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</si>
  <si>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</si>
  <si>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</si>
  <si>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</si>
  <si>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</si>
  <si>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</si>
  <si>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</si>
  <si>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</si>
  <si>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</si>
  <si>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</si>
  <si>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</si>
  <si>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</si>
  <si>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</si>
  <si>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</si>
  <si>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</si>
  <si>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</si>
  <si>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</si>
  <si>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</si>
  <si>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</si>
  <si>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</si>
  <si>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</si>
  <si>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</si>
  <si>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</si>
  <si>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</si>
  <si>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</si>
  <si>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</si>
  <si>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</si>
  <si>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</si>
  <si>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</si>
  <si>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</si>
  <si>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</si>
  <si>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</si>
  <si>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</si>
  <si>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</si>
  <si>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</si>
  <si>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</si>
  <si>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</si>
  <si>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</si>
  <si>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</si>
  <si>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</si>
  <si>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</si>
  <si>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</si>
  <si>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</si>
  <si>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</si>
  <si>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</si>
  <si>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</si>
  <si>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</si>
  <si>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</si>
  <si>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</si>
  <si>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</si>
  <si>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</si>
  <si>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</si>
  <si>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</si>
  <si>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</si>
  <si>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</si>
  <si>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</si>
  <si>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</si>
  <si>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</si>
  <si>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</si>
  <si>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</si>
  <si>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</si>
  <si>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抵押</t>
  </si>
  <si>
    <t>房地产抵押价值</t>
  </si>
  <si>
    <t>已注销</t>
  </si>
  <si>
    <t>企业</t>
  </si>
  <si>
    <t>出让</t>
  </si>
  <si>
    <t>是</t>
  </si>
  <si>
    <t>否</t>
  </si>
  <si>
    <t>无</t>
  </si>
  <si>
    <t>现房</t>
  </si>
  <si>
    <t>通路</t>
  </si>
  <si>
    <t>通电</t>
  </si>
  <si>
    <t>通讯</t>
  </si>
  <si>
    <t>通上水</t>
  </si>
  <si>
    <t>通下水</t>
  </si>
  <si>
    <t>燃气</t>
  </si>
  <si>
    <t>成新度</t>
  </si>
  <si>
    <t>复印件</t>
  </si>
  <si>
    <t>地上</t>
  </si>
  <si>
    <t>车库</t>
  </si>
  <si>
    <t>收益法-办公</t>
    <phoneticPr fontId="16" type="noConversion"/>
  </si>
  <si>
    <t>收益法-商业</t>
    <phoneticPr fontId="16" type="noConversion"/>
  </si>
  <si>
    <t>收益法-车库</t>
    <phoneticPr fontId="16" type="noConversion"/>
  </si>
  <si>
    <t>较好</t>
  </si>
  <si>
    <t>好</t>
  </si>
  <si>
    <t>七通</t>
  </si>
  <si>
    <t>较好</t>
    <phoneticPr fontId="25" type="noConversion"/>
  </si>
  <si>
    <t>多面临街</t>
  </si>
  <si>
    <t>已包含在土地取得成本中</t>
  </si>
  <si>
    <t>未包含在土地购买价格中</t>
  </si>
  <si>
    <t>全部缴纳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</si>
  <si>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</si>
  <si>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</si>
  <si>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</si>
  <si>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</si>
  <si>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</si>
  <si>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</si>
  <si>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</si>
  <si>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</si>
  <si>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</si>
  <si>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</si>
  <si>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</si>
  <si>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</si>
  <si>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</si>
  <si>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</si>
  <si>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</si>
  <si>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</si>
  <si>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</si>
  <si>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</si>
  <si>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</si>
  <si>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</si>
  <si>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</si>
  <si>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</si>
  <si>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</si>
  <si>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</si>
  <si>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</si>
  <si>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</si>
  <si>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</si>
  <si>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</si>
  <si>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</si>
  <si>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</si>
  <si>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</si>
  <si>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</si>
  <si>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</si>
  <si>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</si>
  <si>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</si>
  <si>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</si>
  <si>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</si>
  <si>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</si>
  <si>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</si>
  <si>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</si>
  <si>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</si>
  <si>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</si>
  <si>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</si>
  <si>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</si>
  <si>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未开工</t>
  </si>
  <si>
    <t>已成交</t>
  </si>
  <si>
    <t>商业、办公</t>
    <phoneticPr fontId="31" type="noConversion"/>
  </si>
  <si>
    <t>无</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</si>
  <si>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</si>
  <si>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</si>
  <si>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</si>
  <si>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</si>
  <si>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</si>
  <si>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</si>
  <si>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</si>
  <si>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</si>
  <si>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</si>
  <si>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</si>
  <si>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六通</t>
  </si>
  <si>
    <t>五通</t>
  </si>
  <si>
    <t>四通</t>
  </si>
  <si>
    <t>三通</t>
  </si>
  <si>
    <t>一般</t>
  </si>
  <si>
    <t>较差</t>
  </si>
  <si>
    <t>差</t>
  </si>
  <si>
    <t>押一</t>
  </si>
  <si>
    <t>钢混</t>
  </si>
  <si>
    <t>非生产用房</t>
  </si>
  <si>
    <t>自定义</t>
  </si>
  <si>
    <t>成本法</t>
  </si>
  <si>
    <t>商业</t>
    <phoneticPr fontId="143" type="noConversion"/>
  </si>
  <si>
    <t>1层</t>
    <phoneticPr fontId="143" type="noConversion"/>
  </si>
  <si>
    <t>2层</t>
    <phoneticPr fontId="143" type="noConversion"/>
  </si>
  <si>
    <t>负1层</t>
    <phoneticPr fontId="143" type="noConversion"/>
  </si>
  <si>
    <t>391.97</t>
  </si>
  <si>
    <t>283.80</t>
  </si>
  <si>
    <t>347.53</t>
  </si>
  <si>
    <t>386.89</t>
  </si>
  <si>
    <t>809.78</t>
  </si>
  <si>
    <t>573.45</t>
  </si>
  <si>
    <t>600.68</t>
  </si>
  <si>
    <t>493.41</t>
  </si>
  <si>
    <t>521.19</t>
  </si>
  <si>
    <t>512.08</t>
  </si>
  <si>
    <t>1046.99</t>
  </si>
  <si>
    <t>897.99</t>
  </si>
  <si>
    <t>498.15</t>
  </si>
  <si>
    <t>193.09</t>
  </si>
  <si>
    <t>440.99</t>
  </si>
  <si>
    <t>36.90</t>
  </si>
  <si>
    <t>609.11</t>
  </si>
  <si>
    <t>595.32</t>
  </si>
  <si>
    <t>564.10</t>
  </si>
  <si>
    <t>1号楼</t>
    <phoneticPr fontId="143" type="noConversion"/>
  </si>
  <si>
    <t>2号楼</t>
    <phoneticPr fontId="143" type="noConversion"/>
  </si>
  <si>
    <t>3号楼</t>
    <phoneticPr fontId="143" type="noConversion"/>
  </si>
  <si>
    <t>4号楼</t>
    <phoneticPr fontId="143" type="noConversion"/>
  </si>
  <si>
    <t>地下室</t>
    <phoneticPr fontId="143" type="noConversion"/>
  </si>
  <si>
    <t xml:space="preserve"> </t>
    <phoneticPr fontId="143" type="noConversion"/>
  </si>
  <si>
    <t>合计</t>
    <phoneticPr fontId="143" type="noConversion"/>
  </si>
  <si>
    <t>一层</t>
    <phoneticPr fontId="143" type="noConversion"/>
  </si>
  <si>
    <t>二层</t>
    <phoneticPr fontId="143" type="noConversion"/>
  </si>
  <si>
    <t>负一层</t>
    <phoneticPr fontId="143" type="noConversion"/>
  </si>
  <si>
    <t>综合租金</t>
    <phoneticPr fontId="143" type="noConversion"/>
  </si>
  <si>
    <t>单位面积地价</t>
  </si>
  <si>
    <t>介绍租金</t>
    <phoneticPr fontId="143" type="noConversion"/>
  </si>
  <si>
    <t>市场租金</t>
    <phoneticPr fontId="143" type="noConversion"/>
  </si>
  <si>
    <t>丽泽路</t>
    <phoneticPr fontId="31" type="noConversion"/>
  </si>
  <si>
    <t>次干道</t>
    <phoneticPr fontId="31" type="noConversion"/>
  </si>
  <si>
    <t>四环</t>
    <phoneticPr fontId="31" type="noConversion"/>
  </si>
  <si>
    <t>高速公路</t>
    <phoneticPr fontId="31" type="noConversion"/>
  </si>
  <si>
    <t>城市快速路</t>
  </si>
  <si>
    <t>城市快速路</t>
    <phoneticPr fontId="31" type="noConversion"/>
  </si>
  <si>
    <t>城市主干道</t>
    <phoneticPr fontId="31" type="noConversion"/>
  </si>
  <si>
    <t>城市次干道</t>
  </si>
  <si>
    <t>城市次干道</t>
    <phoneticPr fontId="31" type="noConversion"/>
  </si>
  <si>
    <t>城市支路</t>
    <phoneticPr fontId="31" type="noConversion"/>
  </si>
  <si>
    <t>租金</t>
  </si>
  <si>
    <t>办公</t>
    <phoneticPr fontId="32" type="noConversion"/>
  </si>
  <si>
    <t>30-40（含）</t>
  </si>
  <si>
    <t>时代财富天地</t>
    <phoneticPr fontId="3" type="noConversion"/>
  </si>
  <si>
    <t>总部广场</t>
    <phoneticPr fontId="3" type="noConversion"/>
  </si>
  <si>
    <t>丰台万达广场</t>
    <phoneticPr fontId="3" type="noConversion"/>
  </si>
  <si>
    <t>四环</t>
    <phoneticPr fontId="32" type="noConversion"/>
  </si>
  <si>
    <t>次干道-丰科路</t>
    <phoneticPr fontId="32" type="noConversion"/>
  </si>
  <si>
    <t>次干道-中环西路</t>
    <phoneticPr fontId="32" type="noConversion"/>
  </si>
  <si>
    <t>高区</t>
    <phoneticPr fontId="32" type="noConversion"/>
  </si>
  <si>
    <t>中区</t>
  </si>
  <si>
    <t>中区</t>
    <phoneticPr fontId="32" type="noConversion"/>
  </si>
  <si>
    <t>低区</t>
  </si>
  <si>
    <t>低区</t>
    <phoneticPr fontId="32" type="noConversion"/>
  </si>
  <si>
    <t>20-30（含）</t>
  </si>
  <si>
    <t>建成年代</t>
    <phoneticPr fontId="32" type="noConversion"/>
  </si>
  <si>
    <t>甲级</t>
  </si>
  <si>
    <t>甲级</t>
    <phoneticPr fontId="32" type="noConversion"/>
  </si>
  <si>
    <t>塔楼</t>
  </si>
  <si>
    <t>塔楼</t>
    <phoneticPr fontId="32" type="noConversion"/>
  </si>
  <si>
    <t>专业</t>
  </si>
  <si>
    <t>专业</t>
    <phoneticPr fontId="32" type="noConversion"/>
  </si>
  <si>
    <t>标准</t>
  </si>
  <si>
    <t>标准</t>
    <phoneticPr fontId="32" type="noConversion"/>
  </si>
  <si>
    <t>精装</t>
  </si>
  <si>
    <t>精装</t>
    <phoneticPr fontId="32" type="noConversion"/>
  </si>
  <si>
    <t>普通装修</t>
  </si>
  <si>
    <t>普通装修</t>
    <phoneticPr fontId="32" type="noConversion"/>
  </si>
  <si>
    <t>简单装修</t>
    <phoneticPr fontId="32" type="noConversion"/>
  </si>
  <si>
    <t>毛坯</t>
    <phoneticPr fontId="32" type="noConversion"/>
  </si>
  <si>
    <t>钢混</t>
    <phoneticPr fontId="32" type="noConversion"/>
  </si>
  <si>
    <t>商业</t>
    <phoneticPr fontId="31" type="noConversion"/>
  </si>
  <si>
    <t>0-50</t>
    <phoneticPr fontId="31" type="noConversion"/>
  </si>
  <si>
    <t>50-100</t>
    <phoneticPr fontId="31" type="noConversion"/>
  </si>
  <si>
    <t>100-200</t>
    <phoneticPr fontId="31" type="noConversion"/>
  </si>
  <si>
    <t>200-500</t>
    <phoneticPr fontId="31" type="noConversion"/>
  </si>
  <si>
    <t>500-1000</t>
    <phoneticPr fontId="31" type="noConversion"/>
  </si>
  <si>
    <t>1000-5000</t>
    <phoneticPr fontId="31" type="noConversion"/>
  </si>
  <si>
    <t>较适宜</t>
    <phoneticPr fontId="31" type="noConversion"/>
  </si>
  <si>
    <t>可做餐饮</t>
  </si>
  <si>
    <t>可做餐饮</t>
    <phoneticPr fontId="31" type="noConversion"/>
  </si>
  <si>
    <t>不可做餐饮</t>
    <phoneticPr fontId="31" type="noConversion"/>
  </si>
  <si>
    <t>总部基地</t>
    <phoneticPr fontId="3" type="noConversion"/>
  </si>
  <si>
    <t>多面临街</t>
    <phoneticPr fontId="31" type="noConversion"/>
  </si>
  <si>
    <t>双面临街</t>
    <phoneticPr fontId="31" type="noConversion"/>
  </si>
  <si>
    <t>单面临街</t>
  </si>
  <si>
    <t>单面临街</t>
    <phoneticPr fontId="31" type="noConversion"/>
  </si>
  <si>
    <r>
      <t>1</t>
    </r>
    <r>
      <rPr>
        <sz val="11"/>
        <color indexed="8"/>
        <rFont val="宋体"/>
        <family val="3"/>
        <charset val="134"/>
      </rPr>
      <t>层</t>
    </r>
    <phoneticPr fontId="31" type="noConversion"/>
  </si>
  <si>
    <t>1层</t>
  </si>
  <si>
    <t>丰台万达</t>
    <phoneticPr fontId="31" type="noConversion"/>
  </si>
  <si>
    <t>按租金收入计税</t>
  </si>
  <si>
    <t>住宅</t>
  </si>
  <si>
    <t>毛坯</t>
  </si>
  <si>
    <t>300-500</t>
    <phoneticPr fontId="32" type="noConversion"/>
  </si>
  <si>
    <t>100-300</t>
    <phoneticPr fontId="32" type="noConversion"/>
  </si>
  <si>
    <t>500-1000</t>
    <phoneticPr fontId="32" type="noConversion"/>
  </si>
  <si>
    <t>0-100</t>
    <phoneticPr fontId="32" type="noConversion"/>
  </si>
  <si>
    <t>300-500</t>
    <phoneticPr fontId="32" type="noConversion"/>
  </si>
  <si>
    <t>1000-2000</t>
    <phoneticPr fontId="32" type="noConversion"/>
  </si>
  <si>
    <t>1000-2000</t>
    <phoneticPr fontId="32" type="noConversion"/>
  </si>
  <si>
    <t>0-100</t>
    <phoneticPr fontId="32" type="noConversion"/>
  </si>
  <si>
    <t>200-500</t>
    <phoneticPr fontId="31" type="noConversion"/>
  </si>
  <si>
    <t>200-500</t>
    <phoneticPr fontId="31" type="noConversion"/>
  </si>
  <si>
    <t>成本比率</t>
  </si>
  <si>
    <t>建筑物价值</t>
  </si>
  <si>
    <t>建筑面积</t>
  </si>
  <si>
    <t>分摊土地面积</t>
  </si>
  <si>
    <t>较好</t>
    <phoneticPr fontId="31" type="noConversion"/>
  </si>
  <si>
    <t>一般</t>
    <phoneticPr fontId="31" type="noConversion"/>
  </si>
  <si>
    <t>一般</t>
    <phoneticPr fontId="31" type="noConversion"/>
  </si>
  <si>
    <t>七通</t>
    <phoneticPr fontId="31" type="noConversion"/>
  </si>
  <si>
    <t>较好</t>
    <phoneticPr fontId="32" type="noConversion"/>
  </si>
  <si>
    <t>一般</t>
    <phoneticPr fontId="32" type="noConversion"/>
  </si>
  <si>
    <t>七通</t>
    <phoneticPr fontId="32" type="noConversion"/>
  </si>
  <si>
    <t>写字楼底商</t>
  </si>
  <si>
    <t>写字楼底商</t>
    <phoneticPr fontId="31" type="noConversion"/>
  </si>
  <si>
    <t>商场商铺</t>
    <phoneticPr fontId="31" type="noConversion"/>
  </si>
  <si>
    <t>商业街商铺</t>
    <phoneticPr fontId="31" type="noConversion"/>
  </si>
  <si>
    <t>住宅底商</t>
    <phoneticPr fontId="31" type="noConversion"/>
  </si>
  <si>
    <t>工业</t>
    <phoneticPr fontId="6" type="noConversion"/>
  </si>
  <si>
    <t>《不动产权证》</t>
    <phoneticPr fontId="6" type="noConversion"/>
  </si>
  <si>
    <r>
      <rPr>
        <sz val="12"/>
        <color theme="9" tint="-0.249977111117893"/>
        <rFont val="宋体"/>
        <family val="3"/>
        <charset val="134"/>
      </rPr>
      <t>《不动产权证》</t>
    </r>
    <r>
      <rPr>
        <sz val="12"/>
        <color theme="9" tint="-0.249977111117893"/>
        <rFont val="Arial"/>
        <family val="2"/>
      </rPr>
      <t/>
    </r>
    <phoneticPr fontId="6" type="noConversion"/>
  </si>
  <si>
    <t>建筑与土地面积依据相同</t>
  </si>
  <si>
    <t>《不动产权证书》</t>
  </si>
  <si>
    <t>工业项目</t>
  </si>
  <si>
    <t>标准厂房</t>
  </si>
  <si>
    <t>工业用房</t>
  </si>
  <si>
    <t>工业用房</t>
    <phoneticPr fontId="7" type="noConversion"/>
  </si>
  <si>
    <t>收益法-工业</t>
  </si>
  <si>
    <t>收益法-工业</t>
    <phoneticPr fontId="16" type="noConversion"/>
  </si>
  <si>
    <t>较好</t>
    <phoneticPr fontId="25" type="noConversion"/>
  </si>
  <si>
    <t>较好</t>
    <phoneticPr fontId="25" type="noConversion"/>
  </si>
  <si>
    <t>一般</t>
    <phoneticPr fontId="25" type="noConversion"/>
  </si>
  <si>
    <t>七通</t>
    <phoneticPr fontId="25" type="noConversion"/>
  </si>
  <si>
    <t>龙德道以南、春和路以东</t>
  </si>
  <si>
    <t>廊坊市</t>
  </si>
  <si>
    <t>工业用地</t>
  </si>
  <si>
    <t>安次区</t>
  </si>
  <si>
    <t>拍卖</t>
  </si>
  <si>
    <t>廊新土2017-7</t>
  </si>
  <si>
    <t>2017-12-07</t>
  </si>
  <si>
    <t>2017-12-27</t>
  </si>
  <si>
    <t>廊国告字[2017]13号-2</t>
  </si>
  <si>
    <t>廊坊市亿果机械有限公司</t>
  </si>
  <si>
    <t>50年</t>
  </si>
  <si>
    <t>春和路以西、龙德道以南</t>
  </si>
  <si>
    <t>廊新土2017-9</t>
  </si>
  <si>
    <t>廊国告字[2017]13号-4</t>
  </si>
  <si>
    <t>廊坊市纳新科技发展有限公司</t>
  </si>
  <si>
    <t>廊新土2017-8</t>
  </si>
  <si>
    <t>廊国告字[2017]13号-3</t>
  </si>
  <si>
    <t>工业</t>
    <phoneticPr fontId="31" type="noConversion"/>
  </si>
  <si>
    <t>50</t>
    <phoneticPr fontId="31" type="noConversion"/>
  </si>
  <si>
    <t>生产用房</t>
  </si>
  <si>
    <t>钢</t>
  </si>
  <si>
    <t>廊坊开发区梨花包装有限公司</t>
    <phoneticPr fontId="6" type="noConversion"/>
  </si>
  <si>
    <t>——</t>
    <phoneticPr fontId="6" type="noConversion"/>
  </si>
  <si>
    <t>其他：</t>
  </si>
  <si>
    <t>河北省</t>
    <phoneticPr fontId="6" type="noConversion"/>
  </si>
  <si>
    <t>廊坊开发区全兴路50号3幢、4幢工业用房</t>
    <phoneticPr fontId="6" type="noConversion"/>
  </si>
  <si>
    <t>一般</t>
    <phoneticPr fontId="25" type="noConversion"/>
  </si>
  <si>
    <t>支路</t>
    <phoneticPr fontId="25" type="noConversion"/>
  </si>
  <si>
    <t>非正常</t>
    <phoneticPr fontId="33" type="noConversion"/>
  </si>
  <si>
    <t>正常</t>
  </si>
  <si>
    <t>工业</t>
    <phoneticPr fontId="33" type="noConversion"/>
  </si>
  <si>
    <t>取得方式</t>
    <phoneticPr fontId="33" type="noConversion"/>
  </si>
  <si>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</si>
  <si>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</si>
  <si>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</si>
  <si>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</si>
  <si>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</si>
  <si>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</si>
  <si>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t>规则</t>
    <phoneticPr fontId="33" type="noConversion"/>
  </si>
  <si>
    <t>较规则</t>
    <phoneticPr fontId="33" type="noConversion"/>
  </si>
  <si>
    <t>较不规则</t>
    <phoneticPr fontId="33" type="noConversion"/>
  </si>
  <si>
    <t>不规则</t>
    <phoneticPr fontId="33" type="noConversion"/>
  </si>
  <si>
    <t>龙德道以南、春和路以东</t>
    <phoneticPr fontId="143" type="noConversion"/>
  </si>
  <si>
    <t>办公楼</t>
  </si>
  <si>
    <t>办公楼</t>
    <phoneticPr fontId="7" type="noConversion"/>
  </si>
  <si>
    <t>收益法-办公</t>
  </si>
  <si>
    <t>收益法-办公</t>
    <phoneticPr fontId="16" type="noConversion"/>
  </si>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</sst>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1" fontId="105" fillId="17" borderId="1" xfId="0" applyNumberFormat="1" applyFont="1" applyFill="1" applyBorder="1" applyAlignment="1" applyProtection="1">
      <alignment horizontal="center" vertical="center"/>
      <protection locked="0"/>
    </xf>
    <xf numFmtId="0" fontId="64" fillId="17" borderId="13" xfId="0"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7" borderId="23" xfId="0" applyFont="1" applyFill="1" applyBorder="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17" borderId="24" xfId="0" applyNumberFormat="1" applyFont="1" applyFill="1" applyBorder="1" applyAlignment="1" applyProtection="1">
      <alignment horizontal="center" vertical="center" wrapText="1"/>
      <protection locked="0"/>
    </xf>
    <xf numFmtId="0" fontId="225" fillId="17" borderId="24" xfId="0"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17" borderId="2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99" fillId="0" borderId="1" xfId="0" applyFont="1" applyBorder="1">
      <alignment vertical="center"/>
    </xf>
    <xf numFmtId="0" fontId="0" fillId="0" borderId="1" xfId="0" applyBorder="1">
      <alignment vertical="center"/>
    </xf>
    <xf numFmtId="0" fontId="0" fillId="17" borderId="1" xfId="0" applyFill="1" applyBorder="1">
      <alignment vertical="center"/>
    </xf>
    <xf numFmtId="0" fontId="99" fillId="5" borderId="1" xfId="0" applyFont="1" applyFill="1" applyBorder="1">
      <alignment vertical="center"/>
    </xf>
    <xf numFmtId="0" fontId="0" fillId="5" borderId="1" xfId="0" applyFill="1" applyBorder="1">
      <alignment vertical="center"/>
    </xf>
    <xf numFmtId="0" fontId="50" fillId="17" borderId="0" xfId="0" applyFont="1" applyFill="1" applyProtection="1">
      <alignment vertical="center"/>
      <protection locked="0"/>
    </xf>
    <xf numFmtId="0" fontId="99" fillId="0" borderId="15" xfId="0" applyFont="1" applyFill="1" applyBorder="1">
      <alignment vertical="center"/>
    </xf>
    <xf numFmtId="0" fontId="80" fillId="7" borderId="0" xfId="0" applyFont="1" applyFill="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54" fillId="0" borderId="54" xfId="0" applyNumberFormat="1" applyFont="1" applyFill="1" applyBorder="1" applyAlignment="1" applyProtection="1">
      <alignment horizontal="center" vertical="center" wrapText="1"/>
      <protection locked="0"/>
    </xf>
    <xf numFmtId="0" fontId="61" fillId="18" borderId="11" xfId="0" applyNumberFormat="1" applyFont="1" applyFill="1" applyBorder="1" applyAlignment="1" applyProtection="1">
      <alignment horizontal="center" vertical="center" wrapText="1"/>
      <protection locked="0"/>
    </xf>
    <xf numFmtId="0" fontId="137" fillId="0" borderId="74" xfId="0" applyNumberFormat="1" applyFont="1" applyFill="1" applyBorder="1" applyAlignment="1" applyProtection="1">
      <alignment horizontal="center" vertical="center" wrapText="1"/>
      <protection locked="0"/>
    </xf>
    <xf numFmtId="0" fontId="47" fillId="17" borderId="3"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61" fillId="18" borderId="3" xfId="0" applyNumberFormat="1" applyFont="1" applyFill="1" applyBorder="1" applyAlignment="1" applyProtection="1">
      <alignment horizontal="center" vertical="center" wrapText="1"/>
      <protection locked="0"/>
    </xf>
    <xf numFmtId="0" fontId="47" fillId="18" borderId="1" xfId="0" applyNumberFormat="1" applyFont="1" applyFill="1" applyBorder="1" applyAlignment="1" applyProtection="1">
      <alignment horizontal="center" vertical="center" wrapText="1"/>
      <protection locked="0"/>
    </xf>
    <xf numFmtId="0" fontId="47" fillId="18" borderId="78" xfId="0" applyNumberFormat="1" applyFont="1" applyFill="1" applyBorder="1" applyAlignment="1" applyProtection="1">
      <alignment horizontal="center" vertical="center" wrapText="1"/>
      <protection locked="0"/>
    </xf>
    <xf numFmtId="0" fontId="99" fillId="0" borderId="0" xfId="0" applyFont="1">
      <alignment vertical="center"/>
    </xf>
    <xf numFmtId="0" fontId="61" fillId="18" borderId="3" xfId="0" applyNumberFormat="1" applyFont="1" applyFill="1" applyBorder="1" applyAlignment="1" applyProtection="1">
      <alignment horizontal="center" vertical="center" wrapText="1"/>
    </xf>
    <xf numFmtId="181" fontId="47" fillId="17" borderId="1" xfId="0" applyNumberFormat="1" applyFont="1" applyFill="1" applyBorder="1" applyAlignment="1" applyProtection="1">
      <alignment vertical="center"/>
      <protection locked="0"/>
    </xf>
    <xf numFmtId="0" fontId="131" fillId="0" borderId="23" xfId="0" applyFont="1" applyBorder="1" applyAlignment="1" applyProtection="1">
      <alignment horizontal="center" vertical="center"/>
      <protection locked="0"/>
    </xf>
    <xf numFmtId="0" fontId="131" fillId="0" borderId="1" xfId="0" applyFont="1" applyFill="1" applyBorder="1" applyAlignment="1" applyProtection="1">
      <alignment horizontal="center" vertical="center"/>
      <protection locked="0"/>
    </xf>
    <xf numFmtId="0" fontId="54" fillId="8" borderId="37" xfId="0" applyNumberFormat="1" applyFont="1" applyFill="1" applyBorder="1" applyAlignment="1" applyProtection="1">
      <alignment horizontal="center" vertical="center" wrapText="1"/>
      <protection locked="0"/>
    </xf>
    <xf numFmtId="0" fontId="54" fillId="8" borderId="24" xfId="0" applyNumberFormat="1" applyFont="1" applyFill="1" applyBorder="1" applyAlignment="1" applyProtection="1">
      <alignment horizontal="center" vertical="center" wrapText="1"/>
    </xf>
    <xf numFmtId="0" fontId="54" fillId="8" borderId="5" xfId="0" applyNumberFormat="1" applyFont="1" applyFill="1" applyBorder="1" applyAlignment="1" applyProtection="1">
      <alignment horizontal="center" vertical="center" wrapText="1"/>
    </xf>
    <xf numFmtId="17" fontId="54" fillId="8" borderId="37"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186" fillId="17" borderId="0" xfId="0" applyFont="1" applyFill="1" applyBorder="1" applyAlignment="1" applyProtection="1">
      <alignment vertical="center"/>
      <protection locked="0"/>
    </xf>
    <xf numFmtId="0" fontId="167" fillId="7" borderId="151" xfId="0" applyFont="1" applyFill="1" applyBorder="1" applyAlignment="1" applyProtection="1">
      <alignment vertical="center" wrapText="1"/>
      <protection locked="0"/>
    </xf>
    <xf numFmtId="0" fontId="167" fillId="7" borderId="5" xfId="0" applyFont="1" applyFill="1" applyBorder="1" applyAlignment="1" applyProtection="1">
      <alignment vertical="center"/>
      <protection locked="0"/>
    </xf>
    <xf numFmtId="0" fontId="186" fillId="7" borderId="5" xfId="0" applyFont="1" applyFill="1" applyBorder="1" applyAlignment="1" applyProtection="1">
      <alignment vertical="center" wrapText="1"/>
      <protection locked="0"/>
    </xf>
    <xf numFmtId="0" fontId="186" fillId="7" borderId="54" xfId="0" applyFont="1" applyFill="1" applyBorder="1" applyAlignment="1" applyProtection="1">
      <alignment vertical="center" wrapText="1"/>
      <protection locked="0"/>
    </xf>
    <xf numFmtId="0" fontId="120" fillId="5" borderId="15" xfId="0"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47" fillId="17" borderId="67"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60" xfId="0" applyFont="1" applyFill="1" applyBorder="1" applyAlignment="1" applyProtection="1">
      <alignment vertical="center" wrapText="1"/>
      <protection locked="0"/>
    </xf>
    <xf numFmtId="10" fontId="47" fillId="11" borderId="53" xfId="0" applyNumberFormat="1" applyFont="1" applyFill="1" applyBorder="1" applyAlignment="1" applyProtection="1">
      <alignment horizontal="center" vertical="center"/>
      <protection locked="0"/>
    </xf>
    <xf numFmtId="0" fontId="56" fillId="11" borderId="24" xfId="1" applyNumberFormat="1" applyFont="1" applyFill="1" applyBorder="1" applyAlignment="1" applyProtection="1">
      <alignment horizontal="center" vertical="center"/>
      <protection locked="0"/>
    </xf>
    <xf numFmtId="0" fontId="106" fillId="11" borderId="24" xfId="0" applyFont="1" applyFill="1" applyBorder="1" applyAlignment="1" applyProtection="1">
      <alignment horizontal="center" vertical="center"/>
      <protection locked="0"/>
    </xf>
    <xf numFmtId="0" fontId="137" fillId="0" borderId="2" xfId="0" applyNumberFormat="1" applyFont="1" applyFill="1" applyBorder="1" applyAlignment="1" applyProtection="1">
      <alignment horizontal="center" vertical="center" wrapText="1"/>
      <protection locked="0"/>
    </xf>
    <xf numFmtId="0" fontId="137" fillId="11" borderId="46" xfId="0" applyFont="1" applyFill="1" applyBorder="1" applyAlignment="1" applyProtection="1">
      <alignment horizontal="center" vertical="center" wrapText="1"/>
      <protection locked="0"/>
    </xf>
    <xf numFmtId="0" fontId="99" fillId="0" borderId="0" xfId="0" applyFon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13</xdr:col>
      <xdr:colOff>198886</xdr:colOff>
      <xdr:row>29</xdr:row>
      <xdr:rowOff>18812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9114286" cy="1904762"/>
        </a:xfrm>
        <a:prstGeom prst="rect">
          <a:avLst/>
        </a:prstGeom>
      </xdr:spPr>
    </xdr:pic>
    <xdr:clientData/>
  </xdr:twoCellAnchor>
  <xdr:twoCellAnchor editAs="oneCell">
    <xdr:from>
      <xdr:col>0</xdr:col>
      <xdr:colOff>0</xdr:colOff>
      <xdr:row>29</xdr:row>
      <xdr:rowOff>0</xdr:rowOff>
    </xdr:from>
    <xdr:to>
      <xdr:col>13</xdr:col>
      <xdr:colOff>256029</xdr:colOff>
      <xdr:row>40</xdr:row>
      <xdr:rowOff>95003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171429" cy="1980953"/>
        </a:xfrm>
        <a:prstGeom prst="rect">
          <a:avLst/>
        </a:prstGeom>
      </xdr:spPr>
    </xdr:pic>
    <xdr:clientData/>
  </xdr:twoCellAnchor>
  <xdr:twoCellAnchor editAs="oneCell">
    <xdr:from>
      <xdr:col>0</xdr:col>
      <xdr:colOff>0</xdr:colOff>
      <xdr:row>41</xdr:row>
      <xdr:rowOff>0</xdr:rowOff>
    </xdr:from>
    <xdr:to>
      <xdr:col>13</xdr:col>
      <xdr:colOff>75077</xdr:colOff>
      <xdr:row>52</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8990477" cy="1914286"/>
        </a:xfrm>
        <a:prstGeom prst="rect">
          <a:avLst/>
        </a:prstGeom>
      </xdr:spPr>
    </xdr:pic>
    <xdr:clientData/>
  </xdr:twoCellAnchor>
  <xdr:twoCellAnchor editAs="oneCell">
    <xdr:from>
      <xdr:col>0</xdr:col>
      <xdr:colOff>0</xdr:colOff>
      <xdr:row>53</xdr:row>
      <xdr:rowOff>0</xdr:rowOff>
    </xdr:from>
    <xdr:to>
      <xdr:col>13</xdr:col>
      <xdr:colOff>341743</xdr:colOff>
      <xdr:row>73</xdr:row>
      <xdr:rowOff>113857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257143" cy="3542857"/>
        </a:xfrm>
        <a:prstGeom prst="rect">
          <a:avLst/>
        </a:prstGeom>
      </xdr:spPr>
    </xdr:pic>
    <xdr:clientData/>
  </xdr:twoCellAnchor>
  <xdr:twoCellAnchor editAs="oneCell">
    <xdr:from>
      <xdr:col>0</xdr:col>
      <xdr:colOff>0</xdr:colOff>
      <xdr:row>74</xdr:row>
      <xdr:rowOff>0</xdr:rowOff>
    </xdr:from>
    <xdr:to>
      <xdr:col>12</xdr:col>
      <xdr:colOff>265639</xdr:colOff>
      <xdr:row>102</xdr:row>
      <xdr:rowOff>75591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8495239" cy="4876191"/>
        </a:xfrm>
        <a:prstGeom prst="rect">
          <a:avLst/>
        </a:prstGeom>
      </xdr:spPr>
    </xdr:pic>
    <xdr:clientData/>
  </xdr:twoCellAnchor>
  <xdr:twoCellAnchor editAs="oneCell">
    <xdr:from>
      <xdr:col>0</xdr:col>
      <xdr:colOff>0</xdr:colOff>
      <xdr:row>103</xdr:row>
      <xdr:rowOff>0</xdr:rowOff>
    </xdr:from>
    <xdr:to>
      <xdr:col>12</xdr:col>
      <xdr:colOff>227543</xdr:colOff>
      <xdr:row>130</xdr:row>
      <xdr:rowOff>142279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659350"/>
          <a:ext cx="8457143" cy="4771429"/>
        </a:xfrm>
        <a:prstGeom prst="rect">
          <a:avLst/>
        </a:prstGeom>
      </xdr:spPr>
    </xdr:pic>
    <xdr:clientData/>
  </xdr:twoCellAnchor>
  <xdr:twoCellAnchor editAs="oneCell">
    <xdr:from>
      <xdr:col>0</xdr:col>
      <xdr:colOff>0</xdr:colOff>
      <xdr:row>131</xdr:row>
      <xdr:rowOff>0</xdr:rowOff>
    </xdr:from>
    <xdr:to>
      <xdr:col>12</xdr:col>
      <xdr:colOff>208496</xdr:colOff>
      <xdr:row>159</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459950"/>
          <a:ext cx="8438096" cy="4809524"/>
        </a:xfrm>
        <a:prstGeom prst="rect">
          <a:avLst/>
        </a:prstGeom>
      </xdr:spPr>
    </xdr:pic>
    <xdr:clientData/>
  </xdr:twoCellAnchor>
  <xdr:twoCellAnchor editAs="oneCell">
    <xdr:from>
      <xdr:col>0</xdr:col>
      <xdr:colOff>0</xdr:colOff>
      <xdr:row>159</xdr:row>
      <xdr:rowOff>0</xdr:rowOff>
    </xdr:from>
    <xdr:to>
      <xdr:col>12</xdr:col>
      <xdr:colOff>246591</xdr:colOff>
      <xdr:row>186</xdr:row>
      <xdr:rowOff>104184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260550"/>
          <a:ext cx="8476191" cy="4733334"/>
        </a:xfrm>
        <a:prstGeom prst="rect">
          <a:avLst/>
        </a:prstGeom>
      </xdr:spPr>
    </xdr:pic>
    <xdr:clientData/>
  </xdr:twoCellAnchor>
  <xdr:twoCellAnchor editAs="oneCell">
    <xdr:from>
      <xdr:col>0</xdr:col>
      <xdr:colOff>0</xdr:colOff>
      <xdr:row>187</xdr:row>
      <xdr:rowOff>0</xdr:rowOff>
    </xdr:from>
    <xdr:to>
      <xdr:col>13</xdr:col>
      <xdr:colOff>332220</xdr:colOff>
      <xdr:row>193</xdr:row>
      <xdr:rowOff>142729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2061150"/>
          <a:ext cx="9247620" cy="1171429"/>
        </a:xfrm>
        <a:prstGeom prst="rect">
          <a:avLst/>
        </a:prstGeom>
      </xdr:spPr>
    </xdr:pic>
    <xdr:clientData/>
  </xdr:twoCellAnchor>
  <xdr:twoCellAnchor editAs="oneCell">
    <xdr:from>
      <xdr:col>0</xdr:col>
      <xdr:colOff>0</xdr:colOff>
      <xdr:row>194</xdr:row>
      <xdr:rowOff>0</xdr:rowOff>
    </xdr:from>
    <xdr:to>
      <xdr:col>12</xdr:col>
      <xdr:colOff>579924</xdr:colOff>
      <xdr:row>200</xdr:row>
      <xdr:rowOff>133205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261300"/>
          <a:ext cx="8809524" cy="1161905"/>
        </a:xfrm>
        <a:prstGeom prst="rect">
          <a:avLst/>
        </a:prstGeom>
      </xdr:spPr>
    </xdr:pic>
    <xdr:clientData/>
  </xdr:twoCellAnchor>
  <xdr:twoCellAnchor editAs="oneCell">
    <xdr:from>
      <xdr:col>0</xdr:col>
      <xdr:colOff>0</xdr:colOff>
      <xdr:row>201</xdr:row>
      <xdr:rowOff>0</xdr:rowOff>
    </xdr:from>
    <xdr:to>
      <xdr:col>13</xdr:col>
      <xdr:colOff>303648</xdr:colOff>
      <xdr:row>215</xdr:row>
      <xdr:rowOff>94938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4461450"/>
          <a:ext cx="9219048" cy="2495238"/>
        </a:xfrm>
        <a:prstGeom prst="rect">
          <a:avLst/>
        </a:prstGeom>
      </xdr:spPr>
    </xdr:pic>
    <xdr:clientData/>
  </xdr:twoCellAnchor>
  <xdr:twoCellAnchor editAs="oneCell">
    <xdr:from>
      <xdr:col>0</xdr:col>
      <xdr:colOff>0</xdr:colOff>
      <xdr:row>216</xdr:row>
      <xdr:rowOff>0</xdr:rowOff>
    </xdr:from>
    <xdr:to>
      <xdr:col>14</xdr:col>
      <xdr:colOff>198801</xdr:colOff>
      <xdr:row>223</xdr:row>
      <xdr:rowOff>142707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7033200"/>
          <a:ext cx="9800001" cy="1342857"/>
        </a:xfrm>
        <a:prstGeom prst="rect">
          <a:avLst/>
        </a:prstGeom>
      </xdr:spPr>
    </xdr:pic>
    <xdr:clientData/>
  </xdr:twoCellAnchor>
  <xdr:twoCellAnchor editAs="oneCell">
    <xdr:from>
      <xdr:col>0</xdr:col>
      <xdr:colOff>0</xdr:colOff>
      <xdr:row>224</xdr:row>
      <xdr:rowOff>0</xdr:rowOff>
    </xdr:from>
    <xdr:to>
      <xdr:col>13</xdr:col>
      <xdr:colOff>246505</xdr:colOff>
      <xdr:row>237</xdr:row>
      <xdr:rowOff>104483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8404800"/>
          <a:ext cx="9161905" cy="2333333"/>
        </a:xfrm>
        <a:prstGeom prst="rect">
          <a:avLst/>
        </a:prstGeom>
      </xdr:spPr>
    </xdr:pic>
    <xdr:clientData/>
  </xdr:twoCellAnchor>
  <xdr:twoCellAnchor editAs="oneCell">
    <xdr:from>
      <xdr:col>0</xdr:col>
      <xdr:colOff>0</xdr:colOff>
      <xdr:row>238</xdr:row>
      <xdr:rowOff>0</xdr:rowOff>
    </xdr:from>
    <xdr:to>
      <xdr:col>14</xdr:col>
      <xdr:colOff>17848</xdr:colOff>
      <xdr:row>246</xdr:row>
      <xdr:rowOff>28400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0805100"/>
          <a:ext cx="9619048" cy="1400000"/>
        </a:xfrm>
        <a:prstGeom prst="rect">
          <a:avLst/>
        </a:prstGeom>
      </xdr:spPr>
    </xdr:pic>
    <xdr:clientData/>
  </xdr:twoCellAnchor>
  <xdr:twoCellAnchor editAs="oneCell">
    <xdr:from>
      <xdr:col>0</xdr:col>
      <xdr:colOff>0</xdr:colOff>
      <xdr:row>247</xdr:row>
      <xdr:rowOff>0</xdr:rowOff>
    </xdr:from>
    <xdr:to>
      <xdr:col>13</xdr:col>
      <xdr:colOff>408410</xdr:colOff>
      <xdr:row>256</xdr:row>
      <xdr:rowOff>18855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42348150"/>
          <a:ext cx="9323810" cy="1561905"/>
        </a:xfrm>
        <a:prstGeom prst="rect">
          <a:avLst/>
        </a:prstGeom>
      </xdr:spPr>
    </xdr:pic>
    <xdr:clientData/>
  </xdr:twoCellAnchor>
  <xdr:twoCellAnchor editAs="oneCell">
    <xdr:from>
      <xdr:col>0</xdr:col>
      <xdr:colOff>0</xdr:colOff>
      <xdr:row>257</xdr:row>
      <xdr:rowOff>0</xdr:rowOff>
    </xdr:from>
    <xdr:to>
      <xdr:col>14</xdr:col>
      <xdr:colOff>122610</xdr:colOff>
      <xdr:row>264</xdr:row>
      <xdr:rowOff>85564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44062650"/>
          <a:ext cx="9723810" cy="1285714"/>
        </a:xfrm>
        <a:prstGeom prst="rect">
          <a:avLst/>
        </a:prstGeom>
      </xdr:spPr>
    </xdr:pic>
    <xdr:clientData/>
  </xdr:twoCellAnchor>
  <xdr:twoCellAnchor editAs="oneCell">
    <xdr:from>
      <xdr:col>0</xdr:col>
      <xdr:colOff>0</xdr:colOff>
      <xdr:row>265</xdr:row>
      <xdr:rowOff>0</xdr:rowOff>
    </xdr:from>
    <xdr:to>
      <xdr:col>14</xdr:col>
      <xdr:colOff>198801</xdr:colOff>
      <xdr:row>272</xdr:row>
      <xdr:rowOff>123660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45434250"/>
          <a:ext cx="9800001" cy="1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198886</xdr:colOff>
      <xdr:row>9</xdr:row>
      <xdr:rowOff>171236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14286" cy="1714286"/>
        </a:xfrm>
        <a:prstGeom prst="rect">
          <a:avLst/>
        </a:prstGeom>
      </xdr:spPr>
    </xdr:pic>
    <xdr:clientData/>
  </xdr:twoCellAnchor>
  <xdr:twoCellAnchor editAs="oneCell">
    <xdr:from>
      <xdr:col>0</xdr:col>
      <xdr:colOff>0</xdr:colOff>
      <xdr:row>11</xdr:row>
      <xdr:rowOff>0</xdr:rowOff>
    </xdr:from>
    <xdr:to>
      <xdr:col>13</xdr:col>
      <xdr:colOff>332220</xdr:colOff>
      <xdr:row>32</xdr:row>
      <xdr:rowOff>56693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9247620" cy="3657143"/>
        </a:xfrm>
        <a:prstGeom prst="rect">
          <a:avLst/>
        </a:prstGeom>
      </xdr:spPr>
    </xdr:pic>
    <xdr:clientData/>
  </xdr:twoCellAnchor>
  <xdr:twoCellAnchor editAs="oneCell">
    <xdr:from>
      <xdr:col>0</xdr:col>
      <xdr:colOff>0</xdr:colOff>
      <xdr:row>33</xdr:row>
      <xdr:rowOff>0</xdr:rowOff>
    </xdr:from>
    <xdr:to>
      <xdr:col>13</xdr:col>
      <xdr:colOff>379839</xdr:colOff>
      <xdr:row>61</xdr:row>
      <xdr:rowOff>142257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9295239" cy="4942857"/>
        </a:xfrm>
        <a:prstGeom prst="rect">
          <a:avLst/>
        </a:prstGeom>
      </xdr:spPr>
    </xdr:pic>
    <xdr:clientData/>
  </xdr:twoCellAnchor>
  <xdr:twoCellAnchor editAs="oneCell">
    <xdr:from>
      <xdr:col>0</xdr:col>
      <xdr:colOff>0</xdr:colOff>
      <xdr:row>62</xdr:row>
      <xdr:rowOff>0</xdr:rowOff>
    </xdr:from>
    <xdr:to>
      <xdr:col>13</xdr:col>
      <xdr:colOff>484601</xdr:colOff>
      <xdr:row>96</xdr:row>
      <xdr:rowOff>113558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9400001" cy="5942858"/>
        </a:xfrm>
        <a:prstGeom prst="rect">
          <a:avLst/>
        </a:prstGeom>
      </xdr:spPr>
    </xdr:pic>
    <xdr:clientData/>
  </xdr:twoCellAnchor>
  <xdr:twoCellAnchor editAs="oneCell">
    <xdr:from>
      <xdr:col>0</xdr:col>
      <xdr:colOff>0</xdr:colOff>
      <xdr:row>97</xdr:row>
      <xdr:rowOff>0</xdr:rowOff>
    </xdr:from>
    <xdr:to>
      <xdr:col>14</xdr:col>
      <xdr:colOff>36896</xdr:colOff>
      <xdr:row>118</xdr:row>
      <xdr:rowOff>28122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630650"/>
          <a:ext cx="9638096" cy="3628572"/>
        </a:xfrm>
        <a:prstGeom prst="rect">
          <a:avLst/>
        </a:prstGeom>
      </xdr:spPr>
    </xdr:pic>
    <xdr:clientData/>
  </xdr:twoCellAnchor>
  <xdr:twoCellAnchor editAs="oneCell">
    <xdr:from>
      <xdr:col>0</xdr:col>
      <xdr:colOff>0</xdr:colOff>
      <xdr:row>118</xdr:row>
      <xdr:rowOff>0</xdr:rowOff>
    </xdr:from>
    <xdr:to>
      <xdr:col>13</xdr:col>
      <xdr:colOff>570315</xdr:colOff>
      <xdr:row>125</xdr:row>
      <xdr:rowOff>18898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231100"/>
          <a:ext cx="9485715" cy="1219048"/>
        </a:xfrm>
        <a:prstGeom prst="rect">
          <a:avLst/>
        </a:prstGeom>
      </xdr:spPr>
    </xdr:pic>
    <xdr:clientData/>
  </xdr:twoCellAnchor>
  <xdr:twoCellAnchor editAs="oneCell">
    <xdr:from>
      <xdr:col>0</xdr:col>
      <xdr:colOff>0</xdr:colOff>
      <xdr:row>126</xdr:row>
      <xdr:rowOff>0</xdr:rowOff>
    </xdr:from>
    <xdr:to>
      <xdr:col>13</xdr:col>
      <xdr:colOff>446505</xdr:colOff>
      <xdr:row>140</xdr:row>
      <xdr:rowOff>161605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602700"/>
          <a:ext cx="9361905" cy="2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5" sqref="F35"/>
    </sheetView>
  </sheetViews>
  <sheetFormatPr defaultRowHeight="14.25"/>
  <cols>
    <col min="1" max="1" width="35.625" style="1577" customWidth="1"/>
    <col min="2" max="2" width="81" style="1594" customWidth="1"/>
    <col min="3" max="16384" width="9" style="1592"/>
  </cols>
  <sheetData>
    <row r="1" spans="1:2" s="1580" customFormat="1" ht="16.5" thickBot="1">
      <c r="A1" s="1579" t="s">
        <v>1219</v>
      </c>
      <c r="B1" s="1578" t="s">
        <v>1298</v>
      </c>
    </row>
    <row r="2" spans="1:2" s="1583" customFormat="1" ht="15" thickTop="1">
      <c r="A2" s="1581" t="s">
        <v>1220</v>
      </c>
      <c r="B2" s="1582" t="str">
        <f>'预评函-封皮'!B37:I37</f>
        <v>河北省廊坊开发区全兴路50号3幢、4幢工业用房房地产抵押价值预评估</v>
      </c>
    </row>
    <row r="3" spans="1:2" s="1586" customFormat="1">
      <c r="A3" s="1584" t="s">
        <v>1221</v>
      </c>
      <c r="B3" s="1585" t="str">
        <f>'预评函-封皮'!B40</f>
        <v>廊坊开发区梨花包装有限公司</v>
      </c>
    </row>
    <row r="4" spans="1:2" s="1586" customFormat="1">
      <c r="A4" s="1584" t="s">
        <v>1222</v>
      </c>
      <c r="B4" s="1585" t="str">
        <f ca="1">'预评函-封皮'!B46</f>
        <v>欧红伟（注册号：1120000080)、崔锴（注册号：1120100036)</v>
      </c>
    </row>
    <row r="5" spans="1:2" s="1580" customFormat="1" ht="15" thickBot="1">
      <c r="A5" s="1587" t="s">
        <v>1223</v>
      </c>
      <c r="B5" s="1588" t="str">
        <f>'预评函-封皮'!B49</f>
        <v>康正预评字号</v>
      </c>
    </row>
    <row r="6" spans="1:2" s="1583" customFormat="1" ht="15" thickTop="1">
      <c r="A6" s="1581" t="s">
        <v>1224</v>
      </c>
      <c r="B6" s="1582" t="str">
        <f>'预评函-1'!A4</f>
        <v>受贵公司委托，我公司对河北省廊坊开发区全兴路50号3幢、4幢工业用房房地产抵押价值进行了预评估。</v>
      </c>
    </row>
    <row r="7" spans="1:2" s="1586" customFormat="1">
      <c r="A7" s="1584" t="s">
        <v>1264</v>
      </c>
      <c r="B7" s="1585" t="str">
        <f>'预评函-1'!A7</f>
        <v>估价对象为河北省廊坊开发区全兴路50号3幢、4幢工业用房房地产，为廊坊开发区梨花包装有限公司所有。根据《不动产权证》，估价对象（分摊）出让国有建设用地使用权面积为39950.5平方米，建筑面积为8377.97平方米。</v>
      </c>
    </row>
    <row r="8" spans="1:2" s="1586" customFormat="1">
      <c r="A8" s="1584" t="s">
        <v>1265</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1266</v>
      </c>
      <c r="B9" s="1585" t="str">
        <f>'预评函-1'!A10</f>
        <v>估价对象为河北省廊坊开发区全兴路50号3幢、4幢工业用房房地产,属廊坊开发区梨花包装有限公司开发建设的工业项目，该项目尚在开发建设中。根据《不动产权证》，估价对象（分摊）出让国有建设用地使用权面积为39950.5平方米，规划建筑面积为8377.97平方米。</v>
      </c>
    </row>
    <row r="10" spans="1:2" s="1586" customFormat="1">
      <c r="A10" s="1584" t="s">
        <v>1267</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1225</v>
      </c>
      <c r="B11" s="1585" t="str">
        <f>'预评函-1'!A13</f>
        <v>为估价委托人在向——办理贷款手续过程中，确定房地产抵押贷款额度提供参考依据而评估房地产抵押价值。</v>
      </c>
    </row>
    <row r="12" spans="1:2" s="1586" customFormat="1">
      <c r="A12" s="1584" t="s">
        <v>1226</v>
      </c>
      <c r="B12" s="1585" t="str">
        <f>'预评函-1'!A15</f>
        <v>2018年4月26日（评估专业人员实地查勘之日）</v>
      </c>
    </row>
    <row r="13" spans="1:2" s="1586" customFormat="1">
      <c r="A13" s="1584" t="s">
        <v>1227</v>
      </c>
      <c r="B13" s="1585" t="str">
        <f>'预评函-1'!A18</f>
        <v>本次估价的“房地产价值”是指在正常市场情况下，在价值时点2018年4月26日，估价对象规划用途为工业，土地取得方式为出让，出让国有建设用地使用权剩余土地使用年限为27，假定未设立法定优先受偿款下的房地产市场价值。</v>
      </c>
    </row>
    <row r="14" spans="1:2" s="1586" customFormat="1">
      <c r="A14" s="1584" t="s">
        <v>1228</v>
      </c>
      <c r="B14" s="1585" t="str">
        <f>'预评函-1'!A19</f>
        <v>其中，“出让国有建设用地使用权价值”是指估价对象用途为工业，实际开发程度为宗地红线外“六通”（即通路、通电、通讯、通上水、通下水、燃气）、红线内场地平整条件下，剩余土地使用年限为27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6" customFormat="1">
      <c r="A15" s="1584" t="s">
        <v>1229</v>
      </c>
      <c r="B15" s="1585" t="str">
        <f>'预评函-1'!A20</f>
        <v>本次估价的“抵押担保权已注销时的房地产抵押价值”是指估价对象在价值时点的“房地产价值”扣减估价师于价值时点所知悉的除抵押担保权以外的其他法定优先受偿款后的余额。</v>
      </c>
    </row>
    <row r="16" spans="1:2" s="1586" customFormat="1">
      <c r="A16" s="1584" t="s">
        <v>1230</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1231</v>
      </c>
      <c r="B17" s="1585" t="str">
        <f>'预评函-1'!A22</f>
        <v/>
      </c>
    </row>
    <row r="18" spans="1:2" s="1580" customFormat="1" ht="15" thickBot="1">
      <c r="A18" s="1587" t="s">
        <v>1232</v>
      </c>
      <c r="B18" s="1588" t="str">
        <f>'预评函-1'!A24</f>
        <v>本次评估采用的主估价方法为成本法和收益法。</v>
      </c>
    </row>
    <row r="19" spans="1:2" s="1583" customFormat="1" ht="15" thickTop="1">
      <c r="A19" s="1581" t="s">
        <v>1233</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1234</v>
      </c>
      <c r="B20" s="1585">
        <f ca="1">'预评函-2'!D5</f>
        <v>7509</v>
      </c>
    </row>
    <row r="21" spans="1:2" s="1586" customFormat="1">
      <c r="A21" s="1584" t="s">
        <v>1235</v>
      </c>
      <c r="B21" s="1585">
        <f ca="1">'预评函-2'!D7</f>
        <v>8963</v>
      </c>
    </row>
    <row r="22" spans="1:2" s="1586" customFormat="1">
      <c r="A22" s="1584" t="s">
        <v>1236</v>
      </c>
      <c r="B22" s="1585" t="str">
        <f ca="1">'预评函-2'!D6</f>
        <v>柒仟伍佰零玖万元整</v>
      </c>
    </row>
    <row r="23" spans="1:2" s="1586" customFormat="1">
      <c r="A23" s="1584" t="s">
        <v>1287</v>
      </c>
      <c r="B23" s="1585" t="str">
        <f>'预评函-2'!B8</f>
        <v>2.估价师知悉的法定优先受偿款</v>
      </c>
    </row>
    <row r="24" spans="1:2" s="1586" customFormat="1">
      <c r="A24" s="1584" t="s">
        <v>1293</v>
      </c>
      <c r="B24" s="1585">
        <f>'预评函-2'!D8</f>
        <v>0</v>
      </c>
    </row>
    <row r="25" spans="1:2" s="1586" customFormat="1">
      <c r="A25" s="1584" t="s">
        <v>1237</v>
      </c>
      <c r="B25" s="1585" t="str">
        <f>'预评函-2'!D9</f>
        <v>零元整</v>
      </c>
    </row>
    <row r="26" spans="1:2" s="1586" customFormat="1">
      <c r="A26" s="1584" t="s">
        <v>1238</v>
      </c>
      <c r="B26" s="1585">
        <f>'预评函-2'!D10</f>
        <v>0</v>
      </c>
    </row>
    <row r="27" spans="1:2" s="1586" customFormat="1">
      <c r="A27" s="1584" t="s">
        <v>1239</v>
      </c>
      <c r="B27" s="1585">
        <f>'预评函-2'!D11</f>
        <v>0</v>
      </c>
    </row>
    <row r="28" spans="1:2" s="1586" customFormat="1">
      <c r="A28" s="1584" t="s">
        <v>1240</v>
      </c>
      <c r="B28" s="1585">
        <f>'预评函-2'!D12</f>
        <v>0</v>
      </c>
    </row>
    <row r="29" spans="1:2" s="1586" customFormat="1">
      <c r="A29" s="1584" t="s">
        <v>1291</v>
      </c>
      <c r="B29" s="1585" t="str">
        <f>'预评函-2'!B13</f>
        <v>——</v>
      </c>
    </row>
    <row r="30" spans="1:2" s="1586" customFormat="1">
      <c r="A30" s="1584" t="s">
        <v>1292</v>
      </c>
      <c r="B30" s="1585" t="str">
        <f>'预评函-2'!D13</f>
        <v>——</v>
      </c>
    </row>
    <row r="31" spans="1:2" s="1586" customFormat="1">
      <c r="A31" s="1584" t="s">
        <v>1274</v>
      </c>
      <c r="B31" s="1585" t="e">
        <f>'预评函-2'!D15</f>
        <v>#VALUE!</v>
      </c>
    </row>
    <row r="32" spans="1:2" s="1586" customFormat="1">
      <c r="A32" s="1584" t="s">
        <v>1241</v>
      </c>
      <c r="B32" s="1585" t="e">
        <f>'预评函-2'!D14</f>
        <v>#VALUE!</v>
      </c>
    </row>
    <row r="33" spans="1:2" s="1586" customFormat="1">
      <c r="A33" s="1584" t="s">
        <v>1276</v>
      </c>
      <c r="B33" s="1585" t="str">
        <f>'预评函-2'!B16</f>
        <v>3.抵押担保权已注销时的房地产抵押价值</v>
      </c>
    </row>
    <row r="34" spans="1:2" s="1586" customFormat="1">
      <c r="A34" s="1584" t="s">
        <v>1294</v>
      </c>
      <c r="B34" s="1585">
        <f ca="1">'预评函-2'!D16</f>
        <v>7509</v>
      </c>
    </row>
    <row r="35" spans="1:2" s="1586" customFormat="1">
      <c r="A35" s="1584" t="s">
        <v>1275</v>
      </c>
      <c r="B35" s="1585">
        <f ca="1">'预评函-2'!D18</f>
        <v>8963</v>
      </c>
    </row>
    <row r="36" spans="1:2" s="1586" customFormat="1">
      <c r="A36" s="1584" t="s">
        <v>1242</v>
      </c>
      <c r="B36" s="1585" t="str">
        <f ca="1">'预评函-2'!D17</f>
        <v>柒仟伍佰零玖万元整</v>
      </c>
    </row>
    <row r="37" spans="1:2" s="1586" customFormat="1">
      <c r="A37" s="1584" t="s">
        <v>1277</v>
      </c>
      <c r="B37" s="1585" t="str">
        <f>'预评函-2'!B19</f>
        <v>——</v>
      </c>
    </row>
    <row r="38" spans="1:2" s="1586" customFormat="1">
      <c r="A38" s="1584" t="s">
        <v>1295</v>
      </c>
      <c r="B38" s="1585" t="str">
        <f>'预评函-2'!D19</f>
        <v>——</v>
      </c>
    </row>
    <row r="39" spans="1:2" s="1586" customFormat="1">
      <c r="A39" s="1584" t="s">
        <v>1243</v>
      </c>
      <c r="B39" s="1585" t="str">
        <f>'预评函-2'!D21</f>
        <v>——</v>
      </c>
    </row>
    <row r="40" spans="1:2" s="1586" customFormat="1">
      <c r="A40" s="1584" t="s">
        <v>1244</v>
      </c>
      <c r="B40" s="1585" t="e">
        <f>'预评函-2'!D20</f>
        <v>#VALUE!</v>
      </c>
    </row>
    <row r="41" spans="1:2" s="1586" customFormat="1">
      <c r="A41" s="1584" t="s">
        <v>1290</v>
      </c>
      <c r="B41" s="1585" t="str">
        <f>'预评函-3'!A4</f>
        <v>河北省廊坊开发区全兴路50号3幢、4幢工业用房房地产</v>
      </c>
    </row>
    <row r="42" spans="1:2" s="1586" customFormat="1">
      <c r="A42" s="1584" t="s">
        <v>1288</v>
      </c>
      <c r="B42" s="1585" t="str">
        <f>'预评函-3'!B2</f>
        <v>建筑面积</v>
      </c>
    </row>
    <row r="43" spans="1:2" s="1586" customFormat="1">
      <c r="A43" s="1584" t="s">
        <v>1289</v>
      </c>
      <c r="B43" s="1585">
        <f>'预评函-3'!B4</f>
        <v>8377.9700000000012</v>
      </c>
    </row>
    <row r="44" spans="1:2" s="1586" customFormat="1">
      <c r="A44" s="1584" t="s">
        <v>1273</v>
      </c>
      <c r="B44" s="1585" t="str">
        <f>'预评函-3'!C2</f>
        <v>(分摊)土地面积</v>
      </c>
    </row>
    <row r="45" spans="1:2" s="1586" customFormat="1">
      <c r="A45" s="1584" t="s">
        <v>1245</v>
      </c>
      <c r="B45" s="1585">
        <f>'预评函-3'!C4</f>
        <v>39950.5</v>
      </c>
    </row>
    <row r="46" spans="1:2" s="1586" customFormat="1">
      <c r="A46" s="1584" t="s">
        <v>1271</v>
      </c>
      <c r="B46" s="1585" t="str">
        <f>'预评函-3'!D2</f>
        <v>出让国有建设用地使用权价值</v>
      </c>
    </row>
    <row r="47" spans="1:2" s="1586" customFormat="1">
      <c r="A47" s="1584" t="s">
        <v>1246</v>
      </c>
      <c r="B47" s="1585">
        <f ca="1">'预评函-3'!D4</f>
        <v>4701</v>
      </c>
    </row>
    <row r="48" spans="1:2" s="1586" customFormat="1">
      <c r="A48" s="1584" t="s">
        <v>1247</v>
      </c>
      <c r="B48" s="1585">
        <f ca="1">'预评函-3'!E4</f>
        <v>5611</v>
      </c>
    </row>
    <row r="49" spans="1:2" s="1586" customFormat="1">
      <c r="A49" s="1584" t="s">
        <v>1248</v>
      </c>
      <c r="B49" s="1585" t="str">
        <f ca="1">'预评函-3'!D5</f>
        <v>肆仟柒佰零壹万元整</v>
      </c>
    </row>
    <row r="50" spans="1:2" s="1586" customFormat="1">
      <c r="A50" s="1584" t="s">
        <v>1272</v>
      </c>
      <c r="B50" s="1585" t="str">
        <f>'预评函-3'!F2</f>
        <v>建筑物价值</v>
      </c>
    </row>
    <row r="51" spans="1:2" s="1586" customFormat="1">
      <c r="A51" s="1584" t="s">
        <v>1249</v>
      </c>
      <c r="B51" s="1585">
        <f ca="1">'预评函-3'!F4</f>
        <v>2808</v>
      </c>
    </row>
    <row r="52" spans="1:2" s="1586" customFormat="1">
      <c r="A52" s="1584" t="s">
        <v>1250</v>
      </c>
      <c r="B52" s="1585">
        <f ca="1">'预评函-3'!G4</f>
        <v>3352</v>
      </c>
    </row>
    <row r="53" spans="1:2" s="1586" customFormat="1">
      <c r="A53" s="1584" t="s">
        <v>1278</v>
      </c>
      <c r="B53" s="1585" t="str">
        <f ca="1">'预评函-3'!F5</f>
        <v>贰仟捌佰零捌万元整</v>
      </c>
    </row>
    <row r="54" spans="1:2" s="1586" customFormat="1">
      <c r="A54" s="1584" t="s">
        <v>1296</v>
      </c>
      <c r="B54" s="1585" t="str">
        <f>'预评函-3'!A8</f>
        <v/>
      </c>
    </row>
    <row r="55" spans="1:2" s="1586" customFormat="1">
      <c r="A55" s="1584" t="s">
        <v>1279</v>
      </c>
      <c r="B55" s="1585" t="str">
        <f>'预评函-3'!A10</f>
        <v>抵押担保权已注销时的房地产抵押价值</v>
      </c>
    </row>
    <row r="56" spans="1:2" s="1586" customFormat="1">
      <c r="A56" s="1584" t="s">
        <v>1280</v>
      </c>
      <c r="B56" s="1585" t="str">
        <f>'预评函-3'!A12</f>
        <v/>
      </c>
    </row>
    <row r="57" spans="1:2" s="1580" customFormat="1" ht="15" thickBot="1">
      <c r="A57" s="1587" t="s">
        <v>1297</v>
      </c>
      <c r="B57" s="1588" t="str">
        <f>'预评函-3'!A6</f>
        <v>估价师知悉的法定优先受偿款</v>
      </c>
    </row>
    <row r="58" spans="1:2" s="1583" customFormat="1" ht="15" thickTop="1">
      <c r="A58" s="1581" t="s">
        <v>1251</v>
      </c>
      <c r="B58" s="1582" t="str">
        <f>'预评函-4'!A12</f>
        <v>2.本《评估意见函》仅供金融机构进行内部审核使用，不做其他目的之用。</v>
      </c>
    </row>
    <row r="59" spans="1:2" s="1586" customFormat="1">
      <c r="A59" s="1584" t="s">
        <v>1252</v>
      </c>
      <c r="B59" s="1585" t="str">
        <f>'预评函-4'!A13</f>
        <v>3.抵押双方在办理抵押登记手续时，应使用本公司出具的正式《房地产评估报告》，特提醒报告使用者注意。</v>
      </c>
    </row>
    <row r="60" spans="1:2" s="1586" customFormat="1">
      <c r="A60" s="1584" t="s">
        <v>1253</v>
      </c>
      <c r="B60" s="1585" t="str">
        <f>'预评函-4'!A14</f>
        <v>4.本次评估估价师所知悉的法定优先受偿款情况说明如下：</v>
      </c>
    </row>
    <row r="61" spans="1:2" s="1586" customFormat="1">
      <c r="A61" s="1584" t="s">
        <v>1254</v>
      </c>
      <c r="B61" s="1585"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1255</v>
      </c>
      <c r="B62" s="1585" t="str">
        <f>'预评函-4'!A16</f>
        <v>（2）根据《工程款支付情况说明》，截至价值时点，估价对象不存在应付未付工程款项。（只要没有施工方盖章的，均“设定”进行表述）</v>
      </c>
    </row>
    <row r="63" spans="1:2" s="1586" customFormat="1">
      <c r="A63" s="1584" t="s">
        <v>1256</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1268</v>
      </c>
      <c r="B64" s="1585" t="str">
        <f>'预评函-4'!A18</f>
        <v>故，本次评估不存在估价师知悉的法定优先受偿款</v>
      </c>
    </row>
    <row r="65" spans="1:2" s="1586" customFormat="1">
      <c r="A65" s="1584" t="s">
        <v>1257</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1258</v>
      </c>
      <c r="B66" s="1585" t="str">
        <f>'预评函-4'!A20</f>
        <v>——</v>
      </c>
    </row>
    <row r="67" spans="1:2" s="1586" customFormat="1">
      <c r="A67" s="1584" t="s">
        <v>1269</v>
      </c>
      <c r="B67" s="1585" t="str">
        <f>'预评函-4'!A21</f>
        <v>——</v>
      </c>
    </row>
    <row r="68" spans="1:2" s="1586" customFormat="1">
      <c r="A68" s="1584" t="s">
        <v>1270</v>
      </c>
      <c r="B68" s="1585" t="str">
        <f>'预评函-4'!A22</f>
        <v>8.其他需特殊说明事项：无（注意调整序号）</v>
      </c>
    </row>
    <row r="69" spans="1:2" s="1580" customFormat="1" ht="15" thickBot="1">
      <c r="A69" s="1587" t="s">
        <v>1259</v>
      </c>
      <c r="B69" s="1589">
        <f>'预评函-4'!C31</f>
        <v>42551</v>
      </c>
    </row>
    <row r="70" spans="1:2" ht="15" thickTop="1">
      <c r="A70" s="1590" t="s">
        <v>1260</v>
      </c>
      <c r="B70" s="1591" t="str">
        <f>'预评函-4'!A4</f>
        <v>欧红伟</v>
      </c>
    </row>
    <row r="71" spans="1:2">
      <c r="A71" s="1584" t="s">
        <v>1261</v>
      </c>
      <c r="B71" s="1585">
        <f ca="1">'预评函-4'!B4</f>
        <v>1120000080</v>
      </c>
    </row>
    <row r="72" spans="1:2">
      <c r="A72" s="1584" t="s">
        <v>1262</v>
      </c>
      <c r="B72" s="1593" t="str">
        <f>'预评函-4'!A5</f>
        <v>崔锴</v>
      </c>
    </row>
    <row r="73" spans="1:2" s="1580" customFormat="1" ht="15" thickBot="1">
      <c r="A73" s="1587" t="s">
        <v>1263</v>
      </c>
      <c r="B73" s="1588">
        <f ca="1">'预评函-4'!B5</f>
        <v>1120100036</v>
      </c>
    </row>
    <row r="74" spans="1:2" ht="15" thickTop="1">
      <c r="A74" s="1577" t="s">
        <v>1299</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3" sqref="Y23"/>
    </sheetView>
  </sheetViews>
  <sheetFormatPr defaultRowHeight="13.5"/>
  <cols>
    <col min="1" max="1" width="13.5" style="2017" customWidth="1"/>
    <col min="2" max="2" width="23.25" style="1968" customWidth="1"/>
    <col min="3" max="3" width="13" style="2012" hidden="1" customWidth="1"/>
    <col min="4" max="4" width="5.75" style="2009" hidden="1" customWidth="1"/>
    <col min="5" max="5" width="7.125" style="2009" hidden="1" customWidth="1"/>
    <col min="6" max="6" width="10.625" style="2009" hidden="1" customWidth="1"/>
    <col min="7" max="7" width="7.5" style="2009" hidden="1" customWidth="1"/>
    <col min="8" max="8" width="9" style="2012" hidden="1" customWidth="1"/>
    <col min="9" max="9" width="11.625" style="2012" hidden="1" customWidth="1"/>
    <col min="10" max="10" width="9" style="2012" hidden="1" customWidth="1"/>
    <col min="11" max="19" width="9" style="2009" hidden="1" customWidth="1"/>
    <col min="20" max="22" width="9" style="2012" hidden="1" customWidth="1"/>
    <col min="23" max="23" width="9" style="2012" customWidth="1"/>
    <col min="24" max="24" width="21.125" style="1968" customWidth="1"/>
    <col min="25" max="16384" width="9" style="1968"/>
  </cols>
  <sheetData>
    <row r="1" spans="1:23" s="2006" customFormat="1" ht="27">
      <c r="A1" s="2000" t="s">
        <v>71</v>
      </c>
      <c r="B1" s="2001" t="s">
        <v>1690</v>
      </c>
      <c r="C1" s="2002" t="s">
        <v>759</v>
      </c>
      <c r="D1" s="2003" t="s">
        <v>1691</v>
      </c>
      <c r="E1" s="2003" t="s">
        <v>1692</v>
      </c>
      <c r="F1" s="2003" t="s">
        <v>1693</v>
      </c>
      <c r="G1" s="2003" t="s">
        <v>1694</v>
      </c>
      <c r="H1" s="2003" t="s">
        <v>1695</v>
      </c>
      <c r="I1" s="2003" t="s">
        <v>1696</v>
      </c>
      <c r="J1" s="2003" t="s">
        <v>1697</v>
      </c>
      <c r="K1" s="2003" t="s">
        <v>1698</v>
      </c>
      <c r="L1" s="2003" t="s">
        <v>1699</v>
      </c>
      <c r="M1" s="2003" t="s">
        <v>1700</v>
      </c>
      <c r="N1" s="2003" t="s">
        <v>1701</v>
      </c>
      <c r="O1" s="2003" t="s">
        <v>1702</v>
      </c>
      <c r="P1" s="2004" t="s">
        <v>753</v>
      </c>
      <c r="Q1" s="2004" t="s">
        <v>1144</v>
      </c>
      <c r="R1" s="2003" t="s">
        <v>1138</v>
      </c>
      <c r="S1" s="2003" t="s">
        <v>1703</v>
      </c>
      <c r="T1" s="2005" t="s">
        <v>1704</v>
      </c>
      <c r="U1" s="2003" t="s">
        <v>1705</v>
      </c>
      <c r="V1" s="2003" t="s">
        <v>1706</v>
      </c>
      <c r="W1" s="2003" t="s">
        <v>755</v>
      </c>
    </row>
    <row r="2" spans="1:23">
      <c r="A2" s="2007" t="s">
        <v>22</v>
      </c>
      <c r="B2" s="2007" t="s">
        <v>1707</v>
      </c>
      <c r="C2" s="2008" t="s">
        <v>760</v>
      </c>
      <c r="D2" s="2009" t="s">
        <v>1708</v>
      </c>
      <c r="E2" s="2009" t="s">
        <v>1709</v>
      </c>
      <c r="F2" s="2009" t="s">
        <v>1710</v>
      </c>
      <c r="G2" s="2009">
        <v>40</v>
      </c>
      <c r="H2" s="2009" t="s">
        <v>1710</v>
      </c>
      <c r="I2" s="2009" t="s">
        <v>1711</v>
      </c>
      <c r="J2" s="2009" t="s">
        <v>1712</v>
      </c>
      <c r="K2" s="2009" t="s">
        <v>1713</v>
      </c>
      <c r="L2" s="2009" t="s">
        <v>1713</v>
      </c>
      <c r="M2" s="2009" t="s">
        <v>1713</v>
      </c>
      <c r="N2" s="2009" t="s">
        <v>1713</v>
      </c>
      <c r="O2" s="2009" t="s">
        <v>1713</v>
      </c>
      <c r="P2" s="2009" t="s">
        <v>1713</v>
      </c>
      <c r="Q2" s="2009" t="s">
        <v>1713</v>
      </c>
      <c r="R2" s="2009" t="s">
        <v>1140</v>
      </c>
      <c r="S2" s="2009" t="s">
        <v>1713</v>
      </c>
      <c r="T2" s="2009" t="s">
        <v>1714</v>
      </c>
      <c r="U2" s="2009" t="s">
        <v>1713</v>
      </c>
      <c r="V2" s="2009" t="s">
        <v>1715</v>
      </c>
      <c r="W2" s="2009" t="s">
        <v>1713</v>
      </c>
    </row>
    <row r="3" spans="1:23">
      <c r="A3" s="2007" t="s">
        <v>1716</v>
      </c>
      <c r="B3" s="2010" t="s">
        <v>1145</v>
      </c>
      <c r="C3" s="2011" t="s">
        <v>761</v>
      </c>
      <c r="D3" s="2009" t="s">
        <v>1717</v>
      </c>
      <c r="E3" s="2009" t="s">
        <v>16</v>
      </c>
      <c r="F3" s="2009" t="s">
        <v>1718</v>
      </c>
      <c r="G3" s="2009">
        <v>50</v>
      </c>
      <c r="H3" s="2009" t="s">
        <v>1718</v>
      </c>
      <c r="I3" s="2009" t="s">
        <v>1719</v>
      </c>
      <c r="J3" s="2009" t="s">
        <v>1720</v>
      </c>
      <c r="K3" s="2009" t="s">
        <v>1721</v>
      </c>
      <c r="L3" s="2009" t="s">
        <v>1721</v>
      </c>
      <c r="M3" s="2009" t="s">
        <v>1721</v>
      </c>
      <c r="N3" s="2009" t="s">
        <v>1721</v>
      </c>
      <c r="O3" s="2009" t="s">
        <v>1721</v>
      </c>
      <c r="P3" s="2009" t="s">
        <v>1721</v>
      </c>
      <c r="Q3" s="2009" t="s">
        <v>1721</v>
      </c>
      <c r="R3" s="2009" t="s">
        <v>1139</v>
      </c>
      <c r="S3" s="2009" t="s">
        <v>1721</v>
      </c>
      <c r="T3" s="2009" t="s">
        <v>1722</v>
      </c>
      <c r="U3" s="2009" t="s">
        <v>1721</v>
      </c>
      <c r="V3" s="2009" t="s">
        <v>1723</v>
      </c>
      <c r="W3" s="2009" t="s">
        <v>1721</v>
      </c>
    </row>
    <row r="4" spans="1:23">
      <c r="A4" s="2007" t="s">
        <v>1724</v>
      </c>
      <c r="B4" s="2007" t="s">
        <v>1725</v>
      </c>
      <c r="C4" s="2008" t="s">
        <v>762</v>
      </c>
      <c r="D4" s="2009" t="s">
        <v>868</v>
      </c>
      <c r="E4" s="2009" t="s">
        <v>1726</v>
      </c>
      <c r="F4" s="2009" t="s">
        <v>1727</v>
      </c>
      <c r="G4" s="2009">
        <v>70</v>
      </c>
      <c r="H4" s="2009" t="s">
        <v>1727</v>
      </c>
      <c r="I4" s="2009" t="s">
        <v>1728</v>
      </c>
      <c r="K4" s="2009" t="s">
        <v>1729</v>
      </c>
      <c r="L4" s="2009" t="s">
        <v>1729</v>
      </c>
      <c r="M4" s="2009" t="s">
        <v>1729</v>
      </c>
      <c r="N4" s="2009" t="s">
        <v>1729</v>
      </c>
      <c r="O4" s="2009" t="s">
        <v>1729</v>
      </c>
      <c r="P4" s="2009" t="s">
        <v>1729</v>
      </c>
      <c r="Q4" s="2009" t="s">
        <v>1729</v>
      </c>
      <c r="R4" s="2009" t="s">
        <v>1141</v>
      </c>
      <c r="S4" s="2009" t="s">
        <v>1729</v>
      </c>
      <c r="T4" s="2009" t="s">
        <v>1730</v>
      </c>
      <c r="U4" s="2009" t="s">
        <v>1729</v>
      </c>
      <c r="W4" s="2009" t="s">
        <v>1729</v>
      </c>
    </row>
    <row r="5" spans="1:23">
      <c r="A5" s="2007" t="s">
        <v>1731</v>
      </c>
      <c r="B5" s="2007" t="s">
        <v>1732</v>
      </c>
      <c r="C5" s="2008" t="s">
        <v>763</v>
      </c>
      <c r="F5" s="2009" t="s">
        <v>1733</v>
      </c>
      <c r="H5" s="2009" t="s">
        <v>1734</v>
      </c>
      <c r="I5" s="2009" t="s">
        <v>1735</v>
      </c>
      <c r="K5" s="2009" t="s">
        <v>1736</v>
      </c>
      <c r="L5" s="2009" t="s">
        <v>1736</v>
      </c>
      <c r="M5" s="2009" t="s">
        <v>1736</v>
      </c>
      <c r="N5" s="2009" t="s">
        <v>1736</v>
      </c>
      <c r="O5" s="2009" t="s">
        <v>1736</v>
      </c>
      <c r="P5" s="2009" t="s">
        <v>1736</v>
      </c>
      <c r="Q5" s="2009" t="s">
        <v>1736</v>
      </c>
      <c r="R5" s="2009" t="s">
        <v>1142</v>
      </c>
      <c r="S5" s="2009" t="s">
        <v>1736</v>
      </c>
      <c r="T5" s="2009" t="s">
        <v>1737</v>
      </c>
      <c r="U5" s="2009" t="s">
        <v>1736</v>
      </c>
      <c r="W5" s="2009" t="s">
        <v>1736</v>
      </c>
    </row>
    <row r="6" spans="1:23">
      <c r="A6" s="2007" t="s">
        <v>1738</v>
      </c>
      <c r="B6" s="2010" t="s">
        <v>1146</v>
      </c>
      <c r="C6" s="2013" t="s">
        <v>30</v>
      </c>
      <c r="F6" s="2009" t="s">
        <v>1734</v>
      </c>
      <c r="H6" s="2009" t="s">
        <v>1739</v>
      </c>
      <c r="I6" s="2009" t="s">
        <v>1740</v>
      </c>
      <c r="K6" s="2009" t="s">
        <v>1741</v>
      </c>
      <c r="L6" s="2009" t="s">
        <v>1741</v>
      </c>
      <c r="M6" s="2009" t="s">
        <v>1741</v>
      </c>
      <c r="N6" s="2009" t="s">
        <v>1741</v>
      </c>
      <c r="O6" s="2009" t="s">
        <v>1741</v>
      </c>
      <c r="P6" s="2009" t="s">
        <v>1741</v>
      </c>
      <c r="Q6" s="2009" t="s">
        <v>1741</v>
      </c>
      <c r="R6" s="2009" t="s">
        <v>1143</v>
      </c>
      <c r="S6" s="2009" t="s">
        <v>1741</v>
      </c>
      <c r="T6" s="2009"/>
      <c r="U6" s="2009" t="s">
        <v>1741</v>
      </c>
      <c r="W6" s="2009" t="s">
        <v>1741</v>
      </c>
    </row>
    <row r="7" spans="1:23">
      <c r="A7" s="2007" t="s">
        <v>1742</v>
      </c>
      <c r="B7" s="2010" t="s">
        <v>1147</v>
      </c>
      <c r="C7" s="2008" t="s">
        <v>31</v>
      </c>
      <c r="F7" s="2009" t="s">
        <v>1743</v>
      </c>
      <c r="H7" s="2009" t="s">
        <v>1744</v>
      </c>
      <c r="I7" s="2009" t="s">
        <v>1745</v>
      </c>
    </row>
    <row r="8" spans="1:23">
      <c r="A8" s="2007" t="s">
        <v>1746</v>
      </c>
      <c r="B8" s="2007" t="s">
        <v>1747</v>
      </c>
      <c r="C8" s="2008" t="s">
        <v>764</v>
      </c>
      <c r="F8" s="2009" t="s">
        <v>1748</v>
      </c>
      <c r="H8" s="2009"/>
      <c r="I8" s="2009" t="s">
        <v>1749</v>
      </c>
    </row>
    <row r="9" spans="1:23">
      <c r="A9" s="2007" t="s">
        <v>1750</v>
      </c>
      <c r="B9" s="2007" t="s">
        <v>1751</v>
      </c>
      <c r="C9" s="2008" t="s">
        <v>765</v>
      </c>
      <c r="F9" s="2009" t="s">
        <v>1752</v>
      </c>
      <c r="H9" s="2009"/>
    </row>
    <row r="10" spans="1:23">
      <c r="A10" s="2007" t="s">
        <v>1753</v>
      </c>
      <c r="B10" s="2007" t="s">
        <v>1754</v>
      </c>
      <c r="C10" s="2008" t="s">
        <v>766</v>
      </c>
      <c r="F10" s="2009" t="s">
        <v>16</v>
      </c>
    </row>
    <row r="11" spans="1:23">
      <c r="A11" s="2007" t="s">
        <v>1755</v>
      </c>
      <c r="B11" s="2007" t="s">
        <v>1756</v>
      </c>
      <c r="C11" s="2008" t="s">
        <v>767</v>
      </c>
    </row>
    <row r="12" spans="1:23">
      <c r="A12" s="2007" t="s">
        <v>1757</v>
      </c>
      <c r="B12" s="2007" t="s">
        <v>1758</v>
      </c>
      <c r="C12" s="2008" t="s">
        <v>768</v>
      </c>
    </row>
    <row r="13" spans="1:23">
      <c r="A13" s="2007" t="s">
        <v>1759</v>
      </c>
      <c r="B13" s="2007" t="s">
        <v>1760</v>
      </c>
      <c r="C13" s="2008" t="s">
        <v>769</v>
      </c>
    </row>
    <row r="14" spans="1:23">
      <c r="A14" s="2007" t="s">
        <v>1761</v>
      </c>
      <c r="B14" s="2007" t="s">
        <v>1762</v>
      </c>
      <c r="C14" s="2009" t="s">
        <v>16</v>
      </c>
    </row>
    <row r="15" spans="1:23">
      <c r="A15" s="2007" t="s">
        <v>1763</v>
      </c>
      <c r="B15" s="2007" t="s">
        <v>1764</v>
      </c>
      <c r="C15" s="2008"/>
    </row>
    <row r="16" spans="1:23">
      <c r="A16" s="2007" t="s">
        <v>1765</v>
      </c>
      <c r="B16" s="2007" t="s">
        <v>756</v>
      </c>
      <c r="C16" s="2008"/>
    </row>
    <row r="17" spans="1:3">
      <c r="A17" s="2007" t="s">
        <v>1766</v>
      </c>
      <c r="B17" s="2007" t="s">
        <v>3046</v>
      </c>
      <c r="C17" s="2008"/>
    </row>
    <row r="18" spans="1:3">
      <c r="A18" s="2007" t="s">
        <v>1767</v>
      </c>
      <c r="B18" s="2007" t="s">
        <v>3047</v>
      </c>
      <c r="C18" s="2008"/>
    </row>
    <row r="19" spans="1:3">
      <c r="A19" s="2007" t="s">
        <v>1768</v>
      </c>
      <c r="B19" s="2007" t="s">
        <v>3048</v>
      </c>
      <c r="C19" s="2008"/>
    </row>
    <row r="20" spans="1:3">
      <c r="A20" s="2007" t="s">
        <v>1769</v>
      </c>
      <c r="B20" s="2007" t="s">
        <v>3263</v>
      </c>
      <c r="C20" s="2008"/>
    </row>
    <row r="21" spans="1:3">
      <c r="A21" s="2007" t="s">
        <v>1770</v>
      </c>
      <c r="B21" s="2007" t="s">
        <v>3314</v>
      </c>
      <c r="C21" s="2008"/>
    </row>
    <row r="22" spans="1:3">
      <c r="A22" s="2007" t="s">
        <v>1771</v>
      </c>
      <c r="B22" s="2007" t="s">
        <v>757</v>
      </c>
      <c r="C22" s="2008"/>
    </row>
    <row r="23" spans="1:3">
      <c r="A23" s="2007" t="s">
        <v>1772</v>
      </c>
      <c r="B23" s="2007" t="s">
        <v>757</v>
      </c>
      <c r="C23" s="2008"/>
    </row>
    <row r="24" spans="1:3">
      <c r="A24" s="2007" t="s">
        <v>1773</v>
      </c>
      <c r="B24" s="2007" t="s">
        <v>757</v>
      </c>
      <c r="C24" s="2008"/>
    </row>
    <row r="25" spans="1:3">
      <c r="A25" s="2007" t="s">
        <v>1774</v>
      </c>
      <c r="B25" s="2007" t="s">
        <v>757</v>
      </c>
      <c r="C25" s="2008"/>
    </row>
    <row r="26" spans="1:3">
      <c r="A26" s="2007" t="s">
        <v>1775</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857</v>
      </c>
      <c r="B51" s="20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廊坊开发区梨花包装有限公司拟使用河北省廊坊开发区全兴路50号3幢、4幢工业用房房地产作为抵押担保物，向——办理贷款手续。——特委托北京康正宏基房地产评估有限公司对上述抵押物进行评估。本次评估为确定房地产抵押贷款额度提供参考依据而评估房地产抵押价值。</v>
      </c>
      <c r="D51" s="2015" t="s">
        <v>1284</v>
      </c>
    </row>
    <row r="52" spans="1:4">
      <c r="A52" s="2014" t="s">
        <v>858</v>
      </c>
      <c r="B52" s="2014" t="s">
        <v>859</v>
      </c>
      <c r="C52" s="2012" t="s">
        <v>860</v>
      </c>
      <c r="D52" s="2012" t="s">
        <v>861</v>
      </c>
    </row>
    <row r="53" spans="1:4">
      <c r="A53" s="3055" t="s">
        <v>862</v>
      </c>
      <c r="B53" s="2015" t="s">
        <v>863</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55"/>
      <c r="B54" s="2015" t="s">
        <v>864</v>
      </c>
      <c r="C54" s="2012" t="s">
        <v>1281</v>
      </c>
    </row>
    <row r="55" spans="1:4">
      <c r="A55" s="3055"/>
      <c r="B55" s="2015" t="s">
        <v>865</v>
      </c>
      <c r="C55" s="2012" t="s">
        <v>1282</v>
      </c>
    </row>
    <row r="56" spans="1:4">
      <c r="A56" s="3055"/>
      <c r="B56" s="2015" t="s">
        <v>866</v>
      </c>
      <c r="C56" s="2012" t="s">
        <v>1286</v>
      </c>
    </row>
    <row r="57" spans="1:4">
      <c r="A57" s="3055"/>
      <c r="B57" s="2015" t="s">
        <v>867</v>
      </c>
      <c r="C57" s="2012" t="s">
        <v>1283</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25" customWidth="1"/>
    <col min="2" max="2" width="10" style="2025" customWidth="1"/>
    <col min="3" max="3" width="11.5" style="2025" customWidth="1"/>
    <col min="4" max="6" width="10" style="2025" customWidth="1"/>
    <col min="7" max="7" width="10.75" style="2025" customWidth="1"/>
    <col min="8" max="8" width="10" style="2025" customWidth="1"/>
    <col min="9" max="9" width="11.125" style="2145" customWidth="1"/>
    <col min="10" max="10" width="10" style="2025" customWidth="1"/>
    <col min="11" max="11" width="10" style="2146" customWidth="1"/>
    <col min="12" max="13" width="10" style="2147" customWidth="1"/>
    <col min="14" max="14" width="10" style="2025" customWidth="1"/>
    <col min="15" max="15" width="10" style="2145" customWidth="1"/>
    <col min="16" max="17" width="10" style="2025"/>
    <col min="18" max="18" width="10" style="2025" customWidth="1"/>
    <col min="19" max="16384" width="10" style="2025"/>
  </cols>
  <sheetData>
    <row r="1" spans="1:19" ht="38.25" customHeight="1" thickBot="1">
      <c r="A1" s="2018" t="s">
        <v>1776</v>
      </c>
      <c r="B1" s="3064" t="str">
        <f>IF(B10="北京市","北京市",C10)&amp;F10&amp;IF(结果表!G1="在建","出让国有建设用地使用权及在建建筑物",IF(结果表!G1="土地","出让国有建设用地使用权",))&amp;B9&amp;"预评估"</f>
        <v>河北省廊坊开发区全兴路50号3幢、4幢工业用房房地产抵押价值预评估</v>
      </c>
      <c r="C1" s="3065"/>
      <c r="D1" s="3065"/>
      <c r="E1" s="3065"/>
      <c r="F1" s="3065"/>
      <c r="G1" s="3065"/>
      <c r="H1" s="3065"/>
      <c r="I1" s="3066"/>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河北省廊坊开发区全兴路50号3幢、4幢工业用房房地产抵押价值</v>
      </c>
    </row>
    <row r="2" spans="1:19" ht="18" customHeight="1">
      <c r="A2" s="2019" t="s">
        <v>1777</v>
      </c>
      <c r="B2" s="2986"/>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河北省廊坊开发区全兴路50号3幢、4幢工业用房房地产</v>
      </c>
    </row>
    <row r="3" spans="1:19" ht="18" customHeight="1">
      <c r="A3" s="2028" t="s">
        <v>1778</v>
      </c>
      <c r="B3" s="2029">
        <v>43216</v>
      </c>
      <c r="C3" s="2030" t="s">
        <v>1779</v>
      </c>
      <c r="D3" s="2029">
        <f>B3</f>
        <v>43216</v>
      </c>
      <c r="E3" s="2019"/>
      <c r="F3" s="2019"/>
      <c r="G3" s="2019"/>
      <c r="H3" s="2019"/>
      <c r="I3" s="2019"/>
      <c r="J3" s="2019"/>
      <c r="K3" s="2020"/>
      <c r="L3" s="2021"/>
      <c r="M3" s="2021"/>
      <c r="N3" s="2022"/>
      <c r="O3" s="2023"/>
      <c r="P3" s="2022"/>
      <c r="Q3" s="2022"/>
      <c r="R3" s="2022"/>
      <c r="S3" s="2024"/>
    </row>
    <row r="4" spans="1:19" ht="18" customHeight="1" thickBot="1">
      <c r="A4" s="2031" t="s">
        <v>1780</v>
      </c>
      <c r="B4" s="2032" t="s">
        <v>3025</v>
      </c>
      <c r="C4" s="1033">
        <f ca="1">SUMIF(注册房地产估价师,B4,估价师及机构信息!B3:B24)</f>
        <v>1120000080</v>
      </c>
      <c r="D4" s="2032" t="s">
        <v>3026</v>
      </c>
      <c r="E4" s="1034">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欧红伟（注册号：1120000080)、崔锴（注册号：1120100036)</v>
      </c>
      <c r="L4" s="2021"/>
      <c r="M4" s="2021"/>
      <c r="N4" s="2022"/>
      <c r="O4" s="2023"/>
      <c r="P4" s="2022"/>
      <c r="Q4" s="2022"/>
      <c r="R4" s="2022"/>
      <c r="S4" s="2024"/>
    </row>
    <row r="5" spans="1:19" ht="18" customHeight="1" thickTop="1">
      <c r="A5" s="2037" t="s">
        <v>1781</v>
      </c>
      <c r="B5" s="2987" t="s">
        <v>3289</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1782</v>
      </c>
      <c r="B6" s="2988" t="s">
        <v>3290</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1783</v>
      </c>
      <c r="B7" s="2989" t="str">
        <f>B5</f>
        <v>廊坊开发区梨花包装有限公司</v>
      </c>
      <c r="C7" s="2041"/>
      <c r="D7" s="2042"/>
      <c r="E7" s="2027"/>
      <c r="F7" s="2035"/>
      <c r="G7" s="2035"/>
      <c r="H7" s="2035"/>
      <c r="I7" s="2035"/>
      <c r="J7" s="2035"/>
      <c r="K7" s="2044"/>
      <c r="L7" s="2021"/>
      <c r="M7" s="2021"/>
      <c r="N7" s="2022"/>
      <c r="O7" s="2023"/>
      <c r="P7" s="2022"/>
      <c r="Q7" s="2022"/>
      <c r="R7" s="2022"/>
    </row>
    <row r="8" spans="1:19" ht="18" customHeight="1">
      <c r="A8" s="2040" t="s">
        <v>1784</v>
      </c>
      <c r="B8" s="2045" t="s">
        <v>3027</v>
      </c>
      <c r="C8" s="2046"/>
      <c r="D8" s="3067" t="s">
        <v>1785</v>
      </c>
      <c r="E8" s="2934" t="s">
        <v>3029</v>
      </c>
      <c r="F8" s="2047"/>
      <c r="G8" s="2019"/>
      <c r="H8" s="2019"/>
      <c r="I8" s="2019"/>
      <c r="J8" s="2035"/>
      <c r="K8" s="2036"/>
      <c r="L8" s="2021"/>
      <c r="M8" s="2021"/>
      <c r="N8" s="2022"/>
      <c r="O8" s="2023"/>
      <c r="P8" s="2022"/>
      <c r="Q8" s="2022"/>
      <c r="R8" s="2022"/>
    </row>
    <row r="9" spans="1:19" ht="18" customHeight="1" thickBot="1">
      <c r="A9" s="2033" t="s">
        <v>1786</v>
      </c>
      <c r="B9" s="2048" t="s">
        <v>3028</v>
      </c>
      <c r="C9" s="2049"/>
      <c r="D9" s="3068"/>
      <c r="E9" s="2048" t="s">
        <v>70</v>
      </c>
      <c r="F9" s="2050"/>
      <c r="G9" s="2051"/>
      <c r="H9" s="2051"/>
      <c r="I9" s="2051"/>
      <c r="J9" s="2035"/>
      <c r="K9" s="2044"/>
      <c r="L9" s="2021"/>
      <c r="M9" s="2021"/>
      <c r="N9" s="2022"/>
      <c r="O9" s="2023"/>
      <c r="P9" s="2022"/>
      <c r="Q9" s="2022"/>
      <c r="R9" s="2022"/>
    </row>
    <row r="10" spans="1:19" ht="18" customHeight="1" thickTop="1">
      <c r="A10" s="2052" t="s">
        <v>1787</v>
      </c>
      <c r="B10" s="2053" t="s">
        <v>3291</v>
      </c>
      <c r="C10" s="3005" t="s">
        <v>3292</v>
      </c>
      <c r="D10" s="2039"/>
      <c r="E10" s="2054" t="s">
        <v>1788</v>
      </c>
      <c r="F10" s="2982" t="s">
        <v>3293</v>
      </c>
      <c r="G10" s="2055"/>
      <c r="H10" s="2056"/>
      <c r="I10" s="2039"/>
      <c r="J10" s="2035"/>
      <c r="K10" s="2044"/>
      <c r="L10" s="2021"/>
      <c r="M10" s="2021"/>
      <c r="N10" s="2022"/>
      <c r="O10" s="2023"/>
      <c r="P10" s="2022"/>
      <c r="Q10" s="2022"/>
      <c r="R10" s="2022"/>
    </row>
    <row r="11" spans="1:19" ht="18" customHeight="1">
      <c r="A11" s="2057" t="s">
        <v>1789</v>
      </c>
      <c r="B11" s="2058" t="s">
        <v>3030</v>
      </c>
      <c r="C11" s="2990" t="str">
        <f>B5</f>
        <v>廊坊开发区梨花包装有限公司</v>
      </c>
      <c r="D11" s="2059"/>
      <c r="E11" s="2035"/>
      <c r="F11" s="2035"/>
      <c r="G11" s="2035"/>
      <c r="H11" s="2035"/>
      <c r="I11" s="2035"/>
      <c r="J11" s="2035"/>
      <c r="K11" s="2044"/>
      <c r="L11" s="2021"/>
      <c r="M11" s="2021"/>
      <c r="N11" s="2022"/>
      <c r="O11" s="2023"/>
      <c r="P11" s="2022"/>
      <c r="Q11" s="2022"/>
      <c r="R11" s="2022"/>
    </row>
    <row r="12" spans="1:19" ht="18" customHeight="1">
      <c r="A12" s="2060" t="s">
        <v>1790</v>
      </c>
      <c r="B12" s="2058" t="s">
        <v>3031</v>
      </c>
      <c r="C12" s="2061" t="s">
        <v>1791</v>
      </c>
      <c r="D12" s="2062" t="s">
        <v>1792</v>
      </c>
      <c r="E12" s="2062" t="s">
        <v>1793</v>
      </c>
      <c r="F12" s="2062" t="s">
        <v>1794</v>
      </c>
      <c r="G12" s="2062" t="s">
        <v>1795</v>
      </c>
      <c r="H12" s="2062" t="s">
        <v>1796</v>
      </c>
      <c r="I12" s="2062" t="s">
        <v>1797</v>
      </c>
      <c r="J12" s="2035"/>
      <c r="K12" s="2044"/>
      <c r="L12" s="2021"/>
      <c r="M12" s="2021"/>
      <c r="N12" s="2022"/>
      <c r="O12" s="2023"/>
      <c r="P12" s="2022"/>
      <c r="Q12" s="2022"/>
      <c r="R12" s="2022"/>
    </row>
    <row r="13" spans="1:19" ht="18" customHeight="1">
      <c r="A13" s="2063"/>
      <c r="B13" s="2064"/>
      <c r="C13" s="2065" t="s">
        <v>1798</v>
      </c>
      <c r="D13" s="2066"/>
      <c r="E13" s="2066"/>
      <c r="F13" s="2066"/>
      <c r="G13" s="2066"/>
      <c r="H13" s="2066"/>
      <c r="I13" s="1042">
        <v>53073</v>
      </c>
      <c r="J13" s="2035"/>
      <c r="K13" s="2044"/>
      <c r="L13" s="2021"/>
      <c r="M13" s="2021"/>
      <c r="N13" s="2022"/>
      <c r="O13" s="2023"/>
      <c r="P13" s="2022"/>
      <c r="Q13" s="2022"/>
      <c r="R13" s="2022"/>
    </row>
    <row r="14" spans="1:19" ht="18" customHeight="1">
      <c r="A14" s="2063"/>
      <c r="B14" s="2064"/>
      <c r="C14" s="2065" t="s">
        <v>1799</v>
      </c>
      <c r="D14" s="1045"/>
      <c r="E14" s="1045"/>
      <c r="F14" s="1045"/>
      <c r="G14" s="1045"/>
      <c r="H14" s="1045"/>
      <c r="I14" s="1045">
        <v>50</v>
      </c>
      <c r="J14" s="2035"/>
      <c r="K14" s="2067"/>
      <c r="L14" s="2021"/>
      <c r="M14" s="2021"/>
      <c r="N14" s="2022"/>
      <c r="O14" s="2023"/>
      <c r="P14" s="2022"/>
      <c r="Q14" s="2022"/>
      <c r="R14" s="2022"/>
    </row>
    <row r="15" spans="1:19" ht="18" customHeight="1">
      <c r="A15" s="2052"/>
      <c r="B15" s="2068"/>
      <c r="C15" s="2065" t="s">
        <v>1800</v>
      </c>
      <c r="D15" s="1044" t="str">
        <f>IF(B12="出让",IF(D13="","",ROUNDDOWN(MIN((D13-$D$3)/365,D14),2)),D14)</f>
        <v/>
      </c>
      <c r="E15" s="1044" t="str">
        <f>IF(B12="出让",IF(E13="","",ROUNDDOWN(MIN((E13-$D$3)/365,E14),2)),E14)</f>
        <v/>
      </c>
      <c r="F15" s="1044" t="str">
        <f>IF(B12="出让",IF(F13="","",ROUNDDOWN(MIN((F13-$D$3)/365,F14),2)),F14)</f>
        <v/>
      </c>
      <c r="G15" s="1044" t="str">
        <f>IF(B12="出让",IF(G13="","",ROUNDDOWN(MIN((G13-$D$3)/365,G14),2)),G14)</f>
        <v/>
      </c>
      <c r="H15" s="1044" t="str">
        <f>IF(B12="出让",IF(H13="","",ROUNDDOWN(MIN((H13-$D$3)/365,H14),2)),H14)</f>
        <v/>
      </c>
      <c r="I15" s="1044">
        <f>IF(B12="出让",IF(I13="","",ROUNDDOWN(MIN((I13-$D$3)/365,I14),2)),I14)</f>
        <v>27</v>
      </c>
      <c r="J15" s="2035"/>
      <c r="K15" s="2069"/>
      <c r="L15" s="2070"/>
      <c r="M15" s="2070"/>
      <c r="N15" s="2071"/>
      <c r="O15" s="2070"/>
      <c r="P15" s="2071"/>
      <c r="Q15" s="2022"/>
      <c r="R15" s="2022"/>
    </row>
    <row r="16" spans="1:19" ht="30.75" customHeight="1">
      <c r="A16" s="2054" t="s">
        <v>1801</v>
      </c>
      <c r="B16" s="3074" t="s">
        <v>3253</v>
      </c>
      <c r="C16" s="3075"/>
      <c r="D16" s="3076"/>
      <c r="E16" s="2072" t="s">
        <v>1802</v>
      </c>
      <c r="F16" s="3077">
        <v>27</v>
      </c>
      <c r="G16" s="3078"/>
      <c r="H16" s="3078"/>
      <c r="I16" s="3079"/>
      <c r="J16" s="2022"/>
      <c r="K16" s="2069"/>
      <c r="L16" s="2070"/>
      <c r="M16" s="2070"/>
      <c r="N16" s="2071"/>
      <c r="O16" s="2070"/>
      <c r="P16" s="2071"/>
      <c r="Q16" s="2022"/>
      <c r="R16" s="2022"/>
    </row>
    <row r="17" spans="1:22" ht="18" customHeight="1">
      <c r="A17" s="2073" t="s">
        <v>1803</v>
      </c>
      <c r="B17" s="2028" t="s">
        <v>1804</v>
      </c>
      <c r="C17" s="1049">
        <f>'数据-汇总表'!E3</f>
        <v>8377.9700000000012</v>
      </c>
      <c r="D17" s="2074" t="s">
        <v>1805</v>
      </c>
      <c r="E17" s="3080" t="s">
        <v>3254</v>
      </c>
      <c r="F17" s="3081"/>
      <c r="G17" s="3081"/>
      <c r="H17" s="3081"/>
      <c r="I17" s="3082"/>
      <c r="J17" s="2022"/>
      <c r="K17" s="2075"/>
      <c r="L17" s="2070"/>
      <c r="M17" s="2070"/>
      <c r="N17" s="2071"/>
      <c r="O17" s="2070"/>
      <c r="P17" s="2071"/>
      <c r="Q17" s="2022"/>
      <c r="R17" s="2022"/>
      <c r="S17" s="2022"/>
      <c r="T17" s="2022"/>
      <c r="U17" s="2022"/>
      <c r="V17" s="2022"/>
    </row>
    <row r="18" spans="1:22" ht="36" customHeight="1" thickBot="1">
      <c r="A18" s="2076" t="s">
        <v>3256</v>
      </c>
      <c r="B18" s="2031" t="s">
        <v>1806</v>
      </c>
      <c r="C18" s="1439">
        <f>'数据-汇总表'!D3</f>
        <v>39950.5</v>
      </c>
      <c r="D18" s="2077" t="s">
        <v>1805</v>
      </c>
      <c r="E18" s="3083" t="s">
        <v>3255</v>
      </c>
      <c r="F18" s="3084"/>
      <c r="G18" s="3084"/>
      <c r="H18" s="3084"/>
      <c r="I18" s="3085"/>
      <c r="J18" s="2022"/>
      <c r="K18" s="2075"/>
      <c r="L18" s="2070"/>
      <c r="M18" s="2070"/>
      <c r="N18" s="2071"/>
      <c r="O18" s="2070"/>
      <c r="P18" s="2071"/>
      <c r="Q18" s="2022"/>
      <c r="R18" s="2022"/>
      <c r="S18" s="2022"/>
      <c r="T18" s="2022"/>
      <c r="U18" s="2022"/>
      <c r="V18" s="2022"/>
    </row>
    <row r="19" spans="1:22" ht="37.5" customHeight="1" thickTop="1" thickBot="1">
      <c r="A19" s="372" t="s">
        <v>1807</v>
      </c>
      <c r="B19" s="351" t="s">
        <v>1808</v>
      </c>
      <c r="C19" s="2991" t="s">
        <v>3032</v>
      </c>
      <c r="D19" s="2078" t="s">
        <v>1809</v>
      </c>
      <c r="E19" s="2079" t="s">
        <v>3033</v>
      </c>
      <c r="F19" s="2080" t="str">
        <f>IF(AND(C19="是",E19="否"),"是否提供他项权证或相关说明","")</f>
        <v>是否提供他项权证或相关说明</v>
      </c>
      <c r="G19" s="2081" t="s">
        <v>70</v>
      </c>
      <c r="H19" s="2035"/>
      <c r="I19" s="2035"/>
      <c r="J19" s="2035"/>
      <c r="K19" s="2044"/>
      <c r="L19" s="2021"/>
      <c r="M19" s="2021"/>
      <c r="N19" s="2071"/>
      <c r="O19" s="2070"/>
      <c r="P19" s="2071"/>
      <c r="Q19" s="2022"/>
      <c r="R19" s="2022"/>
      <c r="S19" s="2022"/>
      <c r="T19" s="2022"/>
      <c r="U19" s="2022"/>
      <c r="V19" s="2022"/>
    </row>
    <row r="20" spans="1:22" ht="18" customHeight="1">
      <c r="A20" s="2082" t="s">
        <v>1810</v>
      </c>
      <c r="B20" s="3070" t="s">
        <v>1811</v>
      </c>
      <c r="C20" s="3071"/>
      <c r="D20" s="3072" t="s">
        <v>1812</v>
      </c>
      <c r="E20" s="3073"/>
      <c r="F20" s="2083" t="s">
        <v>1813</v>
      </c>
      <c r="G20" s="2035"/>
      <c r="H20" s="2035"/>
      <c r="I20" s="2035"/>
      <c r="J20" s="2035"/>
      <c r="K20" s="3069" t="s">
        <v>1814</v>
      </c>
      <c r="L20" s="746"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1"/>
      <c r="N20" s="2071"/>
      <c r="O20" s="2070"/>
      <c r="P20" s="2071"/>
      <c r="Q20" s="2022"/>
      <c r="R20" s="2022"/>
      <c r="S20" s="2022"/>
      <c r="T20" s="2022"/>
      <c r="U20" s="2022"/>
      <c r="V20" s="2022"/>
    </row>
    <row r="21" spans="1:22" ht="24.75" customHeight="1">
      <c r="A21" s="2082"/>
      <c r="B21" s="2084" t="s">
        <v>3257</v>
      </c>
      <c r="C21" s="2085" t="s">
        <v>3043</v>
      </c>
      <c r="D21" s="2086"/>
      <c r="E21" s="2087"/>
      <c r="F21" s="2088"/>
      <c r="G21" s="2035"/>
      <c r="H21" s="2035"/>
      <c r="I21" s="2035"/>
      <c r="J21" s="2035"/>
      <c r="K21" s="306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1"/>
      <c r="O21" s="2070"/>
      <c r="P21" s="2071"/>
      <c r="Q21" s="2022"/>
      <c r="R21" s="2022"/>
      <c r="S21" s="2022"/>
      <c r="T21" s="2022"/>
      <c r="U21" s="2022"/>
      <c r="V21" s="2022"/>
    </row>
    <row r="22" spans="1:22" ht="24.75" customHeight="1" thickBot="1">
      <c r="A22" s="2082"/>
      <c r="B22" s="2089"/>
      <c r="C22" s="2085"/>
      <c r="D22" s="2019"/>
      <c r="E22" s="2019"/>
      <c r="F22" s="2090"/>
      <c r="G22" s="2035"/>
      <c r="H22" s="2035"/>
      <c r="I22" s="2035"/>
      <c r="J22" s="2035"/>
      <c r="K22" s="306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1"/>
      <c r="O22" s="2070"/>
      <c r="P22" s="2071"/>
      <c r="Q22" s="2022"/>
      <c r="R22" s="2022"/>
      <c r="S22" s="2022"/>
      <c r="T22" s="2022"/>
      <c r="U22" s="2022"/>
      <c r="V22" s="2022"/>
    </row>
    <row r="23" spans="1:22" ht="18" customHeight="1">
      <c r="A23" s="2091" t="s">
        <v>1815</v>
      </c>
      <c r="B23" s="182" t="s">
        <v>1816</v>
      </c>
      <c r="C23" s="2092"/>
      <c r="D23" s="2093" t="s">
        <v>1816</v>
      </c>
      <c r="E23" s="2094"/>
      <c r="F23" s="2090"/>
      <c r="G23" s="2035"/>
      <c r="H23" s="2035"/>
      <c r="I23" s="2035"/>
      <c r="J23" s="2035"/>
      <c r="K23" s="2095"/>
      <c r="L23" s="746"/>
      <c r="M23" s="2021"/>
      <c r="N23" s="2071"/>
      <c r="O23" s="2070"/>
      <c r="P23" s="2071"/>
      <c r="Q23" s="2022"/>
      <c r="R23" s="2022"/>
      <c r="S23" s="2022"/>
      <c r="T23" s="2022"/>
      <c r="U23" s="2022"/>
      <c r="V23" s="2022"/>
    </row>
    <row r="24" spans="1:22" ht="18" customHeight="1">
      <c r="A24" s="2096"/>
      <c r="B24" s="182" t="s">
        <v>1817</v>
      </c>
      <c r="C24" s="2097"/>
      <c r="D24" s="2091" t="s">
        <v>1817</v>
      </c>
      <c r="E24" s="2098"/>
      <c r="F24" s="2090"/>
      <c r="G24" s="2035"/>
      <c r="H24" s="2035"/>
      <c r="I24" s="2035"/>
      <c r="J24" s="2035"/>
      <c r="K24" s="2095"/>
      <c r="L24" s="746"/>
      <c r="M24" s="2021"/>
      <c r="N24" s="2071"/>
      <c r="O24" s="2070"/>
      <c r="P24" s="2071"/>
      <c r="Q24" s="2022"/>
      <c r="R24" s="2022"/>
      <c r="S24" s="2022"/>
      <c r="T24" s="2022"/>
      <c r="U24" s="2022"/>
      <c r="V24" s="2022"/>
    </row>
    <row r="25" spans="1:22" ht="18" customHeight="1">
      <c r="A25" s="2096"/>
      <c r="B25" s="182" t="s">
        <v>1818</v>
      </c>
      <c r="C25" s="2097"/>
      <c r="D25" s="2091" t="s">
        <v>1818</v>
      </c>
      <c r="E25" s="2098"/>
      <c r="F25" s="2090"/>
      <c r="G25" s="2035"/>
      <c r="H25" s="2035"/>
      <c r="I25" s="2035"/>
      <c r="J25" s="2035"/>
      <c r="K25" s="2044"/>
      <c r="L25" s="2021"/>
      <c r="M25" s="2021"/>
      <c r="N25" s="2071"/>
      <c r="O25" s="2070"/>
      <c r="P25" s="2071"/>
      <c r="Q25" s="2022"/>
      <c r="R25" s="2022"/>
      <c r="S25" s="2022"/>
      <c r="T25" s="2022"/>
      <c r="U25" s="2022"/>
      <c r="V25" s="2022"/>
    </row>
    <row r="26" spans="1:22" ht="18" customHeight="1" thickBot="1">
      <c r="A26" s="2099"/>
      <c r="B26" s="2100" t="s">
        <v>1819</v>
      </c>
      <c r="C26" s="2101"/>
      <c r="D26" s="2102" t="s">
        <v>1820</v>
      </c>
      <c r="E26" s="2103"/>
      <c r="F26" s="2104"/>
      <c r="G26" s="2051"/>
      <c r="H26" s="2051"/>
      <c r="I26" s="2051"/>
      <c r="J26" s="2035"/>
      <c r="K26" s="2044"/>
      <c r="L26" s="2021"/>
      <c r="M26" s="2021"/>
      <c r="N26" s="2071"/>
      <c r="O26" s="2070"/>
      <c r="P26" s="2071"/>
      <c r="Q26" s="2022"/>
      <c r="R26" s="2022"/>
      <c r="S26" s="2022"/>
      <c r="T26" s="2022"/>
      <c r="U26" s="2022"/>
      <c r="V26" s="2022"/>
    </row>
    <row r="27" spans="1:22" ht="18" customHeight="1" thickTop="1">
      <c r="A27" s="3057" t="s">
        <v>1821</v>
      </c>
      <c r="B27" s="2052" t="s">
        <v>1822</v>
      </c>
      <c r="C27" s="2105" t="s">
        <v>3258</v>
      </c>
      <c r="D27" s="2106"/>
      <c r="E27" s="2035"/>
      <c r="F27" s="2035"/>
      <c r="G27" s="2035"/>
      <c r="H27" s="2035"/>
      <c r="I27" s="2035"/>
      <c r="J27" s="2022"/>
      <c r="K27" s="2069"/>
      <c r="L27" s="2070"/>
      <c r="M27" s="2070"/>
      <c r="N27" s="2071"/>
      <c r="O27" s="2070"/>
      <c r="P27" s="2071"/>
      <c r="Q27" s="2022"/>
      <c r="R27" s="2022"/>
      <c r="S27" s="2022"/>
      <c r="T27" s="2022"/>
      <c r="U27" s="2022"/>
      <c r="V27" s="2022"/>
    </row>
    <row r="28" spans="1:22" ht="18" customHeight="1">
      <c r="A28" s="3057"/>
      <c r="B28" s="2028" t="s">
        <v>1823</v>
      </c>
      <c r="C28" s="2107" t="s">
        <v>3034</v>
      </c>
      <c r="D28" s="2108"/>
      <c r="E28" s="2035"/>
      <c r="F28" s="2035"/>
      <c r="G28" s="2035"/>
      <c r="H28" s="2035"/>
      <c r="I28" s="2035"/>
      <c r="J28" s="2022"/>
      <c r="K28" s="2109"/>
      <c r="L28" s="2021"/>
      <c r="M28" s="2021"/>
      <c r="N28" s="2022"/>
      <c r="O28" s="2023"/>
      <c r="P28" s="2022"/>
      <c r="Q28" s="2022"/>
      <c r="R28" s="2022"/>
      <c r="S28" s="2022"/>
      <c r="T28" s="2022"/>
      <c r="U28" s="2022"/>
      <c r="V28" s="2022"/>
    </row>
    <row r="29" spans="1:22" ht="18" customHeight="1">
      <c r="A29" s="3057"/>
      <c r="B29" s="2028" t="s">
        <v>1824</v>
      </c>
      <c r="C29" s="2110" t="s">
        <v>3033</v>
      </c>
      <c r="D29" s="2111"/>
      <c r="E29" s="2035"/>
      <c r="F29" s="2035"/>
      <c r="G29" s="2035"/>
      <c r="H29" s="2035"/>
      <c r="I29" s="2035"/>
      <c r="J29" s="2022"/>
      <c r="K29" s="2109"/>
      <c r="L29" s="2021"/>
      <c r="M29" s="2021"/>
      <c r="N29" s="2022"/>
      <c r="O29" s="2023"/>
      <c r="P29" s="2022"/>
      <c r="Q29" s="2022"/>
      <c r="R29" s="2022"/>
      <c r="S29" s="2022"/>
      <c r="T29" s="2022"/>
      <c r="U29" s="2022"/>
      <c r="V29" s="2022"/>
    </row>
    <row r="30" spans="1:22" ht="18" customHeight="1">
      <c r="A30" s="3058"/>
      <c r="B30" s="2028" t="s">
        <v>1825</v>
      </c>
      <c r="C30" s="3059"/>
      <c r="D30" s="3060"/>
      <c r="E30" s="2035"/>
      <c r="F30" s="2035"/>
      <c r="G30" s="2035"/>
      <c r="H30" s="2035"/>
      <c r="I30" s="2035"/>
      <c r="J30" s="2022"/>
      <c r="K30" s="2109"/>
      <c r="L30" s="2021"/>
      <c r="M30" s="2021"/>
      <c r="N30" s="2022"/>
      <c r="O30" s="2023"/>
      <c r="P30" s="2022"/>
      <c r="Q30" s="2022"/>
      <c r="R30" s="2022"/>
      <c r="S30" s="2022"/>
      <c r="T30" s="2022"/>
      <c r="U30" s="2022"/>
      <c r="V30" s="2022"/>
    </row>
    <row r="31" spans="1:22" ht="18" customHeight="1">
      <c r="A31" s="3061" t="s">
        <v>1826</v>
      </c>
      <c r="B31" s="2112" t="s">
        <v>3035</v>
      </c>
      <c r="C31" s="2113" t="str">
        <f>IF(B31="现房","成新及维护状况正常否",IF(B31="在建","工程状态是否正常",IF(B31="土地","是否闲置","-")))</f>
        <v>成新及维护状况正常否</v>
      </c>
      <c r="D31" s="2114"/>
      <c r="E31" s="2115"/>
      <c r="F31" s="2035"/>
      <c r="G31" s="2035"/>
      <c r="H31" s="2035"/>
      <c r="I31" s="2035"/>
      <c r="J31" s="2035"/>
      <c r="K31" s="2043"/>
      <c r="L31" s="2021"/>
      <c r="M31" s="2021"/>
      <c r="N31" s="2022"/>
      <c r="O31" s="2023"/>
      <c r="P31" s="2022"/>
      <c r="Q31" s="2022"/>
      <c r="R31" s="2022"/>
      <c r="S31" s="2022"/>
      <c r="T31" s="2022"/>
      <c r="U31" s="2022"/>
      <c r="V31" s="2022"/>
    </row>
    <row r="32" spans="1:22" ht="18" customHeight="1">
      <c r="A32" s="3062"/>
      <c r="B32" s="2112"/>
      <c r="C32" s="2113" t="str">
        <f>IF(B32="现房","成新及维护状况是否正常",IF(B32="在建","工程状态是否正常",IF(B32="土地","是否闲置","-")))</f>
        <v>-</v>
      </c>
      <c r="D32" s="2114"/>
      <c r="E32" s="2115"/>
      <c r="F32" s="2035"/>
      <c r="G32" s="2035"/>
      <c r="H32" s="2035"/>
      <c r="I32" s="2035"/>
      <c r="J32" s="2035"/>
      <c r="K32" s="2044"/>
      <c r="L32" s="2021"/>
      <c r="M32" s="2021"/>
      <c r="N32" s="2022"/>
      <c r="O32" s="2023"/>
      <c r="P32" s="2022"/>
      <c r="Q32" s="2022"/>
      <c r="R32" s="2022"/>
      <c r="S32" s="2022"/>
      <c r="T32" s="2022"/>
      <c r="U32" s="2022"/>
      <c r="V32" s="2022"/>
    </row>
    <row r="33" spans="1:22" ht="18" customHeight="1">
      <c r="A33" s="3062"/>
      <c r="B33" s="2116"/>
      <c r="C33" s="2057" t="str">
        <f>IF(B33="现房","成新及维护状况是否正常",IF(B33="在建","工程状态是否正常",IF(B33="土地","是否闲置","-")))</f>
        <v>-</v>
      </c>
      <c r="D33" s="2117"/>
      <c r="E33" s="2118"/>
      <c r="F33" s="2035"/>
      <c r="G33" s="2035"/>
      <c r="H33" s="2035"/>
      <c r="I33" s="2035"/>
      <c r="J33" s="2035"/>
      <c r="K33" s="2044"/>
      <c r="L33" s="2021"/>
      <c r="M33" s="2021"/>
      <c r="N33" s="2022"/>
      <c r="O33" s="2023"/>
      <c r="P33" s="2022"/>
      <c r="Q33" s="2022"/>
      <c r="R33" s="2022"/>
      <c r="S33" s="2022"/>
      <c r="T33" s="2022"/>
      <c r="U33" s="2022"/>
      <c r="V33" s="2022"/>
    </row>
    <row r="34" spans="1:22" ht="18" customHeight="1">
      <c r="A34" s="2028" t="s">
        <v>1827</v>
      </c>
      <c r="B34" s="2119" t="s">
        <v>3036</v>
      </c>
      <c r="C34" s="2119" t="s">
        <v>3037</v>
      </c>
      <c r="D34" s="2119" t="s">
        <v>3038</v>
      </c>
      <c r="E34" s="2119" t="s">
        <v>3039</v>
      </c>
      <c r="F34" s="2119" t="s">
        <v>3040</v>
      </c>
      <c r="G34" s="2119" t="s">
        <v>3041</v>
      </c>
      <c r="H34" s="2119" t="s">
        <v>70</v>
      </c>
      <c r="I34" s="2035"/>
      <c r="J34" s="2035"/>
      <c r="K34" s="1788">
        <f>COUNTIF(B34:H34,"——")</f>
        <v>1</v>
      </c>
      <c r="L34" s="2061" t="s">
        <v>1828</v>
      </c>
      <c r="M34" s="2061" t="s">
        <v>1829</v>
      </c>
      <c r="N34" s="2061" t="s">
        <v>1830</v>
      </c>
      <c r="O34" s="2061" t="s">
        <v>1831</v>
      </c>
      <c r="P34" s="2061" t="s">
        <v>1832</v>
      </c>
      <c r="Q34" s="2061" t="s">
        <v>1833</v>
      </c>
      <c r="R34" s="2061" t="s">
        <v>1834</v>
      </c>
      <c r="S34" s="3056" t="s">
        <v>1835</v>
      </c>
      <c r="T34" s="2120" t="str">
        <f>NUMBERSTRING(7-K34,1)&amp;"通"</f>
        <v>六通</v>
      </c>
      <c r="U34" s="2022"/>
      <c r="V34" s="2022"/>
    </row>
    <row r="35" spans="1:22" ht="18" customHeight="1">
      <c r="A35" s="2121"/>
      <c r="B35" s="3063" t="s">
        <v>1836</v>
      </c>
      <c r="C35" s="3063"/>
      <c r="D35" s="3063"/>
      <c r="E35" s="3063"/>
      <c r="F35" s="2122" t="str">
        <f>C10</f>
        <v>河北省</v>
      </c>
      <c r="G35" s="2035"/>
      <c r="H35" s="2035"/>
      <c r="I35" s="2035"/>
      <c r="J35" s="2035"/>
      <c r="K35" s="2061"/>
      <c r="L35" s="206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6"/>
      <c r="T35" s="48" t="str">
        <f>IF(T34="一通",L35,IF(T34="二通",M35,IF(T34="三通",N35,IF(T34="四通",O35,IF(T34="五通",P35,IF(T34="六通",Q35,R35))))))</f>
        <v>通路、通电、通讯、通上水、通下水、燃气</v>
      </c>
      <c r="U35" s="2022"/>
      <c r="V35" s="2022"/>
    </row>
    <row r="36" spans="1:22" ht="18" customHeight="1">
      <c r="A36" s="2123"/>
      <c r="B36" s="2122" t="s">
        <v>1837</v>
      </c>
      <c r="C36" s="2122" t="s">
        <v>1838</v>
      </c>
      <c r="D36" s="2122" t="s">
        <v>1839</v>
      </c>
      <c r="E36" s="2122" t="s">
        <v>1840</v>
      </c>
      <c r="F36" s="2124"/>
      <c r="G36" s="2035"/>
      <c r="H36" s="2035"/>
      <c r="I36" s="2035"/>
      <c r="J36" s="2035"/>
      <c r="K36" s="2044"/>
      <c r="L36" s="2021"/>
      <c r="M36" s="2021"/>
      <c r="N36" s="2022"/>
      <c r="O36" s="2023"/>
      <c r="P36" s="2022"/>
      <c r="Q36" s="2022"/>
      <c r="R36" s="2022"/>
      <c r="S36" s="2022"/>
      <c r="T36" s="2022"/>
      <c r="U36" s="2022"/>
      <c r="V36" s="2022"/>
    </row>
    <row r="37" spans="1:22" ht="18" customHeight="1">
      <c r="A37" s="2125" t="s">
        <v>1841</v>
      </c>
      <c r="B37" s="2126"/>
      <c r="C37" s="2126"/>
      <c r="D37" s="2126"/>
      <c r="E37" s="2126"/>
      <c r="F37" s="2124"/>
      <c r="G37" s="2035"/>
      <c r="H37" s="2035"/>
      <c r="I37" s="2035"/>
      <c r="J37" s="2035"/>
      <c r="K37" s="2044"/>
      <c r="L37" s="2021"/>
      <c r="M37" s="2021"/>
      <c r="N37" s="2022"/>
      <c r="O37" s="2023"/>
      <c r="P37" s="2022"/>
      <c r="Q37" s="2022"/>
      <c r="R37" s="2022"/>
      <c r="S37" s="2022"/>
      <c r="T37" s="2022"/>
      <c r="U37" s="2022"/>
      <c r="V37" s="2022"/>
    </row>
    <row r="38" spans="1:22" ht="18" customHeight="1" thickBot="1">
      <c r="A38" s="2127" t="s">
        <v>1842</v>
      </c>
      <c r="B38" s="2128"/>
      <c r="C38" s="2128"/>
      <c r="D38" s="2128"/>
      <c r="E38" s="2128"/>
      <c r="F38" s="2129"/>
      <c r="G38" s="2051"/>
      <c r="H38" s="2051"/>
      <c r="I38" s="2051"/>
      <c r="J38" s="2035"/>
      <c r="K38" s="2044"/>
      <c r="L38" s="2021"/>
      <c r="M38" s="2021"/>
      <c r="N38" s="2022"/>
      <c r="O38" s="2023"/>
      <c r="P38" s="2022"/>
      <c r="Q38" s="2022"/>
      <c r="R38" s="2022"/>
      <c r="S38" s="2022"/>
      <c r="T38" s="2022"/>
      <c r="U38" s="2022"/>
      <c r="V38" s="2022"/>
    </row>
    <row r="39" spans="1:22" s="2134" customFormat="1" ht="18" customHeight="1" thickTop="1" thickBot="1">
      <c r="A39" s="2130" t="s">
        <v>1843</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22"/>
      <c r="B40" s="2022"/>
      <c r="C40" s="2022"/>
      <c r="D40" s="2022"/>
      <c r="E40" s="2022"/>
      <c r="F40" s="2022"/>
      <c r="G40" s="2022"/>
      <c r="H40" s="2022"/>
      <c r="I40" s="2135"/>
      <c r="J40" s="2071"/>
      <c r="K40" s="664"/>
      <c r="L40" s="2070"/>
      <c r="M40" s="2070"/>
      <c r="N40" s="2071"/>
      <c r="O40" s="2070"/>
      <c r="P40" s="2022"/>
      <c r="Q40" s="2022"/>
      <c r="R40" s="2022"/>
      <c r="S40" s="2022"/>
      <c r="T40" s="2022"/>
      <c r="U40" s="2022"/>
      <c r="V40" s="2022"/>
    </row>
    <row r="41" spans="1:22" ht="18" customHeight="1">
      <c r="A41" s="8" t="s">
        <v>1844</v>
      </c>
      <c r="B41" s="2136"/>
      <c r="C41" s="2137"/>
      <c r="D41" s="2022"/>
      <c r="E41" s="2022"/>
      <c r="F41" s="2022"/>
      <c r="G41" s="2022"/>
      <c r="H41" s="2022"/>
      <c r="I41" s="2023"/>
      <c r="J41" s="2022"/>
      <c r="K41" s="2109"/>
      <c r="L41" s="2021"/>
      <c r="M41" s="2021"/>
      <c r="N41" s="2022"/>
      <c r="O41" s="2023"/>
      <c r="P41" s="2022"/>
      <c r="Q41" s="2022"/>
      <c r="R41" s="2022"/>
      <c r="S41" s="2022"/>
      <c r="T41" s="2022"/>
      <c r="U41" s="2022"/>
      <c r="V41" s="2022"/>
    </row>
    <row r="42" spans="1:22" ht="18" customHeight="1">
      <c r="A42" s="2061" t="s">
        <v>1845</v>
      </c>
      <c r="B42" s="1788" t="s">
        <v>1846</v>
      </c>
      <c r="C42" s="1788" t="s">
        <v>1847</v>
      </c>
      <c r="D42" s="1788" t="s">
        <v>1848</v>
      </c>
      <c r="E42" s="1788" t="s">
        <v>1849</v>
      </c>
      <c r="F42" s="1788" t="s">
        <v>1850</v>
      </c>
      <c r="G42" s="1788" t="s">
        <v>1851</v>
      </c>
      <c r="H42" s="1788" t="s">
        <v>1852</v>
      </c>
      <c r="I42" s="1788" t="s">
        <v>1853</v>
      </c>
      <c r="J42" s="2138" t="s">
        <v>1854</v>
      </c>
      <c r="K42" s="2062" t="s">
        <v>1855</v>
      </c>
      <c r="L42" s="2062" t="s">
        <v>1856</v>
      </c>
      <c r="M42" s="2062" t="s">
        <v>1857</v>
      </c>
      <c r="N42" s="1788" t="s">
        <v>1858</v>
      </c>
      <c r="O42" s="1788" t="s">
        <v>1859</v>
      </c>
      <c r="P42" s="1788" t="s">
        <v>1860</v>
      </c>
      <c r="Q42" s="2061" t="s">
        <v>1861</v>
      </c>
      <c r="R42" s="2061" t="s">
        <v>1862</v>
      </c>
      <c r="S42" s="2022"/>
      <c r="T42" s="2022"/>
      <c r="U42" s="2022"/>
      <c r="V42" s="2022"/>
    </row>
    <row r="43" spans="1:22" s="2143" customFormat="1" ht="18" customHeight="1">
      <c r="A43" s="2139"/>
      <c r="B43" s="1267"/>
      <c r="C43" s="1267"/>
      <c r="D43" s="1267"/>
      <c r="E43" s="1267"/>
      <c r="F43" s="1267"/>
      <c r="G43" s="1267"/>
      <c r="H43" s="9"/>
      <c r="I43" s="9"/>
      <c r="J43" s="2140"/>
      <c r="K43" s="2141"/>
      <c r="L43" s="2141"/>
      <c r="M43" s="9"/>
      <c r="N43" s="1267"/>
      <c r="O43" s="9"/>
      <c r="P43" s="1267"/>
      <c r="Q43" s="1267"/>
      <c r="R43" s="1267"/>
      <c r="S43" s="2142"/>
      <c r="T43" s="2142"/>
      <c r="U43" s="2142"/>
      <c r="V43" s="2142"/>
    </row>
    <row r="44" spans="1:22" s="2143" customFormat="1" ht="18" customHeight="1">
      <c r="A44" s="2139"/>
      <c r="B44" s="2139"/>
      <c r="C44" s="1267"/>
      <c r="D44" s="1267"/>
      <c r="E44" s="1267"/>
      <c r="F44" s="1267"/>
      <c r="G44" s="1267"/>
      <c r="H44" s="9"/>
      <c r="I44" s="9"/>
      <c r="J44" s="2140"/>
      <c r="K44" s="2141"/>
      <c r="L44" s="2141"/>
      <c r="M44" s="9"/>
      <c r="N44" s="1267"/>
      <c r="O44" s="9"/>
      <c r="P44" s="1267"/>
      <c r="Q44" s="1267"/>
      <c r="R44" s="1267"/>
      <c r="S44" s="2142"/>
      <c r="T44" s="2142"/>
      <c r="U44" s="2142"/>
      <c r="V44" s="2142"/>
    </row>
    <row r="45" spans="1:22" s="2143" customFormat="1" ht="18" customHeight="1">
      <c r="A45" s="2139"/>
      <c r="B45" s="2139"/>
      <c r="C45" s="1267"/>
      <c r="D45" s="1267"/>
      <c r="E45" s="1267"/>
      <c r="F45" s="1267"/>
      <c r="G45" s="1267"/>
      <c r="H45" s="9"/>
      <c r="I45" s="9"/>
      <c r="J45" s="2140"/>
      <c r="K45" s="2141"/>
      <c r="L45" s="2141"/>
      <c r="M45" s="9"/>
      <c r="N45" s="1267"/>
      <c r="O45" s="9"/>
      <c r="P45" s="1267"/>
      <c r="Q45" s="1267"/>
      <c r="R45" s="1267"/>
      <c r="S45" s="2142"/>
      <c r="T45" s="2142"/>
      <c r="U45" s="2142"/>
      <c r="V45" s="2142"/>
    </row>
    <row r="46" spans="1:22" s="2143" customFormat="1" ht="18" customHeight="1">
      <c r="A46" s="2139"/>
      <c r="B46" s="2139"/>
      <c r="C46" s="1267"/>
      <c r="D46" s="1267"/>
      <c r="E46" s="1267"/>
      <c r="F46" s="1267"/>
      <c r="G46" s="1267"/>
      <c r="H46" s="9"/>
      <c r="I46" s="9"/>
      <c r="J46" s="2140"/>
      <c r="K46" s="2141"/>
      <c r="L46" s="2141"/>
      <c r="M46" s="9"/>
      <c r="N46" s="1267"/>
      <c r="O46" s="9"/>
      <c r="P46" s="1267"/>
      <c r="Q46" s="1267"/>
      <c r="R46" s="1267"/>
      <c r="S46" s="2142"/>
      <c r="T46" s="2142"/>
      <c r="U46" s="2142"/>
      <c r="V46" s="2142"/>
    </row>
    <row r="47" spans="1:22" s="2143" customFormat="1" ht="18" customHeight="1">
      <c r="A47" s="2139"/>
      <c r="B47" s="2139"/>
      <c r="C47" s="1267"/>
      <c r="D47" s="1267"/>
      <c r="E47" s="1267"/>
      <c r="F47" s="1267"/>
      <c r="G47" s="1267"/>
      <c r="H47" s="9"/>
      <c r="I47" s="9"/>
      <c r="J47" s="2140"/>
      <c r="K47" s="2141"/>
      <c r="L47" s="2141"/>
      <c r="M47" s="9"/>
      <c r="N47" s="1267"/>
      <c r="O47" s="9"/>
      <c r="P47" s="1267"/>
      <c r="Q47" s="1267"/>
      <c r="R47" s="1267"/>
      <c r="S47" s="2142"/>
      <c r="T47" s="2142"/>
      <c r="U47" s="2142"/>
      <c r="V47" s="2142"/>
    </row>
    <row r="48" spans="1:22" s="2143" customFormat="1" ht="18" customHeight="1">
      <c r="A48" s="2139"/>
      <c r="B48" s="2139"/>
      <c r="C48" s="1267"/>
      <c r="D48" s="1267"/>
      <c r="E48" s="1267"/>
      <c r="F48" s="1267"/>
      <c r="G48" s="1267"/>
      <c r="H48" s="9"/>
      <c r="I48" s="9"/>
      <c r="J48" s="2140"/>
      <c r="K48" s="2141"/>
      <c r="L48" s="2141"/>
      <c r="M48" s="9"/>
      <c r="N48" s="1267"/>
      <c r="O48" s="9"/>
      <c r="P48" s="1267"/>
      <c r="Q48" s="1267"/>
      <c r="R48" s="1267"/>
      <c r="S48" s="2142"/>
      <c r="T48" s="2142"/>
      <c r="U48" s="2142"/>
      <c r="V48" s="2142"/>
    </row>
    <row r="49" spans="1:22" s="2143" customFormat="1" ht="18" customHeight="1">
      <c r="A49" s="2139"/>
      <c r="B49" s="2139"/>
      <c r="C49" s="1267"/>
      <c r="D49" s="1267"/>
      <c r="E49" s="1267"/>
      <c r="F49" s="1267"/>
      <c r="G49" s="1267"/>
      <c r="H49" s="9"/>
      <c r="I49" s="9"/>
      <c r="J49" s="2140"/>
      <c r="K49" s="2141"/>
      <c r="L49" s="2141"/>
      <c r="M49" s="9"/>
      <c r="N49" s="1267"/>
      <c r="O49" s="9"/>
      <c r="P49" s="1267"/>
      <c r="Q49" s="1267"/>
      <c r="R49" s="1267"/>
      <c r="S49" s="2142"/>
      <c r="T49" s="2142"/>
      <c r="U49" s="2142"/>
      <c r="V49" s="2142"/>
    </row>
    <row r="50" spans="1:22" s="2143" customFormat="1" ht="18" customHeight="1">
      <c r="A50" s="2139"/>
      <c r="B50" s="2139"/>
      <c r="C50" s="1267"/>
      <c r="D50" s="1267"/>
      <c r="E50" s="1267"/>
      <c r="F50" s="1267"/>
      <c r="G50" s="1267"/>
      <c r="H50" s="9"/>
      <c r="I50" s="9"/>
      <c r="J50" s="2140"/>
      <c r="K50" s="2141"/>
      <c r="L50" s="2141"/>
      <c r="M50" s="9"/>
      <c r="N50" s="1267"/>
      <c r="O50" s="9"/>
      <c r="P50" s="1267"/>
      <c r="Q50" s="1267"/>
      <c r="R50" s="1267"/>
      <c r="S50" s="2142"/>
      <c r="T50" s="2142"/>
      <c r="U50" s="2142"/>
      <c r="V50" s="2142"/>
    </row>
    <row r="51" spans="1:22" s="2143" customFormat="1" ht="18" customHeight="1">
      <c r="A51" s="2139"/>
      <c r="B51" s="2139"/>
      <c r="C51" s="1267"/>
      <c r="D51" s="1267"/>
      <c r="E51" s="1267"/>
      <c r="F51" s="1267"/>
      <c r="G51" s="1267"/>
      <c r="H51" s="9"/>
      <c r="I51" s="9"/>
      <c r="J51" s="2140"/>
      <c r="K51" s="2141"/>
      <c r="L51" s="2141"/>
      <c r="M51" s="9"/>
      <c r="N51" s="1267"/>
      <c r="O51" s="9"/>
      <c r="P51" s="1267"/>
      <c r="Q51" s="1267"/>
      <c r="R51" s="1267"/>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6" sqref="B26"/>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8"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customWidth="1"/>
    <col min="20" max="21" width="10.75" style="2145" customWidth="1"/>
    <col min="22" max="22" width="10.875" style="2145" customWidth="1"/>
    <col min="23" max="27" width="10.75" style="2145" customWidth="1"/>
    <col min="28" max="28" width="10.875" style="2145"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1863</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49" t="s">
        <v>1864</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3" customFormat="1" ht="24">
      <c r="A2" s="11" t="s">
        <v>1865</v>
      </c>
      <c r="B2" s="11" t="s">
        <v>1866</v>
      </c>
      <c r="C2" s="11" t="s">
        <v>1867</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64" t="s">
        <v>1868</v>
      </c>
      <c r="AZ2" s="1265" t="s">
        <v>1869</v>
      </c>
      <c r="BA2" s="11" t="s">
        <v>1870</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v>39950.5</v>
      </c>
      <c r="B3" s="14">
        <f>IF(C3="否",G5-AT5,G5)</f>
        <v>8377.9700000000012</v>
      </c>
      <c r="C3" s="2154" t="s">
        <v>1871</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66"/>
      <c r="AZ3" s="1267"/>
      <c r="BA3" s="1268"/>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1872</v>
      </c>
      <c r="B5" s="1796"/>
      <c r="C5" s="1796"/>
      <c r="D5" s="1799"/>
      <c r="E5" s="16" t="s">
        <v>1</v>
      </c>
      <c r="F5" s="16">
        <f>SUM(F13:F587)</f>
        <v>0</v>
      </c>
      <c r="G5" s="16">
        <f>SUM(G13:G587)</f>
        <v>8377.9700000000012</v>
      </c>
      <c r="H5" s="16">
        <f t="shared" ref="H5:AT5" si="0">SUM(H13:H656)</f>
        <v>7581.01</v>
      </c>
      <c r="I5" s="16">
        <f t="shared" si="0"/>
        <v>5371.4500000000007</v>
      </c>
      <c r="J5" s="16">
        <f t="shared" si="0"/>
        <v>0</v>
      </c>
      <c r="K5" s="16">
        <f t="shared" si="0"/>
        <v>2209.56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796.96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796.96</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1872</v>
      </c>
      <c r="AW5" s="1796"/>
      <c r="AX5" s="1796"/>
      <c r="AY5" s="17" t="s">
        <v>3</v>
      </c>
      <c r="AZ5" s="18">
        <f t="shared" ref="AZ5:BT5" si="1">SUM(AZ13:AZ656)</f>
        <v>8377.9700000000012</v>
      </c>
      <c r="BA5" s="18">
        <f t="shared" si="1"/>
        <v>7581.01</v>
      </c>
      <c r="BB5" s="18">
        <f t="shared" si="1"/>
        <v>5371.4500000000007</v>
      </c>
      <c r="BC5" s="18">
        <f t="shared" si="1"/>
        <v>2209.56</v>
      </c>
      <c r="BD5" s="18">
        <f t="shared" si="1"/>
        <v>0</v>
      </c>
      <c r="BE5" s="18">
        <f t="shared" si="1"/>
        <v>0</v>
      </c>
      <c r="BF5" s="18">
        <f t="shared" si="1"/>
        <v>0</v>
      </c>
      <c r="BG5" s="18">
        <f t="shared" si="1"/>
        <v>0</v>
      </c>
      <c r="BH5" s="18">
        <f t="shared" si="1"/>
        <v>0</v>
      </c>
      <c r="BI5" s="18">
        <f t="shared" si="1"/>
        <v>0</v>
      </c>
      <c r="BJ5" s="18">
        <f t="shared" si="1"/>
        <v>0</v>
      </c>
      <c r="BK5" s="18">
        <f t="shared" si="1"/>
        <v>0</v>
      </c>
      <c r="BL5" s="18">
        <f t="shared" si="1"/>
        <v>796.96</v>
      </c>
      <c r="BM5" s="18">
        <f t="shared" si="1"/>
        <v>0</v>
      </c>
      <c r="BN5" s="18">
        <f t="shared" si="1"/>
        <v>0</v>
      </c>
      <c r="BO5" s="18">
        <f t="shared" si="1"/>
        <v>0</v>
      </c>
      <c r="BP5" s="18">
        <f t="shared" si="1"/>
        <v>0</v>
      </c>
      <c r="BQ5" s="18">
        <f t="shared" si="1"/>
        <v>796.96</v>
      </c>
      <c r="BR5" s="18">
        <f t="shared" si="1"/>
        <v>0</v>
      </c>
      <c r="BS5" s="18">
        <f t="shared" si="1"/>
        <v>0</v>
      </c>
      <c r="BT5" s="19">
        <f t="shared" si="1"/>
        <v>0</v>
      </c>
    </row>
    <row r="6" spans="1:72" s="2163" customFormat="1" ht="12.75">
      <c r="A6" s="15" t="s">
        <v>1873</v>
      </c>
      <c r="B6" s="2160"/>
      <c r="C6" s="2160"/>
      <c r="D6" s="2161"/>
      <c r="E6" s="16">
        <f>H6+AC6+AT6</f>
        <v>39950.51</v>
      </c>
      <c r="F6" s="16" t="s">
        <v>1</v>
      </c>
      <c r="G6" s="16" t="s">
        <v>2</v>
      </c>
      <c r="H6" s="20">
        <f>SUMIF(I$12:AB$12,"总值",I6:AB6)</f>
        <v>36150.19</v>
      </c>
      <c r="I6" s="16">
        <f t="shared" ref="I6:AB6" si="2">ROUND($A$3*I5/$B$3,2)</f>
        <v>25613.86</v>
      </c>
      <c r="J6" s="16">
        <f t="shared" si="2"/>
        <v>0</v>
      </c>
      <c r="K6" s="16">
        <f t="shared" si="2"/>
        <v>10536.33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3800.32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3800.32</v>
      </c>
      <c r="AM6" s="16">
        <f t="shared" si="3"/>
        <v>0</v>
      </c>
      <c r="AN6" s="16">
        <f t="shared" si="3"/>
        <v>0</v>
      </c>
      <c r="AO6" s="16">
        <f t="shared" si="3"/>
        <v>0</v>
      </c>
      <c r="AP6" s="16">
        <f t="shared" si="3"/>
        <v>0</v>
      </c>
      <c r="AQ6" s="16">
        <f t="shared" si="3"/>
        <v>0</v>
      </c>
      <c r="AR6" s="16">
        <f t="shared" si="3"/>
        <v>0</v>
      </c>
      <c r="AS6" s="16">
        <f t="shared" si="3"/>
        <v>0</v>
      </c>
      <c r="AT6" s="20">
        <f>IF(C3="是",ROUND($A$3*AT5/$B$3,2),0)</f>
        <v>0</v>
      </c>
      <c r="AU6" s="2162"/>
      <c r="AV6" s="15" t="s">
        <v>1873</v>
      </c>
      <c r="AW6" s="2160"/>
      <c r="AX6" s="2160"/>
      <c r="AY6" s="21">
        <f>IF(AY3&gt;0,AY3,ROUND($A$3*AZ5/$B$3,2))</f>
        <v>39950.5</v>
      </c>
      <c r="AZ6" s="16" t="s">
        <v>3</v>
      </c>
      <c r="BA6" s="16">
        <f>ROUND($AY$6*BA5/$AZ$5,2)</f>
        <v>36150.18</v>
      </c>
      <c r="BB6" s="16">
        <f>ROUND($AY$6*BB5/$AZ$5,2)</f>
        <v>25613.86</v>
      </c>
      <c r="BC6" s="16">
        <f t="shared" ref="BC6:BH6" si="4">ROUND($AY$6*BC5/$AZ$5,2)</f>
        <v>10536.33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3800.32</v>
      </c>
      <c r="BM6" s="16">
        <f t="shared" si="5"/>
        <v>0</v>
      </c>
      <c r="BN6" s="16">
        <f t="shared" si="5"/>
        <v>0</v>
      </c>
      <c r="BO6" s="16">
        <f t="shared" si="5"/>
        <v>0</v>
      </c>
      <c r="BP6" s="16">
        <f t="shared" si="5"/>
        <v>0</v>
      </c>
      <c r="BQ6" s="16">
        <f t="shared" si="5"/>
        <v>3800.32</v>
      </c>
      <c r="BR6" s="16">
        <f t="shared" si="5"/>
        <v>0</v>
      </c>
      <c r="BS6" s="16">
        <f t="shared" si="5"/>
        <v>0</v>
      </c>
      <c r="BT6" s="22">
        <f t="shared" si="5"/>
        <v>0</v>
      </c>
    </row>
    <row r="7" spans="1:72" s="2153" customFormat="1" ht="24.75">
      <c r="A7" s="2095" t="s">
        <v>1874</v>
      </c>
      <c r="B7" s="2095" t="s">
        <v>1875</v>
      </c>
      <c r="C7" s="2095" t="s">
        <v>1876</v>
      </c>
      <c r="D7" s="2095" t="s">
        <v>1877</v>
      </c>
      <c r="E7" s="2095" t="s">
        <v>1878</v>
      </c>
      <c r="F7" s="2095" t="s">
        <v>1879</v>
      </c>
      <c r="G7" s="2164" t="s">
        <v>1880</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9"/>
      <c r="AU7" s="2165" t="s">
        <v>1881</v>
      </c>
      <c r="AV7" s="23" t="s">
        <v>1882</v>
      </c>
      <c r="AW7" s="2152" t="s">
        <v>1883</v>
      </c>
      <c r="AX7" s="23" t="s">
        <v>1876</v>
      </c>
      <c r="AY7" s="1796" t="s">
        <v>1884</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1885</v>
      </c>
      <c r="H8" s="2170" t="s">
        <v>1886</v>
      </c>
      <c r="I8" s="2171"/>
      <c r="J8" s="1811"/>
      <c r="K8" s="1811"/>
      <c r="L8" s="1811"/>
      <c r="M8" s="1811"/>
      <c r="N8" s="1811"/>
      <c r="O8" s="1811"/>
      <c r="P8" s="1811"/>
      <c r="Q8" s="1811"/>
      <c r="R8" s="1811"/>
      <c r="S8" s="1811"/>
      <c r="T8" s="1811"/>
      <c r="U8" s="1811"/>
      <c r="V8" s="2172"/>
      <c r="W8" s="1811"/>
      <c r="X8" s="1811"/>
      <c r="Y8" s="1811"/>
      <c r="Z8" s="1811"/>
      <c r="AA8" s="2172"/>
      <c r="AB8" s="2173"/>
      <c r="AC8" s="977" t="s">
        <v>1887</v>
      </c>
      <c r="AD8" s="2174"/>
      <c r="AE8" s="2166"/>
      <c r="AF8" s="1811"/>
      <c r="AG8" s="1811"/>
      <c r="AH8" s="1811"/>
      <c r="AI8" s="1811"/>
      <c r="AJ8" s="1811"/>
      <c r="AK8" s="1811"/>
      <c r="AL8" s="1811"/>
      <c r="AM8" s="1811"/>
      <c r="AN8" s="1811"/>
      <c r="AO8" s="1811"/>
      <c r="AP8" s="1811"/>
      <c r="AQ8" s="1811"/>
      <c r="AR8" s="1811"/>
      <c r="AS8" s="1811"/>
      <c r="AT8" s="1287" t="s">
        <v>1888</v>
      </c>
      <c r="AU8" s="2168" t="s">
        <v>1889</v>
      </c>
      <c r="AV8" s="1287"/>
      <c r="AW8" s="2151"/>
      <c r="AX8" s="1287"/>
      <c r="AY8" s="2152" t="s">
        <v>1890</v>
      </c>
      <c r="AZ8" s="1810" t="s">
        <v>1891</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5" customFormat="1" ht="12.75">
      <c r="A9" s="2168"/>
      <c r="B9" s="2168"/>
      <c r="C9" s="2168"/>
      <c r="D9" s="2168"/>
      <c r="E9" s="2168"/>
      <c r="F9" s="2168"/>
      <c r="G9" s="1287"/>
      <c r="H9" s="2176" t="s">
        <v>1892</v>
      </c>
      <c r="I9" s="2177" t="s">
        <v>3044</v>
      </c>
      <c r="J9" s="977"/>
      <c r="K9" s="2177" t="s">
        <v>3044</v>
      </c>
      <c r="L9" s="977"/>
      <c r="M9" s="2177"/>
      <c r="N9" s="977"/>
      <c r="O9" s="2177"/>
      <c r="P9" s="977"/>
      <c r="Q9" s="2177"/>
      <c r="R9" s="977"/>
      <c r="S9" s="2177"/>
      <c r="T9" s="977"/>
      <c r="U9" s="2177"/>
      <c r="V9" s="977"/>
      <c r="W9" s="2177"/>
      <c r="X9" s="2178"/>
      <c r="Y9" s="2177"/>
      <c r="Z9" s="977"/>
      <c r="AA9" s="2177"/>
      <c r="AB9" s="977"/>
      <c r="AC9" s="2169" t="s">
        <v>1892</v>
      </c>
      <c r="AD9" s="15" t="s">
        <v>1893</v>
      </c>
      <c r="AE9" s="1293"/>
      <c r="AF9" s="15" t="s">
        <v>1894</v>
      </c>
      <c r="AG9" s="1293"/>
      <c r="AH9" s="15" t="s">
        <v>1893</v>
      </c>
      <c r="AI9" s="1293"/>
      <c r="AJ9" s="15" t="s">
        <v>1894</v>
      </c>
      <c r="AK9" s="1293"/>
      <c r="AL9" s="15" t="s">
        <v>1893</v>
      </c>
      <c r="AM9" s="1293"/>
      <c r="AN9" s="15" t="s">
        <v>1894</v>
      </c>
      <c r="AO9" s="1293"/>
      <c r="AP9" s="15" t="s">
        <v>1893</v>
      </c>
      <c r="AQ9" s="1293"/>
      <c r="AR9" s="15" t="s">
        <v>1894</v>
      </c>
      <c r="AS9" s="2179"/>
      <c r="AT9" s="2168"/>
      <c r="AU9" s="2168" t="s">
        <v>1895</v>
      </c>
      <c r="AV9" s="1287"/>
      <c r="AW9" s="2151"/>
      <c r="AX9" s="1287"/>
      <c r="AY9" s="28"/>
      <c r="AZ9" s="28" t="s">
        <v>1885</v>
      </c>
      <c r="BA9" s="2180" t="s">
        <v>1896</v>
      </c>
      <c r="BB9" s="2181"/>
      <c r="BC9" s="1333"/>
      <c r="BD9" s="1333"/>
      <c r="BE9" s="1333"/>
      <c r="BF9" s="1333"/>
      <c r="BG9" s="1333"/>
      <c r="BH9" s="1333"/>
      <c r="BI9" s="1333"/>
      <c r="BJ9" s="1333"/>
      <c r="BK9" s="2182"/>
      <c r="BL9" s="15" t="s">
        <v>1897</v>
      </c>
      <c r="BM9" s="1811"/>
      <c r="BN9" s="2171"/>
      <c r="BO9" s="1811"/>
      <c r="BP9" s="1811"/>
      <c r="BQ9" s="1811"/>
      <c r="BR9" s="1811"/>
      <c r="BS9" s="1811"/>
      <c r="BT9" s="26"/>
    </row>
    <row r="10" spans="1:72" s="2175" customFormat="1" ht="12.75">
      <c r="A10" s="2168"/>
      <c r="B10" s="2168"/>
      <c r="C10" s="2168"/>
      <c r="D10" s="2168"/>
      <c r="E10" s="2168"/>
      <c r="F10" s="2168"/>
      <c r="G10" s="1287"/>
      <c r="H10" s="28"/>
      <c r="I10" s="2177" t="s">
        <v>6</v>
      </c>
      <c r="J10" s="977"/>
      <c r="K10" s="2183" t="s">
        <v>6</v>
      </c>
      <c r="L10" s="977"/>
      <c r="M10" s="2183"/>
      <c r="N10" s="977"/>
      <c r="O10" s="2183"/>
      <c r="P10" s="977"/>
      <c r="Q10" s="2183"/>
      <c r="R10" s="977"/>
      <c r="S10" s="2183"/>
      <c r="T10" s="977"/>
      <c r="U10" s="2183"/>
      <c r="V10" s="977"/>
      <c r="W10" s="2183"/>
      <c r="X10" s="977"/>
      <c r="Y10" s="2183"/>
      <c r="Z10" s="977"/>
      <c r="AA10" s="2183"/>
      <c r="AB10" s="977"/>
      <c r="AC10" s="1287"/>
      <c r="AD10" s="15" t="s">
        <v>1898</v>
      </c>
      <c r="AE10" s="2184"/>
      <c r="AF10" s="15" t="s">
        <v>1898</v>
      </c>
      <c r="AG10" s="2184"/>
      <c r="AH10" s="15" t="s">
        <v>1899</v>
      </c>
      <c r="AI10" s="2184"/>
      <c r="AJ10" s="15" t="s">
        <v>1899</v>
      </c>
      <c r="AK10" s="2184"/>
      <c r="AL10" s="15" t="s">
        <v>1900</v>
      </c>
      <c r="AM10" s="1293"/>
      <c r="AN10" s="15" t="s">
        <v>1900</v>
      </c>
      <c r="AO10" s="1293"/>
      <c r="AP10" s="15" t="s">
        <v>1901</v>
      </c>
      <c r="AQ10" s="1293"/>
      <c r="AR10" s="15" t="s">
        <v>1901</v>
      </c>
      <c r="AS10" s="1293"/>
      <c r="AT10" s="2168"/>
      <c r="AU10" s="2168"/>
      <c r="AV10" s="1287"/>
      <c r="AW10" s="2151"/>
      <c r="AX10" s="1287"/>
      <c r="AY10" s="28"/>
      <c r="AZ10" s="28"/>
      <c r="BA10" s="2185" t="s">
        <v>1892</v>
      </c>
      <c r="BB10" s="2186" t="str">
        <f>I9</f>
        <v>地上</v>
      </c>
      <c r="BC10" s="29" t="str">
        <f>K9</f>
        <v>地上</v>
      </c>
      <c r="BD10" s="29">
        <f>M9</f>
        <v>0</v>
      </c>
      <c r="BE10" s="29">
        <f>O9</f>
        <v>0</v>
      </c>
      <c r="BF10" s="29">
        <f>Q9</f>
        <v>0</v>
      </c>
      <c r="BG10" s="29">
        <f>S9</f>
        <v>0</v>
      </c>
      <c r="BH10" s="29">
        <f>U9</f>
        <v>0</v>
      </c>
      <c r="BI10" s="29">
        <f>W9</f>
        <v>0</v>
      </c>
      <c r="BJ10" s="29">
        <f>Y9</f>
        <v>0</v>
      </c>
      <c r="BK10" s="29">
        <f>AA9</f>
        <v>0</v>
      </c>
      <c r="BL10" s="25" t="s">
        <v>1892</v>
      </c>
      <c r="BM10" s="1810" t="str">
        <f>AD9</f>
        <v>地上</v>
      </c>
      <c r="BN10" s="29" t="str">
        <f>AF9</f>
        <v>地下</v>
      </c>
      <c r="BO10" s="1810" t="str">
        <f>AH9</f>
        <v>地上</v>
      </c>
      <c r="BP10" s="29" t="str">
        <f>AJ9</f>
        <v>地下</v>
      </c>
      <c r="BQ10" s="1810" t="str">
        <f>AL9</f>
        <v>地上</v>
      </c>
      <c r="BR10" s="29" t="str">
        <f>AN9</f>
        <v>地下</v>
      </c>
      <c r="BS10" s="1810" t="str">
        <f>AP9</f>
        <v>地上</v>
      </c>
      <c r="BT10" s="2187" t="str">
        <f>AR9</f>
        <v>地下</v>
      </c>
    </row>
    <row r="11" spans="1:72" s="2175" customFormat="1" ht="12.75">
      <c r="A11" s="2168"/>
      <c r="B11" s="2168"/>
      <c r="C11" s="2168"/>
      <c r="D11" s="2168"/>
      <c r="E11" s="2168"/>
      <c r="F11" s="2168"/>
      <c r="G11" s="1287"/>
      <c r="H11" s="2185"/>
      <c r="I11" s="2188" t="s">
        <v>3259</v>
      </c>
      <c r="J11" s="2189"/>
      <c r="K11" s="2188" t="s">
        <v>3311</v>
      </c>
      <c r="L11" s="2189"/>
      <c r="M11" s="2188"/>
      <c r="N11" s="2189"/>
      <c r="O11" s="2188"/>
      <c r="P11" s="2189"/>
      <c r="Q11" s="2188"/>
      <c r="R11" s="2189"/>
      <c r="S11" s="2188"/>
      <c r="T11" s="2189"/>
      <c r="U11" s="2188"/>
      <c r="V11" s="2189"/>
      <c r="W11" s="2188"/>
      <c r="X11" s="2189"/>
      <c r="Y11" s="2188"/>
      <c r="Z11" s="2189"/>
      <c r="AA11" s="2188"/>
      <c r="AB11" s="2189"/>
      <c r="AC11" s="1287"/>
      <c r="AD11" s="2190" t="s">
        <v>1902</v>
      </c>
      <c r="AE11" s="1812"/>
      <c r="AF11" s="2190" t="s">
        <v>1902</v>
      </c>
      <c r="AG11" s="1812"/>
      <c r="AH11" s="2190" t="s">
        <v>1903</v>
      </c>
      <c r="AI11" s="2191"/>
      <c r="AJ11" s="2190" t="s">
        <v>1903</v>
      </c>
      <c r="AK11" s="1812"/>
      <c r="AL11" s="1810"/>
      <c r="AM11" s="1812"/>
      <c r="AN11" s="1810"/>
      <c r="AO11" s="1812"/>
      <c r="AP11" s="1810"/>
      <c r="AQ11" s="1812"/>
      <c r="AR11" s="1810"/>
      <c r="AS11" s="1812"/>
      <c r="AT11" s="2151"/>
      <c r="AU11" s="2168"/>
      <c r="AV11" s="1287"/>
      <c r="AW11" s="2151"/>
      <c r="AX11" s="1287"/>
      <c r="AY11" s="28"/>
      <c r="AZ11" s="28"/>
      <c r="BA11" s="28"/>
      <c r="BB11" s="2173" t="str">
        <f>I10</f>
        <v>工业</v>
      </c>
      <c r="BC11" s="2173" t="str">
        <f>K10</f>
        <v>工业</v>
      </c>
      <c r="BD11" s="2173">
        <f>M10</f>
        <v>0</v>
      </c>
      <c r="BE11" s="2173">
        <f>O10</f>
        <v>0</v>
      </c>
      <c r="BF11" s="2173">
        <f>Q10</f>
        <v>0</v>
      </c>
      <c r="BG11" s="2173">
        <f>S10</f>
        <v>0</v>
      </c>
      <c r="BH11" s="2173">
        <f>U10</f>
        <v>0</v>
      </c>
      <c r="BI11" s="2173">
        <f>W10</f>
        <v>0</v>
      </c>
      <c r="BJ11" s="2173">
        <f>Y10</f>
        <v>0</v>
      </c>
      <c r="BK11" s="2173">
        <f>AA10</f>
        <v>0</v>
      </c>
      <c r="BL11" s="1287"/>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5" t="s">
        <v>1905</v>
      </c>
      <c r="W12" s="11" t="s">
        <v>1904</v>
      </c>
      <c r="X12" s="11" t="s">
        <v>1905</v>
      </c>
      <c r="Y12" s="11" t="s">
        <v>1904</v>
      </c>
      <c r="Z12" s="11" t="s">
        <v>1905</v>
      </c>
      <c r="AA12" s="11" t="s">
        <v>1904</v>
      </c>
      <c r="AB12" s="11" t="s">
        <v>1905</v>
      </c>
      <c r="AC12" s="2195"/>
      <c r="AD12" s="179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3" t="s">
        <v>1905</v>
      </c>
      <c r="AT12" s="2196"/>
      <c r="AU12" s="2193"/>
      <c r="AV12" s="31"/>
      <c r="AW12" s="2152"/>
      <c r="AX12" s="31"/>
      <c r="AY12" s="2197"/>
      <c r="AZ12" s="28"/>
      <c r="BA12" s="2185"/>
      <c r="BB12" s="24" t="str">
        <f>I11</f>
        <v>标准厂房</v>
      </c>
      <c r="BC12" s="2198" t="str">
        <f>K11</f>
        <v>办公楼</v>
      </c>
      <c r="BD12" s="2198">
        <f>M11</f>
        <v>0</v>
      </c>
      <c r="BE12" s="2173">
        <f>O11</f>
        <v>0</v>
      </c>
      <c r="BF12" s="2173">
        <f>Q11</f>
        <v>0</v>
      </c>
      <c r="BG12" s="2173">
        <f>S11</f>
        <v>0</v>
      </c>
      <c r="BH12" s="2173">
        <f>U11</f>
        <v>0</v>
      </c>
      <c r="BI12" s="2173">
        <f>W11</f>
        <v>0</v>
      </c>
      <c r="BJ12" s="2173">
        <f>Y11</f>
        <v>0</v>
      </c>
      <c r="BK12" s="2173">
        <f>AA11</f>
        <v>0</v>
      </c>
      <c r="BL12" s="1287"/>
      <c r="BM12" s="1810" t="str">
        <f>AD11</f>
        <v>（住宅）</v>
      </c>
      <c r="BN12" s="1810" t="str">
        <f>AF11</f>
        <v>（住宅）</v>
      </c>
      <c r="BO12" s="24" t="str">
        <f>AH11</f>
        <v>（住宅、计出让金）</v>
      </c>
      <c r="BP12" s="24" t="str">
        <f>AJ11</f>
        <v>（住宅、计出让金）</v>
      </c>
      <c r="BQ12" s="24">
        <f>AL11</f>
        <v>0</v>
      </c>
      <c r="BR12" s="24">
        <f>AN11</f>
        <v>0</v>
      </c>
      <c r="BS12" s="25">
        <f>AP11</f>
        <v>0</v>
      </c>
      <c r="BT12" s="2192">
        <f>AR11</f>
        <v>0</v>
      </c>
    </row>
    <row r="13" spans="1:72" s="2153" customFormat="1" ht="12.75">
      <c r="A13" s="2935"/>
      <c r="B13" s="2201">
        <f>I13</f>
        <v>446.49</v>
      </c>
      <c r="C13" s="1267">
        <v>1</v>
      </c>
      <c r="D13" s="2199" t="s">
        <v>3032</v>
      </c>
      <c r="E13" s="16">
        <f>IF($C$3="是",ROUND($A$3*G13/$B$3,2),ROUND($A$3*(G13-AT13)/$B$3,2))</f>
        <v>2129.1</v>
      </c>
      <c r="F13" s="32"/>
      <c r="G13" s="33">
        <f>H13+AC13+AT13</f>
        <v>446.49</v>
      </c>
      <c r="H13" s="20">
        <f>SUMIF(I$12:AB$12,"总值",I13:AB13)</f>
        <v>446.49</v>
      </c>
      <c r="I13" s="2200">
        <v>446.49</v>
      </c>
      <c r="J13" s="2200"/>
      <c r="K13" s="2200"/>
      <c r="L13" s="2200"/>
      <c r="M13" s="2200"/>
      <c r="N13" s="2200"/>
      <c r="O13" s="2200"/>
      <c r="P13" s="2200"/>
      <c r="Q13" s="2200"/>
      <c r="R13" s="2200"/>
      <c r="S13" s="2200"/>
      <c r="T13" s="2200"/>
      <c r="U13" s="2200"/>
      <c r="V13" s="2200"/>
      <c r="W13" s="2200"/>
      <c r="X13" s="2200"/>
      <c r="Y13" s="2200"/>
      <c r="Z13" s="2200"/>
      <c r="AA13" s="2200"/>
      <c r="AB13" s="2200"/>
      <c r="AC13" s="16">
        <f>SUMIF(AD$12:AS$12,"总值",AD13:AS13)</f>
        <v>0</v>
      </c>
      <c r="AD13" s="2201"/>
      <c r="AE13" s="2201"/>
      <c r="AF13" s="2201"/>
      <c r="AG13" s="2201"/>
      <c r="AH13" s="2201"/>
      <c r="AI13" s="2201"/>
      <c r="AJ13" s="2201"/>
      <c r="AK13" s="2201"/>
      <c r="AL13" s="2201"/>
      <c r="AM13" s="2201"/>
      <c r="AN13" s="2201"/>
      <c r="AO13" s="2201"/>
      <c r="AP13" s="2201"/>
      <c r="AQ13" s="2201"/>
      <c r="AR13" s="2201"/>
      <c r="AS13" s="2201"/>
      <c r="AT13" s="2202"/>
      <c r="AU13" s="2203"/>
      <c r="AV13" s="11">
        <f t="shared" ref="AV13:AX17" si="6">A13</f>
        <v>0</v>
      </c>
      <c r="AW13" s="11">
        <f t="shared" si="6"/>
        <v>446.49</v>
      </c>
      <c r="AX13" s="11">
        <f t="shared" si="6"/>
        <v>1</v>
      </c>
      <c r="AY13" s="1799">
        <f>ROUND($AY$6*AZ13/$AZ$5,2)</f>
        <v>2129.1</v>
      </c>
      <c r="AZ13" s="16">
        <f>BA13+BL13</f>
        <v>446.49</v>
      </c>
      <c r="BA13" s="16">
        <f>SUM(BB13:BK13)</f>
        <v>446.49</v>
      </c>
      <c r="BB13" s="16">
        <f>IF($D13="是",I13-J13,0)</f>
        <v>446.49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12.75">
      <c r="A14" s="1267"/>
      <c r="B14" s="2201">
        <f>I14</f>
        <v>1567.4</v>
      </c>
      <c r="C14" s="1267">
        <v>2</v>
      </c>
      <c r="D14" s="2199" t="s">
        <v>3032</v>
      </c>
      <c r="E14" s="16">
        <f>IF($C$3="是",ROUND($A$3*G14/$B$3,2),ROUND($A$3*(G14-AT14)/$B$3,2))</f>
        <v>7474.17</v>
      </c>
      <c r="F14" s="32"/>
      <c r="G14" s="33">
        <f>H14+AC14+AT14</f>
        <v>1567.4</v>
      </c>
      <c r="H14" s="20">
        <f>SUMIF(I$12:AB$12,"总值",I14:AB14)</f>
        <v>1567.4</v>
      </c>
      <c r="I14" s="2200">
        <v>1567.4</v>
      </c>
      <c r="J14" s="2200"/>
      <c r="K14" s="2200"/>
      <c r="L14" s="2200"/>
      <c r="M14" s="2200"/>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f t="shared" si="6"/>
        <v>0</v>
      </c>
      <c r="AW14" s="11">
        <f t="shared" si="6"/>
        <v>1567.4</v>
      </c>
      <c r="AX14" s="11">
        <f t="shared" si="6"/>
        <v>2</v>
      </c>
      <c r="AY14" s="1799">
        <f>ROUND($AY$6*AZ14/$AZ$5,2)</f>
        <v>7474.17</v>
      </c>
      <c r="AZ14" s="16">
        <f>BA14+BL14</f>
        <v>1567.4</v>
      </c>
      <c r="BA14" s="16">
        <f>SUM(BB14:BK14)</f>
        <v>1567.4</v>
      </c>
      <c r="BB14" s="16">
        <f>IF($D14="是",I14-J14,0)</f>
        <v>1567.4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12.75">
      <c r="A15" s="1267"/>
      <c r="B15" s="2201">
        <f>AL15</f>
        <v>796.96</v>
      </c>
      <c r="C15" s="1267">
        <v>3</v>
      </c>
      <c r="D15" s="2199" t="s">
        <v>3032</v>
      </c>
      <c r="E15" s="16">
        <f>IF($C$3="是",ROUND($A$3*G15/$B$3,2),ROUND($A$3*(G15-AT15)/$B$3,2))</f>
        <v>3800.32</v>
      </c>
      <c r="F15" s="32"/>
      <c r="G15" s="33">
        <f>H15+AC15+AT15</f>
        <v>796.96</v>
      </c>
      <c r="H15" s="20">
        <f>SUMIF(I$12:AB$12,"总值",I15:AB15)</f>
        <v>0</v>
      </c>
      <c r="I15" s="2200"/>
      <c r="J15" s="2200"/>
      <c r="K15" s="2200"/>
      <c r="L15" s="2200"/>
      <c r="M15" s="2200"/>
      <c r="N15" s="2200"/>
      <c r="O15" s="2200"/>
      <c r="P15" s="2200"/>
      <c r="Q15" s="2200"/>
      <c r="R15" s="2200"/>
      <c r="S15" s="2200"/>
      <c r="T15" s="2200"/>
      <c r="U15" s="2200"/>
      <c r="V15" s="2200"/>
      <c r="W15" s="2200"/>
      <c r="X15" s="2200"/>
      <c r="Y15" s="2200"/>
      <c r="Z15" s="2200"/>
      <c r="AA15" s="2200"/>
      <c r="AB15" s="2200"/>
      <c r="AC15" s="16">
        <f>SUMIF(AD$12:AS$12,"总值",AD15:AS15)</f>
        <v>796.96</v>
      </c>
      <c r="AD15" s="2201"/>
      <c r="AE15" s="2201"/>
      <c r="AF15" s="2201"/>
      <c r="AG15" s="2201"/>
      <c r="AH15" s="2201"/>
      <c r="AI15" s="2201"/>
      <c r="AJ15" s="2201"/>
      <c r="AK15" s="2201"/>
      <c r="AL15" s="2201">
        <v>796.96</v>
      </c>
      <c r="AM15" s="2201"/>
      <c r="AN15" s="2201"/>
      <c r="AO15" s="2201"/>
      <c r="AP15" s="2201"/>
      <c r="AQ15" s="2201"/>
      <c r="AR15" s="2201"/>
      <c r="AS15" s="2201"/>
      <c r="AT15" s="2202"/>
      <c r="AU15" s="2203"/>
      <c r="AV15" s="11">
        <f t="shared" si="6"/>
        <v>0</v>
      </c>
      <c r="AW15" s="11">
        <f t="shared" si="6"/>
        <v>796.96</v>
      </c>
      <c r="AX15" s="11">
        <f t="shared" si="6"/>
        <v>3</v>
      </c>
      <c r="AY15" s="1799">
        <f>ROUND($AY$6*AZ15/$AZ$5,2)</f>
        <v>3800.32</v>
      </c>
      <c r="AZ15" s="16">
        <f>BA15+BL15</f>
        <v>796.96</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796.96</v>
      </c>
      <c r="BM15" s="16">
        <f>IF($D15="是",AD15-AE15,0)</f>
        <v>0</v>
      </c>
      <c r="BN15" s="16">
        <f>IF($D15="是",AF15-AG15,0)</f>
        <v>0</v>
      </c>
      <c r="BO15" s="16">
        <f>IF($D15="是",AH15-AI15,0)</f>
        <v>0</v>
      </c>
      <c r="BP15" s="16">
        <f>IF($D15="是",AJ15-AK15,0)</f>
        <v>0</v>
      </c>
      <c r="BQ15" s="16">
        <f>IF($D15="是",AL15-AM15,0)</f>
        <v>796.96</v>
      </c>
      <c r="BR15" s="16">
        <f>IF($D15="是",AN15-AO15,0)</f>
        <v>0</v>
      </c>
      <c r="BS15" s="16">
        <f>IF($D15="是",AP15-AQ15,0)</f>
        <v>0</v>
      </c>
      <c r="BT15" s="22">
        <f>IF($D15="是",AR15-AS15,0)</f>
        <v>0</v>
      </c>
    </row>
    <row r="16" spans="1:72" s="2153" customFormat="1" ht="12.75">
      <c r="A16" s="1267"/>
      <c r="B16" s="2201">
        <f>I16</f>
        <v>663.24</v>
      </c>
      <c r="C16" s="1267">
        <v>4</v>
      </c>
      <c r="D16" s="2199" t="s">
        <v>3032</v>
      </c>
      <c r="E16" s="16">
        <f>IF($C$3="是",ROUND($A$3*G16/$B$3,2),ROUND($A$3*(G16-AT16)/$B$3,2))</f>
        <v>3162.67</v>
      </c>
      <c r="F16" s="32"/>
      <c r="G16" s="33">
        <f>H16+AC16+AT16</f>
        <v>663.24</v>
      </c>
      <c r="H16" s="20">
        <f>SUMIF(I$12:AB$12,"总值",I16:AB16)</f>
        <v>663.24</v>
      </c>
      <c r="I16" s="2200">
        <v>663.24</v>
      </c>
      <c r="J16" s="2200"/>
      <c r="K16" s="2200"/>
      <c r="L16" s="2200"/>
      <c r="M16" s="2200"/>
      <c r="N16" s="2200"/>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f t="shared" si="6"/>
        <v>0</v>
      </c>
      <c r="AW16" s="11">
        <f t="shared" si="6"/>
        <v>663.24</v>
      </c>
      <c r="AX16" s="11">
        <f t="shared" si="6"/>
        <v>4</v>
      </c>
      <c r="AY16" s="1799">
        <f>ROUND($AY$6*AZ16/$AZ$5,2)</f>
        <v>3162.67</v>
      </c>
      <c r="AZ16" s="16">
        <f>BA16+BL16</f>
        <v>663.24</v>
      </c>
      <c r="BA16" s="16">
        <f>SUM(BB16:BK16)</f>
        <v>663.24</v>
      </c>
      <c r="BB16" s="16">
        <f>IF($D16="是",I16-J16,0)</f>
        <v>663.24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12.75">
      <c r="A17" s="2935"/>
      <c r="B17" s="2201">
        <f>I17</f>
        <v>1318</v>
      </c>
      <c r="C17" s="1267">
        <v>5</v>
      </c>
      <c r="D17" s="2199" t="s">
        <v>3032</v>
      </c>
      <c r="E17" s="16">
        <f>IF($C$3="是",ROUND($A$3*G17/$B$3,2),ROUND($A$3*(G17-AT17)/$B$3,2))</f>
        <v>6284.91</v>
      </c>
      <c r="F17" s="32"/>
      <c r="G17" s="33">
        <f>H17+AC17+AT17</f>
        <v>1318</v>
      </c>
      <c r="H17" s="20">
        <f>SUMIF(I$12:AB$12,"总值",I17:AB17)</f>
        <v>1318</v>
      </c>
      <c r="I17" s="2200">
        <v>1318</v>
      </c>
      <c r="J17" s="2200"/>
      <c r="K17" s="2200"/>
      <c r="L17" s="2200"/>
      <c r="M17" s="2200"/>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f t="shared" si="6"/>
        <v>0</v>
      </c>
      <c r="AW17" s="11">
        <f t="shared" si="6"/>
        <v>1318</v>
      </c>
      <c r="AX17" s="11">
        <f t="shared" si="6"/>
        <v>5</v>
      </c>
      <c r="AY17" s="1799">
        <f>ROUND($AY$6*AZ17/$AZ$5,2)</f>
        <v>6284.91</v>
      </c>
      <c r="AZ17" s="16">
        <f>BA17+BL17</f>
        <v>1318</v>
      </c>
      <c r="BA17" s="16">
        <f>SUM(BB17:BK17)</f>
        <v>1318</v>
      </c>
      <c r="BB17" s="16">
        <f>IF($D17="是",I17-J17,0)</f>
        <v>1318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80"/>
      <c r="B18" s="1268">
        <f>I18</f>
        <v>660.22</v>
      </c>
      <c r="C18" s="1267">
        <v>6</v>
      </c>
      <c r="D18" s="2199" t="s">
        <v>3032</v>
      </c>
      <c r="E18" s="35">
        <f t="shared" ref="E18:E112" si="7">IF($C$3="是",ROUND($A$3*G18/$B$3,2),ROUND($A$3*(G18-AT18)/$B$3,2))</f>
        <v>3148.27</v>
      </c>
      <c r="F18" s="36"/>
      <c r="G18" s="37">
        <f t="shared" ref="G18:G109" si="8">H18+AC18+AT18</f>
        <v>660.22</v>
      </c>
      <c r="H18" s="38">
        <f t="shared" ref="H18:H109" si="9">SUMIF(I$12:AB$12,"总值",I18:AB18)</f>
        <v>660.22</v>
      </c>
      <c r="I18" s="39">
        <v>660.22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88">
        <f t="shared" ref="AV18:AV112" si="11">A18</f>
        <v>0</v>
      </c>
      <c r="AW18" s="1788">
        <f t="shared" ref="AW18:AW112" si="12">B18</f>
        <v>660.22</v>
      </c>
      <c r="AX18" s="1788">
        <f t="shared" ref="AX18:AX112" si="13">C18</f>
        <v>6</v>
      </c>
      <c r="AY18" s="42">
        <f t="shared" ref="AY18:AY109" si="14">ROUND($AY$6*AZ18/$AZ$5,2)</f>
        <v>3148.27</v>
      </c>
      <c r="AZ18" s="35">
        <f t="shared" ref="AZ18:AZ109" si="15">BA18+BL18</f>
        <v>660.22</v>
      </c>
      <c r="BA18" s="35">
        <f t="shared" ref="BA18:BA109" si="16">SUM(BB18:BK18)</f>
        <v>660.22</v>
      </c>
      <c r="BB18" s="35">
        <f t="shared" ref="BB18:BB109" si="17">IF($D18="是",I18-J18,0)</f>
        <v>660.22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80"/>
      <c r="B19" s="2981">
        <f>I19/2</f>
        <v>358.05</v>
      </c>
      <c r="C19" s="34">
        <v>7</v>
      </c>
      <c r="D19" s="2199" t="s">
        <v>3032</v>
      </c>
      <c r="E19" s="35">
        <f t="shared" si="7"/>
        <v>3414.74</v>
      </c>
      <c r="F19" s="36"/>
      <c r="G19" s="37">
        <f t="shared" si="8"/>
        <v>716.1</v>
      </c>
      <c r="H19" s="38">
        <f t="shared" si="9"/>
        <v>716.1</v>
      </c>
      <c r="I19" s="39">
        <v>716.1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88">
        <f t="shared" si="11"/>
        <v>0</v>
      </c>
      <c r="AW19" s="1788">
        <f t="shared" si="12"/>
        <v>358.05</v>
      </c>
      <c r="AX19" s="1788">
        <f t="shared" si="13"/>
        <v>7</v>
      </c>
      <c r="AY19" s="42">
        <f t="shared" si="14"/>
        <v>3414.74</v>
      </c>
      <c r="AZ19" s="35">
        <f t="shared" si="15"/>
        <v>716.1</v>
      </c>
      <c r="BA19" s="35">
        <f t="shared" si="16"/>
        <v>716.1</v>
      </c>
      <c r="BB19" s="35">
        <f t="shared" si="17"/>
        <v>716.1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80"/>
      <c r="B20" s="2981">
        <f>K20/3</f>
        <v>736.52</v>
      </c>
      <c r="C20" s="34">
        <v>8</v>
      </c>
      <c r="D20" s="2199" t="s">
        <v>3032</v>
      </c>
      <c r="E20" s="35">
        <f t="shared" si="7"/>
        <v>10536.33</v>
      </c>
      <c r="F20" s="36"/>
      <c r="G20" s="37">
        <f t="shared" si="8"/>
        <v>2209.56</v>
      </c>
      <c r="H20" s="38">
        <f t="shared" si="9"/>
        <v>2209.56</v>
      </c>
      <c r="I20" s="39"/>
      <c r="J20" s="39"/>
      <c r="K20" s="39">
        <v>2209.56</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88">
        <f t="shared" si="11"/>
        <v>0</v>
      </c>
      <c r="AW20" s="1788">
        <f t="shared" si="12"/>
        <v>736.52</v>
      </c>
      <c r="AX20" s="1788">
        <f t="shared" si="13"/>
        <v>8</v>
      </c>
      <c r="AY20" s="42">
        <f t="shared" si="14"/>
        <v>10536.33</v>
      </c>
      <c r="AZ20" s="35">
        <f t="shared" si="15"/>
        <v>2209.56</v>
      </c>
      <c r="BA20" s="35">
        <f t="shared" si="16"/>
        <v>2209.56</v>
      </c>
      <c r="BB20" s="35">
        <f t="shared" si="17"/>
        <v>0</v>
      </c>
      <c r="BC20" s="35">
        <f t="shared" si="18"/>
        <v>2209.56</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80"/>
      <c r="B21" s="1268">
        <f>SUM(B13:B20)</f>
        <v>6546.880000000001</v>
      </c>
      <c r="C21" s="34"/>
      <c r="D21" s="22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88">
        <f t="shared" si="11"/>
        <v>0</v>
      </c>
      <c r="AW21" s="1788">
        <f t="shared" si="12"/>
        <v>6546.880000000001</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35"/>
      <c r="B22" s="13">
        <f>A3-B21</f>
        <v>33403.619999999995</v>
      </c>
      <c r="C22" s="34"/>
      <c r="D22" s="22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88">
        <f t="shared" si="11"/>
        <v>0</v>
      </c>
      <c r="AW22" s="1788">
        <f t="shared" si="12"/>
        <v>33403.619999999995</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35"/>
      <c r="B23" s="1267">
        <v>0.2</v>
      </c>
      <c r="C23" s="34"/>
      <c r="D23" s="22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88">
        <f t="shared" si="11"/>
        <v>0</v>
      </c>
      <c r="AW23" s="1788">
        <f t="shared" si="12"/>
        <v>0.2</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f>ROUND(B22*B23*365/10000,0)</f>
        <v>244</v>
      </c>
      <c r="C24" s="34"/>
      <c r="D24" s="22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88">
        <f t="shared" si="11"/>
        <v>0</v>
      </c>
      <c r="AW24" s="1788">
        <f t="shared" si="12"/>
        <v>244</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v>180</v>
      </c>
      <c r="C25" s="34"/>
      <c r="D25" s="22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5"/>
      <c r="AV25" s="1788">
        <f t="shared" si="11"/>
        <v>0</v>
      </c>
      <c r="AW25" s="1788">
        <f t="shared" si="12"/>
        <v>180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f>B25+B24</f>
        <v>424</v>
      </c>
      <c r="C26" s="34"/>
      <c r="D26" s="22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88">
        <f t="shared" si="11"/>
        <v>0</v>
      </c>
      <c r="AW26" s="1788">
        <f t="shared" si="12"/>
        <v>424</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5"/>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6" t="s">
        <v>0</v>
      </c>
      <c r="B1" s="3086" t="s">
        <v>4</v>
      </c>
      <c r="C1" s="3086" t="s">
        <v>5</v>
      </c>
      <c r="D1" s="3087" t="s">
        <v>53</v>
      </c>
      <c r="E1" s="3087" t="s">
        <v>54</v>
      </c>
      <c r="F1" s="3087"/>
      <c r="G1" s="3087"/>
      <c r="H1" s="3087"/>
      <c r="I1" s="3087"/>
      <c r="J1" s="3087"/>
      <c r="K1" s="3087"/>
      <c r="L1" s="3087"/>
      <c r="M1" s="3087"/>
    </row>
    <row r="2" spans="1:13" ht="27" customHeight="1">
      <c r="A2" s="3086"/>
      <c r="B2" s="3086"/>
      <c r="C2" s="3086"/>
      <c r="D2" s="3087"/>
      <c r="E2" s="3087" t="s">
        <v>37</v>
      </c>
      <c r="F2" s="3087" t="s">
        <v>38</v>
      </c>
      <c r="G2" s="3087"/>
      <c r="H2" s="3087"/>
      <c r="I2" s="3087"/>
      <c r="J2" s="3087" t="s">
        <v>39</v>
      </c>
      <c r="K2" s="3087"/>
      <c r="L2" s="3087"/>
      <c r="M2" s="3087"/>
    </row>
    <row r="3" spans="1:13" ht="28.5">
      <c r="A3" s="3086"/>
      <c r="B3" s="3086"/>
      <c r="C3" s="3086"/>
      <c r="D3" s="3087"/>
      <c r="E3" s="30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7" t="s">
        <v>55</v>
      </c>
      <c r="B9" s="3087"/>
      <c r="C9" s="30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1" sqref="F21"/>
    </sheetView>
  </sheetViews>
  <sheetFormatPr defaultColWidth="9.25" defaultRowHeight="14.2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8" width="9.375" style="2212" bestFit="1" customWidth="1"/>
    <col min="19" max="19" width="10.5" style="2212" bestFit="1" customWidth="1"/>
    <col min="20" max="16384" width="9.25" style="2212"/>
  </cols>
  <sheetData>
    <row r="1" spans="1:16" ht="18.75">
      <c r="A1" s="2211" t="s">
        <v>1931</v>
      </c>
      <c r="B1" s="1387"/>
      <c r="C1" s="1387"/>
      <c r="D1" s="1387"/>
      <c r="E1" s="1387"/>
      <c r="F1" s="1387"/>
      <c r="G1" s="1387"/>
      <c r="H1" s="1387"/>
      <c r="I1" s="1387"/>
      <c r="J1" s="1387"/>
      <c r="K1" s="1387"/>
      <c r="L1" s="1387"/>
      <c r="M1" s="1387"/>
      <c r="N1" s="1387"/>
      <c r="O1" s="1387"/>
      <c r="P1" s="1387"/>
    </row>
    <row r="2" spans="1:16" ht="15">
      <c r="A2" s="3097" t="s">
        <v>1932</v>
      </c>
      <c r="B2" s="3097"/>
      <c r="C2" s="3097"/>
      <c r="D2" s="963" t="s">
        <v>1908</v>
      </c>
      <c r="E2" s="2213" t="s">
        <v>1909</v>
      </c>
      <c r="F2" s="1387"/>
      <c r="G2" s="2214"/>
      <c r="H2" s="2215"/>
      <c r="I2" s="2216" t="s">
        <v>1933</v>
      </c>
      <c r="J2" s="1387"/>
      <c r="K2" s="1387"/>
      <c r="L2" s="1387"/>
      <c r="M2" s="1387"/>
      <c r="N2" s="1422"/>
      <c r="O2" s="1387"/>
      <c r="P2" s="1387"/>
    </row>
    <row r="3" spans="1:16" ht="15.75" thickBot="1">
      <c r="A3" s="3098" t="s">
        <v>1906</v>
      </c>
      <c r="B3" s="3098"/>
      <c r="C3" s="3098"/>
      <c r="D3" s="46">
        <f>'数据-基础表'!AY6</f>
        <v>39950.5</v>
      </c>
      <c r="E3" s="46">
        <f>'数据-基础表'!AZ5</f>
        <v>8377.9700000000012</v>
      </c>
      <c r="F3" s="1387"/>
      <c r="G3" s="1394"/>
      <c r="H3" s="1242" t="s">
        <v>1907</v>
      </c>
      <c r="I3" s="55">
        <f>ROUND('数据-基础表'!B3/'数据-基础表'!A3,2)</f>
        <v>0.21</v>
      </c>
      <c r="J3" s="1387"/>
      <c r="K3" s="1387"/>
      <c r="L3" s="1387"/>
      <c r="M3" s="1387"/>
      <c r="N3" s="1422"/>
      <c r="O3" s="1387"/>
      <c r="P3" s="1387"/>
    </row>
    <row r="4" spans="1:16" ht="15">
      <c r="A4" s="3099"/>
      <c r="B4" s="3100"/>
      <c r="C4" s="3101"/>
      <c r="D4" s="2217" t="s">
        <v>1908</v>
      </c>
      <c r="E4" s="2218" t="s">
        <v>1909</v>
      </c>
      <c r="F4" s="1387"/>
      <c r="G4" s="2219" t="s">
        <v>1934</v>
      </c>
      <c r="H4" s="1242" t="s">
        <v>1914</v>
      </c>
      <c r="I4" s="55">
        <f>ROUND(SUMIF('数据-基础表'!I9:AS9,"地上",'数据-基础表'!I5:AS5)/'数据-基础表'!A3,2)</f>
        <v>0.21</v>
      </c>
      <c r="J4" s="1387"/>
      <c r="K4" s="1387"/>
      <c r="L4" s="1387"/>
      <c r="M4" s="1387"/>
      <c r="N4" s="1422"/>
      <c r="O4" s="1387"/>
      <c r="P4" s="1387"/>
    </row>
    <row r="5" spans="1:16">
      <c r="A5" s="47" t="s">
        <v>1910</v>
      </c>
      <c r="B5" s="3102" t="s">
        <v>1911</v>
      </c>
      <c r="C5" s="3102"/>
      <c r="D5" s="48">
        <f>ROUND($D$3*E5/$E$3,2)</f>
        <v>0</v>
      </c>
      <c r="E5" s="49">
        <f>SUMIF('数据-基础表'!$11:$11,"住宅",'数据-基础表'!$5:$5)</f>
        <v>0</v>
      </c>
      <c r="F5" s="1387"/>
      <c r="G5" s="1394"/>
      <c r="H5" s="1242" t="s">
        <v>1907</v>
      </c>
      <c r="I5" s="55">
        <f>ROUND(E31/D31,2)</f>
        <v>0.21</v>
      </c>
      <c r="J5" s="1387"/>
      <c r="K5" s="1387"/>
      <c r="L5" s="1387"/>
      <c r="M5" s="1387"/>
      <c r="N5" s="1387"/>
      <c r="O5" s="1387"/>
      <c r="P5" s="1387"/>
    </row>
    <row r="6" spans="1:16" ht="15" thickBot="1">
      <c r="A6" s="2220"/>
      <c r="B6" s="3102" t="s">
        <v>1912</v>
      </c>
      <c r="C6" s="3102"/>
      <c r="D6" s="48">
        <f>ROUND($D$3*E6/$E$3,2)</f>
        <v>39950.5</v>
      </c>
      <c r="E6" s="49">
        <f>E3-E5</f>
        <v>8377.9700000000012</v>
      </c>
      <c r="F6" s="1387"/>
      <c r="G6" s="2221" t="s">
        <v>1913</v>
      </c>
      <c r="H6" s="1394" t="s">
        <v>1914</v>
      </c>
      <c r="I6" s="935">
        <f>ROUND(F31/D31,2)</f>
        <v>0.21</v>
      </c>
      <c r="J6" s="1387"/>
      <c r="K6" s="1387"/>
      <c r="L6" s="1387"/>
      <c r="M6" s="1387"/>
      <c r="N6" s="1387"/>
      <c r="O6" s="1387"/>
      <c r="P6" s="1387"/>
    </row>
    <row r="7" spans="1:16" ht="15">
      <c r="A7" s="3094"/>
      <c r="B7" s="3095"/>
      <c r="C7" s="3096"/>
      <c r="D7" s="2217" t="s">
        <v>1908</v>
      </c>
      <c r="E7" s="2222" t="s">
        <v>1915</v>
      </c>
      <c r="F7" s="1387"/>
      <c r="G7" s="2214" t="s">
        <v>1916</v>
      </c>
      <c r="H7" s="64"/>
      <c r="I7" s="419"/>
      <c r="J7" s="1387"/>
      <c r="K7" s="1387"/>
      <c r="L7" s="1387"/>
      <c r="M7" s="1387"/>
      <c r="N7" s="1387"/>
      <c r="O7" s="1387"/>
      <c r="P7" s="1387"/>
    </row>
    <row r="8" spans="1:16">
      <c r="A8" s="47" t="s">
        <v>1917</v>
      </c>
      <c r="B8" s="50" t="s">
        <v>1918</v>
      </c>
      <c r="C8" s="48" t="s">
        <v>1919</v>
      </c>
      <c r="D8" s="48">
        <f t="shared" ref="D8:D15" si="0">ROUND($D$3*E8/$E$3,2)</f>
        <v>36150.18</v>
      </c>
      <c r="E8" s="51">
        <f>SUMIF('数据-基础表'!BB10:BK10,"地上",'数据-基础表'!BB5:BK5)</f>
        <v>7581.01</v>
      </c>
      <c r="F8" s="1387"/>
      <c r="G8" s="2223"/>
      <c r="H8" s="2223"/>
      <c r="I8" s="1387"/>
      <c r="J8" s="1387"/>
      <c r="K8" s="1387"/>
      <c r="L8" s="1387"/>
      <c r="M8" s="1387"/>
      <c r="N8" s="1387"/>
      <c r="O8" s="1387"/>
      <c r="P8" s="1387"/>
    </row>
    <row r="9" spans="1:16">
      <c r="A9" s="2224"/>
      <c r="B9" s="2225"/>
      <c r="C9" s="48" t="s">
        <v>1920</v>
      </c>
      <c r="D9" s="48">
        <f t="shared" si="0"/>
        <v>0</v>
      </c>
      <c r="E9" s="52">
        <v>0</v>
      </c>
      <c r="F9" s="1387"/>
      <c r="G9" s="2223"/>
      <c r="H9" s="2223"/>
      <c r="I9" s="1387"/>
      <c r="J9" s="1387"/>
      <c r="K9" s="1387"/>
      <c r="L9" s="1387"/>
      <c r="M9" s="1387"/>
      <c r="N9" s="1387"/>
      <c r="O9" s="1387"/>
      <c r="P9" s="1387"/>
    </row>
    <row r="10" spans="1:16">
      <c r="A10" s="2224"/>
      <c r="B10" s="2225"/>
      <c r="C10" s="48" t="s">
        <v>1929</v>
      </c>
      <c r="D10" s="48">
        <f t="shared" si="0"/>
        <v>0</v>
      </c>
      <c r="E10" s="51">
        <f>SUMPRODUCT(('数据-基础表'!BB10:BK10="地下")*('数据-基础表'!BB11:BK11="商业")*('数据-基础表'!BB5:BK5))</f>
        <v>0</v>
      </c>
      <c r="F10" s="1387"/>
      <c r="G10" s="2223"/>
      <c r="H10" s="2223"/>
      <c r="I10" s="1387"/>
      <c r="J10" s="1387"/>
      <c r="K10" s="1387"/>
      <c r="L10" s="1387"/>
      <c r="M10" s="1387"/>
      <c r="N10" s="1387"/>
      <c r="O10" s="1387"/>
      <c r="P10" s="1387"/>
    </row>
    <row r="11" spans="1:16">
      <c r="A11" s="2224"/>
      <c r="B11" s="2225"/>
      <c r="C11" s="48" t="s">
        <v>1921</v>
      </c>
      <c r="D11" s="48">
        <f t="shared" si="0"/>
        <v>0</v>
      </c>
      <c r="E11" s="51">
        <f>SUMPRODUCT(('数据-基础表'!BB10:BK10="地下")*('数据-基础表'!BB11:BK11="办公")*('数据-基础表'!BB5:BK5))+'数据-基础表'!BP5</f>
        <v>0</v>
      </c>
      <c r="F11" s="1387"/>
      <c r="G11" s="2223"/>
      <c r="H11" s="2223"/>
      <c r="I11" s="1387"/>
      <c r="J11" s="1387"/>
      <c r="K11" s="1387"/>
      <c r="L11" s="1387"/>
      <c r="M11" s="1387"/>
      <c r="N11" s="1387"/>
      <c r="O11" s="1387"/>
      <c r="P11" s="1387"/>
    </row>
    <row r="12" spans="1:16">
      <c r="A12" s="2224"/>
      <c r="B12" s="2225"/>
      <c r="C12" s="48" t="s">
        <v>1922</v>
      </c>
      <c r="D12" s="48">
        <f t="shared" si="0"/>
        <v>0</v>
      </c>
      <c r="E12" s="51">
        <f>SUMPRODUCT(('数据-基础表'!BB10:BK10="地下")*('数据-基础表'!BB11:BK11="仓储")*('数据-基础表'!BB5:BK5))</f>
        <v>0</v>
      </c>
      <c r="F12" s="1387"/>
      <c r="G12" s="2223"/>
      <c r="H12" s="2223"/>
      <c r="I12" s="1387"/>
      <c r="J12" s="1387"/>
      <c r="K12" s="1387"/>
      <c r="L12" s="1387"/>
      <c r="M12" s="1387"/>
      <c r="N12" s="1387"/>
      <c r="O12" s="1387"/>
      <c r="P12" s="1387"/>
    </row>
    <row r="13" spans="1:16">
      <c r="A13" s="2224"/>
      <c r="B13" s="2225"/>
      <c r="C13" s="48" t="s">
        <v>1923</v>
      </c>
      <c r="D13" s="48">
        <f t="shared" si="0"/>
        <v>0</v>
      </c>
      <c r="E13" s="51">
        <f>SUMPRODUCT(('数据-基础表'!BB10:BK10="地下")*('数据-基础表'!BB11:BK11="车库")*('数据-基础表'!BB5:BK5))</f>
        <v>0</v>
      </c>
      <c r="F13" s="1387"/>
      <c r="G13" s="2223"/>
      <c r="H13" s="2223"/>
      <c r="I13" s="1387"/>
      <c r="J13" s="1387"/>
      <c r="K13" s="1387"/>
      <c r="L13" s="1387"/>
      <c r="M13" s="1387"/>
      <c r="N13" s="1387"/>
      <c r="O13" s="1387"/>
      <c r="P13" s="1387"/>
    </row>
    <row r="14" spans="1:16">
      <c r="A14" s="2224"/>
      <c r="B14" s="2225"/>
      <c r="C14" s="48" t="s">
        <v>1935</v>
      </c>
      <c r="D14" s="48">
        <f t="shared" si="0"/>
        <v>0</v>
      </c>
      <c r="E14" s="51">
        <f>SUMPRODUCT(('数据-基础表'!BB10:BK10="地下")*('数据-基础表'!BB11:BK11="车库—商业")*('数据-基础表'!BB5:BK5))</f>
        <v>0</v>
      </c>
      <c r="F14" s="1387"/>
      <c r="G14" s="2223"/>
      <c r="H14" s="2223"/>
      <c r="I14" s="1387"/>
      <c r="J14" s="1387"/>
      <c r="K14" s="1387"/>
      <c r="L14" s="1387"/>
      <c r="M14" s="1387"/>
      <c r="N14" s="1387"/>
      <c r="O14" s="1387"/>
      <c r="P14" s="1387"/>
    </row>
    <row r="15" spans="1:16" ht="15" thickBot="1">
      <c r="A15" s="2224"/>
      <c r="B15" s="2225"/>
      <c r="C15" s="48" t="s">
        <v>1930</v>
      </c>
      <c r="D15" s="48">
        <f t="shared" si="0"/>
        <v>0</v>
      </c>
      <c r="E15" s="51">
        <f>SUMPRODUCT(('数据-基础表'!BB10:BK10="地下")*('数据-基础表'!BB11:BK11="车库—办公")*('数据-基础表'!BB5:BK5))</f>
        <v>0</v>
      </c>
      <c r="F15" s="1387"/>
      <c r="G15" s="2223"/>
      <c r="H15" s="2223"/>
      <c r="I15" s="1387"/>
      <c r="J15" s="1387"/>
      <c r="K15" s="1387"/>
      <c r="L15" s="1387"/>
      <c r="M15" s="1387"/>
      <c r="N15" s="1387"/>
      <c r="O15" s="1387"/>
      <c r="P15" s="1387"/>
    </row>
    <row r="16" spans="1:16" ht="15.75" thickBot="1">
      <c r="A16" s="2220"/>
      <c r="B16" s="2225"/>
      <c r="C16" s="50" t="s">
        <v>1924</v>
      </c>
      <c r="D16" s="50">
        <f>SUM(D8:D15)</f>
        <v>36150.18</v>
      </c>
      <c r="E16" s="53">
        <f>SUM(E8:E15)</f>
        <v>7581.01</v>
      </c>
      <c r="F16" s="1387"/>
      <c r="G16" s="2223"/>
      <c r="H16" s="2226" t="s">
        <v>1936</v>
      </c>
      <c r="I16" s="2227"/>
      <c r="J16" s="1387"/>
      <c r="K16" s="3091" t="s">
        <v>1936</v>
      </c>
      <c r="L16" s="3092"/>
      <c r="M16" s="3092"/>
      <c r="N16" s="3092"/>
      <c r="O16" s="3092"/>
      <c r="P16" s="3093"/>
    </row>
    <row r="17" spans="1:19" ht="15">
      <c r="A17" s="2228" t="s">
        <v>1937</v>
      </c>
      <c r="B17" s="2229" t="s">
        <v>1938</v>
      </c>
      <c r="C17" s="2230" t="s">
        <v>1939</v>
      </c>
      <c r="D17" s="2231" t="s">
        <v>1927</v>
      </c>
      <c r="E17" s="2232" t="s">
        <v>1928</v>
      </c>
      <c r="F17" s="2233"/>
      <c r="G17" s="2234"/>
      <c r="H17" s="2235" t="s">
        <v>1940</v>
      </c>
      <c r="I17" s="2236" t="s">
        <v>1925</v>
      </c>
      <c r="J17" s="1387"/>
      <c r="K17" s="3088" t="s">
        <v>1941</v>
      </c>
      <c r="L17" s="3089"/>
      <c r="M17" s="3090"/>
      <c r="N17" s="3088" t="s">
        <v>1942</v>
      </c>
      <c r="O17" s="3089"/>
      <c r="P17" s="3090"/>
      <c r="R17" s="2214" t="s">
        <v>1943</v>
      </c>
      <c r="S17" s="64"/>
    </row>
    <row r="18" spans="1:19" ht="15">
      <c r="A18" s="2224"/>
      <c r="B18" s="2237"/>
      <c r="C18" s="2238"/>
      <c r="D18" s="2239"/>
      <c r="E18" s="2240" t="s">
        <v>1944</v>
      </c>
      <c r="F18" s="2241" t="s">
        <v>1945</v>
      </c>
      <c r="G18" s="2242" t="s">
        <v>1946</v>
      </c>
      <c r="H18" s="1257" t="s">
        <v>1947</v>
      </c>
      <c r="I18" s="2243" t="s">
        <v>1948</v>
      </c>
      <c r="J18" s="1387"/>
      <c r="K18" s="1257" t="s">
        <v>1949</v>
      </c>
      <c r="L18" s="2244" t="s">
        <v>1950</v>
      </c>
      <c r="M18" s="1041" t="s">
        <v>1951</v>
      </c>
      <c r="N18" s="1257" t="s">
        <v>1949</v>
      </c>
      <c r="O18" s="2244" t="s">
        <v>1950</v>
      </c>
      <c r="P18" s="1041" t="s">
        <v>1951</v>
      </c>
      <c r="R18" s="1242" t="s">
        <v>1952</v>
      </c>
      <c r="S18" s="1242" t="s">
        <v>1953</v>
      </c>
    </row>
    <row r="19" spans="1:19">
      <c r="A19" s="2245"/>
      <c r="B19" s="50" t="s">
        <v>1926</v>
      </c>
      <c r="C19" s="2936" t="s">
        <v>3261</v>
      </c>
      <c r="D19" s="48">
        <f>ROUND($D$3*E19/$E$3,2)</f>
        <v>25613.86</v>
      </c>
      <c r="E19" s="56">
        <f t="shared" ref="E19:E26" si="1">SUM(F19:G19)</f>
        <v>5371.4500000000007</v>
      </c>
      <c r="F19" s="57">
        <f>'数据-基础表'!I5</f>
        <v>5371.4500000000007</v>
      </c>
      <c r="G19" s="58"/>
      <c r="H19" s="721">
        <f>ROUND($D$3*I19/$E$3,2)</f>
        <v>2692.69</v>
      </c>
      <c r="I19" s="51">
        <f t="shared" ref="I19:I26" si="2">IF($I$17="自定义",P19,M19)</f>
        <v>564.67999999999995</v>
      </c>
      <c r="J19" s="1387"/>
      <c r="K19" s="1386">
        <f t="shared" ref="K19:K26" si="3">ROUND(E$28*E19/E$27,2)</f>
        <v>564.67999999999995</v>
      </c>
      <c r="L19" s="1242">
        <f t="shared" ref="L19:L26" si="4">ROUND(IF(COUNTIF(C19,"*住宅*")&gt;0,E$29*E19/E$32,0),2)</f>
        <v>0</v>
      </c>
      <c r="M19" s="1398">
        <f>K19+L19</f>
        <v>564.67999999999995</v>
      </c>
      <c r="N19" s="2246"/>
      <c r="O19" s="2247"/>
      <c r="P19" s="1398">
        <f>N19+O19</f>
        <v>0</v>
      </c>
      <c r="R19" s="1242">
        <f t="shared" ref="R19:S26" si="5">D19+H19</f>
        <v>28306.55</v>
      </c>
      <c r="S19" s="1243">
        <f t="shared" si="5"/>
        <v>5936.130000000001</v>
      </c>
    </row>
    <row r="20" spans="1:19">
      <c r="A20" s="2248"/>
      <c r="B20" s="50" t="s">
        <v>1954</v>
      </c>
      <c r="C20" s="2936" t="s">
        <v>3312</v>
      </c>
      <c r="D20" s="48">
        <f t="shared" ref="D20:D26" si="6">ROUND($D$3*E20/$E$3,2)</f>
        <v>10536.33</v>
      </c>
      <c r="E20" s="56">
        <f t="shared" si="1"/>
        <v>2209.56</v>
      </c>
      <c r="F20" s="57">
        <f>'数据-基础表'!K20</f>
        <v>2209.56</v>
      </c>
      <c r="G20" s="58"/>
      <c r="H20" s="721">
        <f t="shared" ref="H20:H26" si="7">ROUND($D$3*I20/$E$3,2)</f>
        <v>1107.6300000000001</v>
      </c>
      <c r="I20" s="51">
        <f t="shared" si="2"/>
        <v>232.28</v>
      </c>
      <c r="J20" s="1387"/>
      <c r="K20" s="1386">
        <f t="shared" si="3"/>
        <v>232.28</v>
      </c>
      <c r="L20" s="1242">
        <f t="shared" si="4"/>
        <v>0</v>
      </c>
      <c r="M20" s="1398">
        <f t="shared" ref="M20:M26" si="8">K20+L20</f>
        <v>232.28</v>
      </c>
      <c r="N20" s="2246"/>
      <c r="O20" s="2247"/>
      <c r="P20" s="1398">
        <f t="shared" ref="P20:P26" si="9">N20+O20</f>
        <v>0</v>
      </c>
      <c r="R20" s="1242">
        <f t="shared" si="5"/>
        <v>11643.96</v>
      </c>
      <c r="S20" s="1243">
        <f t="shared" si="5"/>
        <v>2441.84</v>
      </c>
    </row>
    <row r="21" spans="1:19">
      <c r="A21" s="2248"/>
      <c r="B21" s="50" t="s">
        <v>1954</v>
      </c>
      <c r="C21" s="2936"/>
      <c r="D21" s="48">
        <f t="shared" si="6"/>
        <v>0</v>
      </c>
      <c r="E21" s="56">
        <f t="shared" si="1"/>
        <v>0</v>
      </c>
      <c r="F21" s="57"/>
      <c r="G21" s="58"/>
      <c r="H21" s="721">
        <f t="shared" si="7"/>
        <v>0</v>
      </c>
      <c r="I21" s="51">
        <f t="shared" si="2"/>
        <v>0</v>
      </c>
      <c r="J21" s="1387"/>
      <c r="K21" s="1386">
        <f t="shared" si="3"/>
        <v>0</v>
      </c>
      <c r="L21" s="1242">
        <f t="shared" si="4"/>
        <v>0</v>
      </c>
      <c r="M21" s="1398">
        <f t="shared" si="8"/>
        <v>0</v>
      </c>
      <c r="N21" s="2246"/>
      <c r="O21" s="2247"/>
      <c r="P21" s="1398">
        <f t="shared" si="9"/>
        <v>0</v>
      </c>
      <c r="R21" s="1242">
        <f t="shared" si="5"/>
        <v>0</v>
      </c>
      <c r="S21" s="1243">
        <f t="shared" si="5"/>
        <v>0</v>
      </c>
    </row>
    <row r="22" spans="1:19">
      <c r="A22" s="2248"/>
      <c r="B22" s="50" t="s">
        <v>1954</v>
      </c>
      <c r="C22" s="60"/>
      <c r="D22" s="48">
        <f t="shared" si="6"/>
        <v>0</v>
      </c>
      <c r="E22" s="56">
        <f t="shared" si="1"/>
        <v>0</v>
      </c>
      <c r="F22" s="61"/>
      <c r="G22" s="62"/>
      <c r="H22" s="721">
        <f t="shared" si="7"/>
        <v>0</v>
      </c>
      <c r="I22" s="51">
        <f t="shared" si="2"/>
        <v>0</v>
      </c>
      <c r="J22" s="1387"/>
      <c r="K22" s="1386">
        <f t="shared" si="3"/>
        <v>0</v>
      </c>
      <c r="L22" s="1242">
        <f t="shared" si="4"/>
        <v>0</v>
      </c>
      <c r="M22" s="1398">
        <f t="shared" si="8"/>
        <v>0</v>
      </c>
      <c r="N22" s="2246"/>
      <c r="O22" s="2247"/>
      <c r="P22" s="1398">
        <f t="shared" si="9"/>
        <v>0</v>
      </c>
      <c r="R22" s="1242">
        <f t="shared" si="5"/>
        <v>0</v>
      </c>
      <c r="S22" s="1243">
        <f t="shared" si="5"/>
        <v>0</v>
      </c>
    </row>
    <row r="23" spans="1:19">
      <c r="A23" s="2248"/>
      <c r="B23" s="50" t="s">
        <v>1954</v>
      </c>
      <c r="C23" s="60"/>
      <c r="D23" s="48">
        <f>ROUND($D$3*E23/$E$3,2)</f>
        <v>0</v>
      </c>
      <c r="E23" s="56">
        <f>SUM(F23:G23)</f>
        <v>0</v>
      </c>
      <c r="F23" s="61"/>
      <c r="G23" s="62"/>
      <c r="H23" s="721">
        <f>ROUND($D$3*I23/$E$3,2)</f>
        <v>0</v>
      </c>
      <c r="I23" s="51">
        <f t="shared" si="2"/>
        <v>0</v>
      </c>
      <c r="J23" s="1387"/>
      <c r="K23" s="1386">
        <f t="shared" si="3"/>
        <v>0</v>
      </c>
      <c r="L23" s="1242">
        <f t="shared" si="4"/>
        <v>0</v>
      </c>
      <c r="M23" s="1398">
        <f t="shared" si="8"/>
        <v>0</v>
      </c>
      <c r="N23" s="2246"/>
      <c r="O23" s="2247"/>
      <c r="P23" s="1398">
        <f t="shared" si="9"/>
        <v>0</v>
      </c>
      <c r="R23" s="1242">
        <f t="shared" si="5"/>
        <v>0</v>
      </c>
      <c r="S23" s="1243">
        <f t="shared" si="5"/>
        <v>0</v>
      </c>
    </row>
    <row r="24" spans="1:19">
      <c r="A24" s="2248"/>
      <c r="B24" s="50" t="s">
        <v>1954</v>
      </c>
      <c r="C24" s="60"/>
      <c r="D24" s="48">
        <f>ROUND($D$3*E24/$E$3,2)</f>
        <v>0</v>
      </c>
      <c r="E24" s="56">
        <f>SUM(F24:G24)</f>
        <v>0</v>
      </c>
      <c r="F24" s="61"/>
      <c r="G24" s="62"/>
      <c r="H24" s="721">
        <f>ROUND($D$3*I24/$E$3,2)</f>
        <v>0</v>
      </c>
      <c r="I24" s="51">
        <f t="shared" si="2"/>
        <v>0</v>
      </c>
      <c r="J24" s="1387"/>
      <c r="K24" s="1386">
        <f t="shared" si="3"/>
        <v>0</v>
      </c>
      <c r="L24" s="1242">
        <f t="shared" si="4"/>
        <v>0</v>
      </c>
      <c r="M24" s="1398">
        <f t="shared" si="8"/>
        <v>0</v>
      </c>
      <c r="N24" s="2246"/>
      <c r="O24" s="2247"/>
      <c r="P24" s="1398">
        <f t="shared" si="9"/>
        <v>0</v>
      </c>
      <c r="R24" s="1242">
        <f t="shared" si="5"/>
        <v>0</v>
      </c>
      <c r="S24" s="1243">
        <f t="shared" si="5"/>
        <v>0</v>
      </c>
    </row>
    <row r="25" spans="1:19">
      <c r="A25" s="2248"/>
      <c r="B25" s="50" t="s">
        <v>1954</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6"/>
      <c r="O25" s="2247"/>
      <c r="P25" s="1398">
        <f t="shared" si="9"/>
        <v>0</v>
      </c>
      <c r="R25" s="1242">
        <f t="shared" si="5"/>
        <v>0</v>
      </c>
      <c r="S25" s="1243">
        <f t="shared" si="5"/>
        <v>0</v>
      </c>
    </row>
    <row r="26" spans="1:19">
      <c r="A26" s="2248"/>
      <c r="B26" s="50" t="s">
        <v>1954</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49"/>
      <c r="O26" s="2250"/>
      <c r="P26" s="67">
        <f t="shared" si="9"/>
        <v>0</v>
      </c>
      <c r="R26" s="1242">
        <f t="shared" si="5"/>
        <v>0</v>
      </c>
      <c r="S26" s="1243">
        <f t="shared" si="5"/>
        <v>0</v>
      </c>
    </row>
    <row r="27" spans="1:19" ht="29.25" thickBot="1">
      <c r="A27" s="2248"/>
      <c r="B27" s="48"/>
      <c r="C27" s="2251" t="s">
        <v>1955</v>
      </c>
      <c r="D27" s="1388">
        <f>SUM(D19:D26)</f>
        <v>36150.19</v>
      </c>
      <c r="E27" s="1389">
        <f>IF(SUM(E19:E26)='数据-基础表'!BA5,SUM(E19:E26),IF(F27="地上面积有误","面积有误","地下面积有误"))</f>
        <v>7581.01</v>
      </c>
      <c r="F27" s="1388">
        <f>IF(SUM(F19:F26)=E8,SUM(F19:F26),"地上面积有误")</f>
        <v>7581.01</v>
      </c>
      <c r="G27" s="1390">
        <f>SUM(G19:G26)</f>
        <v>0</v>
      </c>
      <c r="H27" s="1391">
        <f>SUM(H19:H26)</f>
        <v>3800.32</v>
      </c>
      <c r="I27" s="1392">
        <f>SUM(I19:I26)</f>
        <v>796.95999999999992</v>
      </c>
      <c r="J27" s="1387"/>
      <c r="K27" s="1395">
        <f>SUM(K19:K26)</f>
        <v>796.95999999999992</v>
      </c>
      <c r="L27" s="1396">
        <f>SUM(L19:L26)</f>
        <v>0</v>
      </c>
      <c r="M27" s="1399">
        <f>SUM(M19:M26)</f>
        <v>796.95999999999992</v>
      </c>
      <c r="N27" s="1395">
        <f t="shared" ref="N27:O27" si="10">SUM(N19:N26)</f>
        <v>0</v>
      </c>
      <c r="O27" s="1396">
        <f t="shared" si="10"/>
        <v>0</v>
      </c>
      <c r="P27" s="1397">
        <f>SUM(P19:P26)</f>
        <v>0</v>
      </c>
      <c r="R27" s="1244" t="str">
        <f>IF(SUM(R19:R26)=$D$3,SUM(R19:R26),SUM(R19:R26)&amp;"误差"&amp;ROUND(SUM(R19:R26)-$D$3,2))</f>
        <v>39950.51误差0.01</v>
      </c>
      <c r="S27" s="1242">
        <f>IF(SUM(S19:S26)=$E$3,SUM(S19:S26),SUM(S19:S26)&amp;"误差"&amp;ROUND(SUM(S19:S26)-E3,2))</f>
        <v>8377.9700000000012</v>
      </c>
    </row>
    <row r="28" spans="1:19">
      <c r="A28" s="2248"/>
      <c r="B28" s="50" t="s">
        <v>1956</v>
      </c>
      <c r="C28" s="1254" t="s">
        <v>1957</v>
      </c>
      <c r="D28" s="48">
        <f>ROUND($D$3*E28/$E$3,2)</f>
        <v>3800.32</v>
      </c>
      <c r="E28" s="56">
        <f>SUM(F28:G28)</f>
        <v>796.96</v>
      </c>
      <c r="F28" s="64">
        <f>'数据-基础表'!BQ5+'数据-基础表'!BS5</f>
        <v>796.96</v>
      </c>
      <c r="G28" s="65">
        <f>'数据-基础表'!BR5+'数据-基础表'!BT5</f>
        <v>0</v>
      </c>
      <c r="H28" s="1387"/>
      <c r="I28" s="1387"/>
      <c r="J28" s="1387"/>
      <c r="K28" s="1387"/>
      <c r="L28" s="1387"/>
      <c r="M28" s="1387"/>
      <c r="N28" s="1387"/>
      <c r="O28" s="1387"/>
      <c r="P28" s="1387"/>
    </row>
    <row r="29" spans="1:19">
      <c r="A29" s="2248"/>
      <c r="B29" s="50" t="s">
        <v>1956</v>
      </c>
      <c r="C29" s="2252" t="s">
        <v>1958</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48"/>
      <c r="B30" s="50"/>
      <c r="C30" s="2253" t="s">
        <v>1955</v>
      </c>
      <c r="D30" s="1388">
        <f>SUM(D28:D29)</f>
        <v>3800.32</v>
      </c>
      <c r="E30" s="1388">
        <f>SUM(E28:E29)</f>
        <v>796.96</v>
      </c>
      <c r="F30" s="1388">
        <f>SUM(F28:F29)</f>
        <v>796.96</v>
      </c>
      <c r="G30" s="1390">
        <f>SUM(G28:G29)</f>
        <v>0</v>
      </c>
      <c r="H30" s="1387"/>
      <c r="I30" s="1387"/>
      <c r="J30" s="1387"/>
      <c r="K30" s="1387"/>
      <c r="L30" s="1387"/>
      <c r="M30" s="1387"/>
      <c r="N30" s="1387"/>
      <c r="O30" s="1387"/>
      <c r="P30" s="1387"/>
    </row>
    <row r="31" spans="1:19" ht="15.75" thickBot="1">
      <c r="A31" s="2254"/>
      <c r="B31" s="2255"/>
      <c r="C31" s="1003" t="s">
        <v>1959</v>
      </c>
      <c r="D31" s="727">
        <f>D27+D30</f>
        <v>39950.51</v>
      </c>
      <c r="E31" s="727">
        <f>E27+E30</f>
        <v>8377.9700000000012</v>
      </c>
      <c r="F31" s="728">
        <f>F27+F30</f>
        <v>8377.9700000000012</v>
      </c>
      <c r="G31" s="729">
        <f>G27+G30</f>
        <v>0</v>
      </c>
      <c r="H31" s="1387"/>
      <c r="I31" s="1387"/>
      <c r="J31" s="1387"/>
      <c r="K31" s="1387"/>
      <c r="L31" s="1387"/>
      <c r="M31" s="1387"/>
      <c r="N31" s="1387"/>
      <c r="O31" s="1387"/>
      <c r="P31" s="1387"/>
    </row>
    <row r="32" spans="1:19">
      <c r="A32" s="2219"/>
      <c r="B32" s="2219" t="s">
        <v>1960</v>
      </c>
      <c r="C32" s="2219"/>
      <c r="D32" s="2219"/>
      <c r="E32" s="1269">
        <f>SUMIF(C19:C26,"*住宅*",E19:E26)</f>
        <v>0</v>
      </c>
      <c r="F32" s="2219"/>
      <c r="G32" s="2219"/>
      <c r="H32" s="1387"/>
      <c r="I32" s="1387"/>
      <c r="J32" s="1387"/>
      <c r="K32" s="1387"/>
      <c r="L32" s="1387"/>
      <c r="M32" s="1387"/>
      <c r="N32" s="1387"/>
      <c r="O32" s="1387"/>
      <c r="P32" s="1387"/>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5"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30" width="6.75" style="2260" customWidth="1"/>
    <col min="31" max="31" width="8" style="2260" customWidth="1"/>
    <col min="32" max="34" width="7.25"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1961</v>
      </c>
      <c r="B1" s="730"/>
      <c r="C1" s="1574"/>
      <c r="D1" s="2258"/>
      <c r="E1" s="1574"/>
      <c r="F1" s="1574"/>
      <c r="G1" s="1574"/>
      <c r="H1" s="1574"/>
      <c r="I1" s="1574"/>
      <c r="J1" s="1574"/>
      <c r="K1" s="167"/>
      <c r="L1" s="167"/>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4" customFormat="1" ht="15.75" thickBot="1">
      <c r="A2" s="2261" t="s">
        <v>1962</v>
      </c>
      <c r="B2" s="1261">
        <f>项目基本情况!D3</f>
        <v>43216</v>
      </c>
      <c r="C2" s="2262"/>
      <c r="D2" s="2263"/>
      <c r="E2" s="2262"/>
      <c r="F2" s="2262"/>
      <c r="G2" s="2262"/>
      <c r="H2" s="2262"/>
      <c r="I2" s="2262"/>
      <c r="J2" s="2262"/>
      <c r="K2" s="1422"/>
      <c r="L2" s="1422"/>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4" customFormat="1" ht="15" thickBot="1">
      <c r="A3" s="2022"/>
      <c r="B3" s="2265"/>
      <c r="C3" s="2262"/>
      <c r="D3" s="2263"/>
      <c r="E3" s="2262"/>
      <c r="F3" s="2262"/>
      <c r="G3" s="2262"/>
      <c r="H3" s="2262"/>
      <c r="I3" s="2262"/>
      <c r="J3" s="2262"/>
      <c r="K3" s="1422"/>
      <c r="L3" s="1422"/>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4" customFormat="1" ht="15" thickBot="1">
      <c r="A4" s="68" t="s">
        <v>1963</v>
      </c>
      <c r="B4" s="2266"/>
      <c r="C4" s="2267"/>
      <c r="D4" s="2268"/>
      <c r="E4" s="2267" t="s">
        <v>1964</v>
      </c>
      <c r="F4" s="2267"/>
      <c r="G4" s="2267"/>
      <c r="H4" s="2267"/>
      <c r="I4" s="2267"/>
      <c r="J4" s="2269"/>
      <c r="K4" s="2270"/>
      <c r="L4" s="2271"/>
      <c r="M4" s="2267"/>
      <c r="N4" s="2267" t="s">
        <v>1965</v>
      </c>
      <c r="O4" s="2267"/>
      <c r="P4" s="2267"/>
      <c r="Q4" s="2267"/>
      <c r="R4" s="2267"/>
      <c r="S4" s="2269"/>
      <c r="T4" s="2272" t="str">
        <f>'数据-汇总表'!I17</f>
        <v>按面积比例</v>
      </c>
      <c r="U4" s="2266" t="s">
        <v>1966</v>
      </c>
      <c r="V4" s="2267"/>
      <c r="W4" s="2267"/>
      <c r="X4" s="2267"/>
      <c r="Y4" s="2269"/>
      <c r="Z4" s="2230" t="s">
        <v>1967</v>
      </c>
      <c r="AA4" s="2230"/>
      <c r="AB4" s="2230"/>
      <c r="AC4" s="2230"/>
      <c r="AD4" s="2230"/>
      <c r="AE4" s="2228" t="s">
        <v>1968</v>
      </c>
      <c r="AF4" s="2230"/>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5" customFormat="1" ht="42">
      <c r="A5" s="2274" t="s">
        <v>1969</v>
      </c>
      <c r="B5" s="2275" t="s">
        <v>1970</v>
      </c>
      <c r="C5" s="2276" t="s">
        <v>1971</v>
      </c>
      <c r="D5" s="2277" t="s">
        <v>1972</v>
      </c>
      <c r="E5" s="1263" t="s">
        <v>1973</v>
      </c>
      <c r="F5" s="2278" t="s">
        <v>1974</v>
      </c>
      <c r="G5" s="1263" t="s">
        <v>1975</v>
      </c>
      <c r="H5" s="1263" t="s">
        <v>1976</v>
      </c>
      <c r="I5" s="1263" t="s">
        <v>1977</v>
      </c>
      <c r="J5" s="2279" t="s">
        <v>1978</v>
      </c>
      <c r="K5" s="2280" t="s">
        <v>1979</v>
      </c>
      <c r="L5" s="2281" t="s">
        <v>1980</v>
      </c>
      <c r="M5" s="2282" t="s">
        <v>1981</v>
      </c>
      <c r="N5" s="2283" t="s">
        <v>3042</v>
      </c>
      <c r="O5" s="2281" t="s">
        <v>1982</v>
      </c>
      <c r="P5" s="2284" t="s">
        <v>1983</v>
      </c>
      <c r="Q5" s="69" t="s">
        <v>1984</v>
      </c>
      <c r="R5" s="2285" t="s">
        <v>1985</v>
      </c>
      <c r="S5" s="2286" t="s">
        <v>1986</v>
      </c>
      <c r="T5" s="2287" t="s">
        <v>1987</v>
      </c>
      <c r="U5" s="1262" t="s">
        <v>1988</v>
      </c>
      <c r="V5" s="1263" t="s">
        <v>1989</v>
      </c>
      <c r="W5" s="1263" t="s">
        <v>1990</v>
      </c>
      <c r="X5" s="71"/>
      <c r="Y5" s="70" t="s">
        <v>1991</v>
      </c>
      <c r="Z5" s="2288" t="s">
        <v>1988</v>
      </c>
      <c r="AA5" s="1263" t="s">
        <v>1989</v>
      </c>
      <c r="AB5" s="1263" t="s">
        <v>1990</v>
      </c>
      <c r="AC5" s="71"/>
      <c r="AD5" s="71" t="s">
        <v>1991</v>
      </c>
      <c r="AE5" s="1262" t="s">
        <v>1992</v>
      </c>
      <c r="AF5" s="1263" t="s">
        <v>1993</v>
      </c>
      <c r="AG5" s="70" t="s">
        <v>1994</v>
      </c>
      <c r="AH5" s="1262" t="s">
        <v>1995</v>
      </c>
      <c r="AI5" s="2288" t="s">
        <v>1996</v>
      </c>
      <c r="AJ5" s="2288" t="s">
        <v>1997</v>
      </c>
      <c r="AK5" s="1263" t="s">
        <v>1998</v>
      </c>
      <c r="AL5" s="1263" t="s">
        <v>1999</v>
      </c>
      <c r="AM5" s="70" t="s">
        <v>2000</v>
      </c>
      <c r="AN5" s="2289" t="s">
        <v>2001</v>
      </c>
      <c r="AO5" s="2061" t="s">
        <v>2002</v>
      </c>
      <c r="AP5" s="1244" t="s">
        <v>2003</v>
      </c>
      <c r="AQ5" s="2290" t="s">
        <v>2004</v>
      </c>
      <c r="AR5" s="2290" t="s">
        <v>2005</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24" customFormat="1" ht="14.25">
      <c r="A6" s="2291" t="str">
        <f>'数据-汇总表'!C19</f>
        <v>工业用房</v>
      </c>
      <c r="B6" s="2292" t="str">
        <f>IF(A6=0,"","经营性")</f>
        <v>经营性</v>
      </c>
      <c r="C6" s="2293" t="s">
        <v>6</v>
      </c>
      <c r="D6" s="1046">
        <f>SUMIF(项目基本情况!D$12:I$12,C6,项目基本情况!D$14:I$14)</f>
        <v>50</v>
      </c>
      <c r="E6" s="1043">
        <f>IF(B6="","",SUMIF(项目基本情况!D$12:I$12,C6,项目基本情况!D$13:I$13))</f>
        <v>53073</v>
      </c>
      <c r="F6" s="72">
        <f>SUMIF(项目基本情况!D$12:I$12,C6,项目基本情况!D$15:I$15)</f>
        <v>27</v>
      </c>
      <c r="G6" s="73">
        <f>IF(ISERROR(ROUND(POWER(1+H6,D6-F6)*(POWER(1+H6,F6)-1)/(POWER(1+H6,D6)-1),3)),0,ROUND(POWER(1+H6,D6-F6)*(POWER(1+H6,F6)-1)/(POWER(1+H6,D6)-1),3))</f>
        <v>0.73699999999999999</v>
      </c>
      <c r="H6" s="2933">
        <v>3.5000000000000003E-2</v>
      </c>
      <c r="I6" s="2933">
        <v>0.04</v>
      </c>
      <c r="J6" s="74">
        <v>8.5000000000000006E-2</v>
      </c>
      <c r="K6" s="1246">
        <f>SUMIF('数据-汇总表'!C$19:C$33,A6,'数据-汇总表'!E$19:E$33)</f>
        <v>5371.4500000000007</v>
      </c>
      <c r="L6" s="800">
        <v>1500</v>
      </c>
      <c r="M6" s="75">
        <f t="shared" ref="M6:M14" si="0">ROUND(K6*L6/10000,0)</f>
        <v>806</v>
      </c>
      <c r="N6" s="799">
        <f>ROUND(1-(1-2%)*(2018-2002)/70,2)</f>
        <v>0.78</v>
      </c>
      <c r="O6" s="75" t="str">
        <f>IF($N$5="成新度","——",ROUND(M6*N6,0))</f>
        <v>——</v>
      </c>
      <c r="P6" s="76" t="str">
        <f>IF($N$5="成新度","——",M6-O6)</f>
        <v>——</v>
      </c>
      <c r="Q6" s="801">
        <v>0.08</v>
      </c>
      <c r="R6" s="77">
        <f ca="1">SUMIF('数据-汇总表'!C$19:C$33,A6,'数据-汇总表'!R$19:R$27)</f>
        <v>28306.55</v>
      </c>
      <c r="S6" s="54">
        <f>IF('数据-汇总表'!$I$17="按面积比例",SUMIF('数据-汇总表'!C$19:C$33,A6,'数据-汇总表'!K$19:K$33),SUMIF('数据-汇总表'!C$19:C$33,A6,'数据-汇总表'!N$19:N$33))</f>
        <v>564.67999999999995</v>
      </c>
      <c r="T6" s="1438">
        <f>ROUND($L$14*S6/10000,0)</f>
        <v>0</v>
      </c>
      <c r="U6" s="2937">
        <f>'数据-基础表'!B26*10000</f>
        <v>4240000</v>
      </c>
      <c r="V6" s="2973">
        <v>0.03</v>
      </c>
      <c r="W6" s="79">
        <v>0.05</v>
      </c>
      <c r="X6" s="1256"/>
      <c r="Y6" s="80">
        <f>N6</f>
        <v>0.78</v>
      </c>
      <c r="Z6" s="81"/>
      <c r="AA6" s="74"/>
      <c r="AB6" s="74"/>
      <c r="AC6" s="1256"/>
      <c r="AD6" s="82"/>
      <c r="AE6" s="1257">
        <f ca="1">IF(AN6="",0,SUMIF(INDIRECT("'"&amp;AN6&amp;"'"&amp;"!E:E"),$AE$5,INDIRECT("'"&amp;AN6&amp;"'"&amp;"!F:F")))</f>
        <v>27</v>
      </c>
      <c r="AF6" s="1797"/>
      <c r="AG6" s="146">
        <f>IF(AF6="",0,AE6-AF6)</f>
        <v>0</v>
      </c>
      <c r="AH6" s="83">
        <v>1</v>
      </c>
      <c r="AI6" s="85">
        <v>1</v>
      </c>
      <c r="AJ6" s="86"/>
      <c r="AK6" s="87">
        <v>0.01</v>
      </c>
      <c r="AL6" s="88">
        <v>1E-3</v>
      </c>
      <c r="AM6" s="89">
        <v>0.01</v>
      </c>
      <c r="AN6" s="2294" t="s">
        <v>3262</v>
      </c>
      <c r="AO6" s="55">
        <f ca="1">SUMIF(INDIRECT("'"&amp;AN6&amp;"'"&amp;"!A:A"),"总价",INDIRECT("'"&amp;AN6&amp;"'"&amp;"!B:B"))</f>
        <v>7187</v>
      </c>
      <c r="AP6" s="2295">
        <f>IF(C6="住宅",K6*L6,0)</f>
        <v>0</v>
      </c>
      <c r="AQ6" s="55">
        <f>ROUND($L$14*$N$14*S6/10000,0)</f>
        <v>0</v>
      </c>
      <c r="AR6" s="55">
        <f>ROUND($L$14*(1-$N$14)*S6/10000,0)</f>
        <v>0</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4" customFormat="1" ht="14.25">
      <c r="A7" s="2291" t="str">
        <f>'数据-汇总表'!C20</f>
        <v>办公楼</v>
      </c>
      <c r="B7" s="2292" t="str">
        <f t="shared" ref="B7:B13" si="1">IF(A7=0,"","经营性")</f>
        <v>经营性</v>
      </c>
      <c r="C7" s="2293" t="s">
        <v>6</v>
      </c>
      <c r="D7" s="1046">
        <f>SUMIF(项目基本情况!D$12:I$12,C7,项目基本情况!D$14:I$14)</f>
        <v>50</v>
      </c>
      <c r="E7" s="1043">
        <f>IF(B7="","",SUMIF(项目基本情况!D$12:I$12,C7,项目基本情况!D$13:I$13))</f>
        <v>53073</v>
      </c>
      <c r="F7" s="72">
        <f>SUMIF(项目基本情况!D$12:I$12,C7,项目基本情况!D$15:I$15)</f>
        <v>27</v>
      </c>
      <c r="G7" s="73">
        <f t="shared" ref="G7:G11" si="2">IF(ISERROR(ROUND(POWER(1+H7,D7-F7)*(POWER(1+H7,F7)-1)/(POWER(1+H7,D7)-1),3)),0,ROUND(POWER(1+H7,D7-F7)*(POWER(1+H7,F7)-1)/(POWER(1+H7,D7)-1),3))</f>
        <v>0.76</v>
      </c>
      <c r="H7" s="74">
        <v>0.04</v>
      </c>
      <c r="I7" s="74">
        <v>4.4999999999999998E-2</v>
      </c>
      <c r="J7" s="74">
        <f>J6</f>
        <v>8.5000000000000006E-2</v>
      </c>
      <c r="K7" s="1246">
        <f>SUMIF('数据-汇总表'!C$19:C$33,A7,'数据-汇总表'!E$19:E$33)</f>
        <v>2209.56</v>
      </c>
      <c r="L7" s="800">
        <v>2000</v>
      </c>
      <c r="M7" s="75">
        <f t="shared" si="0"/>
        <v>442</v>
      </c>
      <c r="N7" s="799">
        <f>N6</f>
        <v>0.78</v>
      </c>
      <c r="O7" s="75" t="str">
        <f t="shared" ref="O7:O14" si="3">IF($N$5="成新度","——",ROUND(M7*N7,0))</f>
        <v>——</v>
      </c>
      <c r="P7" s="76" t="str">
        <f t="shared" ref="P7:P14" si="4">IF($N$5="成新度","——",M7-O7)</f>
        <v>——</v>
      </c>
      <c r="Q7" s="90">
        <v>0.1</v>
      </c>
      <c r="R7" s="77">
        <f ca="1">SUMIF('数据-汇总表'!C$19:C$33,A7,'数据-汇总表'!R$19:R$27)</f>
        <v>11643.96</v>
      </c>
      <c r="S7" s="54">
        <f>IF('数据-汇总表'!$I$17="按面积比例",SUMIF('数据-汇总表'!C$19:C$33,A7,'数据-汇总表'!K$19:K$33),SUMIF('数据-汇总表'!C$19:C$33,A7,'数据-汇总表'!N$19:N$33))</f>
        <v>232.28</v>
      </c>
      <c r="T7" s="1438">
        <f t="shared" ref="T7:T13" si="5">ROUND($L$14*S7/10000,0)</f>
        <v>0</v>
      </c>
      <c r="U7" s="78">
        <v>1.5</v>
      </c>
      <c r="V7" s="79">
        <v>3.5000000000000003E-2</v>
      </c>
      <c r="W7" s="79">
        <f>W6</f>
        <v>0.05</v>
      </c>
      <c r="X7" s="1256"/>
      <c r="Y7" s="80">
        <f>Y6</f>
        <v>0.78</v>
      </c>
      <c r="Z7" s="81"/>
      <c r="AA7" s="74"/>
      <c r="AB7" s="74"/>
      <c r="AC7" s="1256"/>
      <c r="AD7" s="82"/>
      <c r="AE7" s="1257">
        <f t="shared" ref="AE7:AE13" ca="1" si="6">IF(AN7="",0,SUMIF(INDIRECT("'"&amp;AN7&amp;"'"&amp;"!E:E"),$AE$5,INDIRECT("'"&amp;AN7&amp;"'"&amp;"!F:F")))</f>
        <v>27</v>
      </c>
      <c r="AF7" s="1797"/>
      <c r="AG7" s="146">
        <f t="shared" ref="AG7:AG13" si="7">IF(AF7="",0,AE7-AF7)</f>
        <v>0</v>
      </c>
      <c r="AH7" s="83"/>
      <c r="AI7" s="85">
        <v>365</v>
      </c>
      <c r="AJ7" s="86"/>
      <c r="AK7" s="87">
        <f>AK6</f>
        <v>0.01</v>
      </c>
      <c r="AL7" s="88">
        <f>AL6</f>
        <v>1E-3</v>
      </c>
      <c r="AM7" s="89">
        <f>AM6</f>
        <v>0.01</v>
      </c>
      <c r="AN7" s="2294" t="s">
        <v>3313</v>
      </c>
      <c r="AO7" s="55">
        <f t="shared" ref="AO7:AO13" ca="1" si="8">SUMIF(INDIRECT("'"&amp;AN7&amp;"'"&amp;"!A:A"),"总价",INDIRECT("'"&amp;AN7&amp;"'"&amp;"!B:B"))</f>
        <v>1944</v>
      </c>
      <c r="AP7" s="2295">
        <f t="shared" ref="AP7:AP13" si="9">IF(C7="住宅",K7*L7,0)</f>
        <v>0</v>
      </c>
      <c r="AQ7" s="55">
        <f t="shared" ref="AQ7:AQ13" si="10">ROUND($L$14*$N$14*S7/10000,0)</f>
        <v>0</v>
      </c>
      <c r="AR7" s="55">
        <f t="shared" ref="AR7:AR13" si="11">ROUND($L$14*(1-$N$14)*S7/10000,0)</f>
        <v>0</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4" customFormat="1" ht="14.25">
      <c r="A8" s="2291">
        <f>'数据-汇总表'!C21</f>
        <v>0</v>
      </c>
      <c r="B8" s="2292" t="str">
        <f t="shared" si="1"/>
        <v/>
      </c>
      <c r="C8" s="2293"/>
      <c r="D8" s="1046">
        <f>SUMIF(项目基本情况!D$12:I$12,C8,项目基本情况!D$14:I$14)</f>
        <v>0</v>
      </c>
      <c r="E8" s="1043" t="str">
        <f>IF(B8="","",SUMIF(项目基本情况!D$12:I$12,C8,项目基本情况!D$13:I$13))</f>
        <v/>
      </c>
      <c r="F8" s="72">
        <f>SUMIF(项目基本情况!D$12:I$12,C8,项目基本情况!D$15:I$15)</f>
        <v>0</v>
      </c>
      <c r="G8" s="73">
        <f t="shared" si="2"/>
        <v>0</v>
      </c>
      <c r="H8" s="74"/>
      <c r="I8" s="74"/>
      <c r="J8" s="74"/>
      <c r="K8" s="1246">
        <f>SUMIF('数据-汇总表'!C$19:C$33,A8,'数据-汇总表'!E$19:E$33)</f>
        <v>0</v>
      </c>
      <c r="L8" s="800"/>
      <c r="M8" s="75">
        <f>ROUND(K8*L8/10000,0)</f>
        <v>0</v>
      </c>
      <c r="N8" s="799"/>
      <c r="O8" s="75" t="str">
        <f t="shared" si="3"/>
        <v>——</v>
      </c>
      <c r="P8" s="76" t="str">
        <f t="shared" si="4"/>
        <v>——</v>
      </c>
      <c r="Q8" s="90"/>
      <c r="R8" s="77">
        <f ca="1">SUMIF('数据-汇总表'!C$19:C$33,A8,'数据-汇总表'!R$19:R$27)</f>
        <v>0</v>
      </c>
      <c r="S8" s="54">
        <f>IF('数据-汇总表'!$I$17="按面积比例",SUMIF('数据-汇总表'!C$19:C$33,A8,'数据-汇总表'!K$19:K$33),SUMIF('数据-汇总表'!C$19:C$33,A8,'数据-汇总表'!N$19:N$33))</f>
        <v>0</v>
      </c>
      <c r="T8" s="1438">
        <f t="shared" si="5"/>
        <v>0</v>
      </c>
      <c r="U8" s="78"/>
      <c r="V8" s="79"/>
      <c r="W8" s="79"/>
      <c r="X8" s="1256"/>
      <c r="Y8" s="80"/>
      <c r="Z8" s="81"/>
      <c r="AA8" s="74"/>
      <c r="AB8" s="74"/>
      <c r="AC8" s="1256"/>
      <c r="AD8" s="82"/>
      <c r="AE8" s="1257">
        <f t="shared" ca="1" si="6"/>
        <v>0</v>
      </c>
      <c r="AF8" s="1797"/>
      <c r="AG8" s="146">
        <f t="shared" si="7"/>
        <v>0</v>
      </c>
      <c r="AH8" s="83"/>
      <c r="AI8" s="85"/>
      <c r="AJ8" s="86"/>
      <c r="AK8" s="802"/>
      <c r="AL8" s="803"/>
      <c r="AM8" s="804"/>
      <c r="AN8" s="2294"/>
      <c r="AO8" s="55" t="e">
        <f t="shared" ca="1" si="8"/>
        <v>#REF!</v>
      </c>
      <c r="AP8" s="2295">
        <f t="shared" si="9"/>
        <v>0</v>
      </c>
      <c r="AQ8" s="55">
        <f t="shared" si="10"/>
        <v>0</v>
      </c>
      <c r="AR8" s="55">
        <f t="shared" si="11"/>
        <v>0</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4" customFormat="1" ht="14.25">
      <c r="A9" s="2291">
        <f>'数据-汇总表'!C22</f>
        <v>0</v>
      </c>
      <c r="B9" s="2292" t="str">
        <f t="shared" si="1"/>
        <v/>
      </c>
      <c r="C9" s="2293"/>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0"/>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7"/>
      <c r="AG9" s="146">
        <f t="shared" si="7"/>
        <v>0</v>
      </c>
      <c r="AH9" s="83"/>
      <c r="AI9" s="85"/>
      <c r="AJ9" s="86"/>
      <c r="AK9" s="87"/>
      <c r="AL9" s="88"/>
      <c r="AM9" s="89"/>
      <c r="AN9" s="2294"/>
      <c r="AO9" s="55" t="e">
        <f t="shared" ca="1" si="8"/>
        <v>#REF!</v>
      </c>
      <c r="AP9" s="2295">
        <f t="shared" si="9"/>
        <v>0</v>
      </c>
      <c r="AQ9" s="55">
        <f t="shared" si="10"/>
        <v>0</v>
      </c>
      <c r="AR9" s="55">
        <f t="shared" si="11"/>
        <v>0</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4" customFormat="1" ht="14.25">
      <c r="A10" s="2291">
        <f>'数据-汇总表'!C23</f>
        <v>0</v>
      </c>
      <c r="B10" s="2292" t="str">
        <f t="shared" si="1"/>
        <v/>
      </c>
      <c r="C10" s="2293"/>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0"/>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7"/>
      <c r="AG10" s="146">
        <f t="shared" si="7"/>
        <v>0</v>
      </c>
      <c r="AH10" s="83"/>
      <c r="AI10" s="85"/>
      <c r="AJ10" s="86"/>
      <c r="AK10" s="87"/>
      <c r="AL10" s="88"/>
      <c r="AM10" s="89"/>
      <c r="AN10" s="2294"/>
      <c r="AO10" s="55" t="e">
        <f t="shared" ca="1" si="8"/>
        <v>#REF!</v>
      </c>
      <c r="AP10" s="2295">
        <f t="shared" si="9"/>
        <v>0</v>
      </c>
      <c r="AQ10" s="55">
        <f t="shared" si="10"/>
        <v>0</v>
      </c>
      <c r="AR10" s="55">
        <f t="shared" si="11"/>
        <v>0</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4" customFormat="1" ht="14.25">
      <c r="A11" s="2291">
        <f>'数据-汇总表'!C24</f>
        <v>0</v>
      </c>
      <c r="B11" s="2292" t="str">
        <f t="shared" si="1"/>
        <v/>
      </c>
      <c r="C11" s="2293"/>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7"/>
      <c r="AG11" s="146">
        <f t="shared" si="7"/>
        <v>0</v>
      </c>
      <c r="AH11" s="83"/>
      <c r="AI11" s="85"/>
      <c r="AJ11" s="86"/>
      <c r="AK11" s="94"/>
      <c r="AL11" s="95"/>
      <c r="AM11" s="96"/>
      <c r="AN11" s="2294"/>
      <c r="AO11" s="55" t="e">
        <f t="shared" ca="1" si="8"/>
        <v>#REF!</v>
      </c>
      <c r="AP11" s="2295">
        <f t="shared" si="9"/>
        <v>0</v>
      </c>
      <c r="AQ11" s="55">
        <f t="shared" si="10"/>
        <v>0</v>
      </c>
      <c r="AR11" s="55">
        <f t="shared" si="11"/>
        <v>0</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4" customFormat="1" ht="14.25">
      <c r="A12" s="2291">
        <f>'数据-汇总表'!C25</f>
        <v>0</v>
      </c>
      <c r="B12" s="2292" t="str">
        <f t="shared" si="1"/>
        <v/>
      </c>
      <c r="C12" s="2293"/>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7"/>
      <c r="AG12" s="146">
        <f t="shared" si="7"/>
        <v>0</v>
      </c>
      <c r="AH12" s="83"/>
      <c r="AI12" s="85"/>
      <c r="AJ12" s="86"/>
      <c r="AK12" s="94"/>
      <c r="AL12" s="95"/>
      <c r="AM12" s="96"/>
      <c r="AN12" s="2294"/>
      <c r="AO12" s="55" t="e">
        <f t="shared" ca="1" si="8"/>
        <v>#REF!</v>
      </c>
      <c r="AP12" s="2295">
        <f t="shared" si="9"/>
        <v>0</v>
      </c>
      <c r="AQ12" s="55">
        <f t="shared" si="10"/>
        <v>0</v>
      </c>
      <c r="AR12" s="55">
        <f t="shared" si="11"/>
        <v>0</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4" customFormat="1" ht="14.25">
      <c r="A13" s="2291">
        <f>'数据-汇总表'!C26</f>
        <v>0</v>
      </c>
      <c r="B13" s="2292" t="str">
        <f t="shared" si="1"/>
        <v/>
      </c>
      <c r="C13" s="2293"/>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7"/>
      <c r="AG13" s="146">
        <f t="shared" si="7"/>
        <v>0</v>
      </c>
      <c r="AH13" s="83"/>
      <c r="AI13" s="85"/>
      <c r="AJ13" s="86"/>
      <c r="AK13" s="87"/>
      <c r="AL13" s="88"/>
      <c r="AM13" s="89"/>
      <c r="AN13" s="2294"/>
      <c r="AO13" s="55" t="e">
        <f t="shared" ca="1" si="8"/>
        <v>#REF!</v>
      </c>
      <c r="AP13" s="2295">
        <f t="shared" si="9"/>
        <v>0</v>
      </c>
      <c r="AQ13" s="55">
        <f t="shared" si="10"/>
        <v>0</v>
      </c>
      <c r="AR13" s="55">
        <f t="shared" si="11"/>
        <v>0</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4" customFormat="1" ht="14.25">
      <c r="A14" s="2296" t="s">
        <v>2006</v>
      </c>
      <c r="B14" s="2292" t="s">
        <v>2007</v>
      </c>
      <c r="C14" s="2297" t="s">
        <v>2006</v>
      </c>
      <c r="D14" s="1046"/>
      <c r="E14" s="1043"/>
      <c r="F14" s="72"/>
      <c r="G14" s="73"/>
      <c r="H14" s="1245"/>
      <c r="I14" s="1245"/>
      <c r="J14" s="1245"/>
      <c r="K14" s="1246">
        <f>SUMIF('数据-汇总表'!C$19:C$33,A14,'数据-汇总表'!E$19:E$33)</f>
        <v>796.96</v>
      </c>
      <c r="L14" s="91"/>
      <c r="M14" s="75">
        <f t="shared" si="0"/>
        <v>0</v>
      </c>
      <c r="N14" s="92"/>
      <c r="O14" s="75" t="str">
        <f t="shared" si="3"/>
        <v>——</v>
      </c>
      <c r="P14" s="76" t="str">
        <f t="shared" si="4"/>
        <v>——</v>
      </c>
      <c r="Q14" s="1249"/>
      <c r="R14" s="77"/>
      <c r="S14" s="54"/>
      <c r="T14" s="1438"/>
      <c r="U14" s="721"/>
      <c r="V14" s="1251"/>
      <c r="W14" s="1251"/>
      <c r="X14" s="1252"/>
      <c r="Y14" s="1253"/>
      <c r="Z14" s="1254"/>
      <c r="AA14" s="1255"/>
      <c r="AB14" s="1255"/>
      <c r="AC14" s="1256"/>
      <c r="AD14" s="1252"/>
      <c r="AE14" s="1257"/>
      <c r="AF14" s="55"/>
      <c r="AG14" s="146"/>
      <c r="AH14" s="1257"/>
      <c r="AI14" s="1808"/>
      <c r="AJ14" s="771"/>
      <c r="AK14" s="1258"/>
      <c r="AL14" s="1259"/>
      <c r="AM14" s="1260"/>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4" customFormat="1" ht="27">
      <c r="A15" s="2296" t="s">
        <v>2008</v>
      </c>
      <c r="B15" s="2292" t="s">
        <v>2007</v>
      </c>
      <c r="C15" s="2297" t="s">
        <v>2009</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1"/>
      <c r="V15" s="1251"/>
      <c r="W15" s="1251"/>
      <c r="X15" s="1252"/>
      <c r="Y15" s="1253"/>
      <c r="Z15" s="1254"/>
      <c r="AA15" s="1255"/>
      <c r="AB15" s="1255"/>
      <c r="AC15" s="1256"/>
      <c r="AD15" s="1252"/>
      <c r="AE15" s="1257"/>
      <c r="AF15" s="55"/>
      <c r="AG15" s="146"/>
      <c r="AH15" s="1257"/>
      <c r="AI15" s="1808"/>
      <c r="AJ15" s="771"/>
      <c r="AK15" s="1258"/>
      <c r="AL15" s="1259"/>
      <c r="AM15" s="1260"/>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4" customFormat="1" ht="15.75" thickBot="1">
      <c r="A16" s="2298" t="s">
        <v>2010</v>
      </c>
      <c r="B16" s="97"/>
      <c r="C16" s="1001"/>
      <c r="D16" s="2299"/>
      <c r="E16" s="97"/>
      <c r="F16" s="97"/>
      <c r="G16" s="98">
        <f>ROUND(SUMPRODUCT(G6:G13,K6:K13)/SUMPRODUCT((G6:G13&gt;0)*(K6:K13)),3)</f>
        <v>0.74399999999999999</v>
      </c>
      <c r="H16" s="99">
        <f>ROUND(SUMPRODUCT(H6:H13,K6:K13)/SUMPRODUCT((H6:H13&gt;0)*(K6:K13)),3)</f>
        <v>3.5999999999999997E-2</v>
      </c>
      <c r="I16" s="100"/>
      <c r="J16" s="100"/>
      <c r="K16" s="101">
        <f>SUM(K6:K15)</f>
        <v>8377.9700000000012</v>
      </c>
      <c r="L16" s="102">
        <f>ROUND(M16*10000/SUM(K6:K14),0)</f>
        <v>1490</v>
      </c>
      <c r="M16" s="102">
        <f>SUM(M6:M14)</f>
        <v>1248</v>
      </c>
      <c r="N16" s="103">
        <f>ROUND(SUMPRODUCT(M6:M14,N6:N14)/M16,3)</f>
        <v>0.78</v>
      </c>
      <c r="O16" s="102">
        <f>SUM(O6:O14)</f>
        <v>0</v>
      </c>
      <c r="P16" s="102">
        <f>SUM(P6:P14)</f>
        <v>0</v>
      </c>
      <c r="Q16" s="104">
        <f>ROUND(SUMPRODUCT(Q6:Q13,K6:K13)/SUMPRODUCT((Q6:Q13&gt;0)*(K6:K13)),2)</f>
        <v>0.09</v>
      </c>
      <c r="R16" s="1250">
        <f ca="1">SUM(R6:R13)</f>
        <v>39950.509999999995</v>
      </c>
      <c r="S16" s="105">
        <f>SUM(S6:S13)</f>
        <v>796.95999999999992</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30"/>
      <c r="C17" s="1574"/>
      <c r="D17" s="2258"/>
      <c r="E17" s="2258"/>
      <c r="F17" s="1574"/>
      <c r="G17" s="1574"/>
      <c r="H17" s="1574"/>
      <c r="I17" s="1574"/>
      <c r="J17" s="1574"/>
      <c r="K17" s="167"/>
      <c r="L17" s="167"/>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2011</v>
      </c>
      <c r="B18" s="2265"/>
      <c r="C18" s="2262"/>
      <c r="D18" s="2263"/>
      <c r="E18" s="2262"/>
      <c r="F18" s="2262"/>
      <c r="G18" s="2262"/>
      <c r="H18" s="2262"/>
      <c r="I18" s="2262"/>
      <c r="J18" s="2262"/>
      <c r="K18" s="167"/>
      <c r="L18" s="167"/>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1" t="s">
        <v>2012</v>
      </c>
      <c r="B19" s="112">
        <v>0</v>
      </c>
      <c r="C19" s="2262" t="s">
        <v>2013</v>
      </c>
      <c r="D19" s="2263"/>
      <c r="E19" s="2262"/>
      <c r="F19" s="2262"/>
      <c r="G19" s="2262"/>
      <c r="H19" s="2262"/>
      <c r="I19" s="2262"/>
      <c r="J19" s="2262"/>
      <c r="K19" s="167"/>
      <c r="L19" s="167"/>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2" t="s">
        <v>2014</v>
      </c>
      <c r="B20" s="113">
        <v>1</v>
      </c>
      <c r="C20" s="2262" t="s">
        <v>2015</v>
      </c>
      <c r="D20" s="2263"/>
      <c r="E20" s="2262"/>
      <c r="F20" s="2262"/>
      <c r="G20" s="2262"/>
      <c r="H20" s="2262"/>
      <c r="I20" s="2262"/>
      <c r="J20" s="2262"/>
      <c r="K20" s="167"/>
      <c r="L20" s="167"/>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3" t="s">
        <v>2016</v>
      </c>
      <c r="B21" s="113">
        <v>1</v>
      </c>
      <c r="C21" s="2262"/>
      <c r="D21" s="2263"/>
      <c r="E21" s="2262"/>
      <c r="F21" s="2262"/>
      <c r="G21" s="2262"/>
      <c r="H21" s="2262"/>
      <c r="I21" s="2262"/>
      <c r="J21" s="2262"/>
      <c r="K21" s="167"/>
      <c r="L21" s="167"/>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2" t="s">
        <v>2017</v>
      </c>
      <c r="B22" s="114">
        <f>B19+B20</f>
        <v>1</v>
      </c>
      <c r="C22" s="2262"/>
      <c r="D22" s="2263"/>
      <c r="E22" s="2262"/>
      <c r="F22" s="2262"/>
      <c r="G22" s="2262"/>
      <c r="H22" s="2262"/>
      <c r="I22" s="2262"/>
      <c r="J22" s="2262"/>
      <c r="K22" s="167"/>
      <c r="L22" s="167"/>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3" t="s">
        <v>2018</v>
      </c>
      <c r="B23" s="114">
        <f>B19+B21</f>
        <v>1</v>
      </c>
      <c r="C23" s="2262"/>
      <c r="D23" s="2263"/>
      <c r="E23" s="2262"/>
      <c r="F23" s="2262"/>
      <c r="G23" s="2262"/>
      <c r="H23" s="2262"/>
      <c r="I23" s="2262"/>
      <c r="J23" s="2262"/>
      <c r="K23" s="167"/>
      <c r="L23" s="167"/>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4" t="s">
        <v>2019</v>
      </c>
      <c r="B24" s="115">
        <f>B20-B21</f>
        <v>0</v>
      </c>
      <c r="C24" s="2262"/>
      <c r="D24" s="2263"/>
      <c r="E24" s="2262"/>
      <c r="F24" s="2262"/>
      <c r="G24" s="2262"/>
      <c r="H24" s="2262"/>
      <c r="I24" s="2262"/>
      <c r="J24" s="2262"/>
      <c r="K24" s="167"/>
      <c r="L24" s="167"/>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22"/>
      <c r="B25" s="2265"/>
      <c r="C25" s="2262"/>
      <c r="D25" s="2263"/>
      <c r="E25" s="2262"/>
      <c r="F25" s="2262"/>
      <c r="G25" s="2262"/>
      <c r="H25" s="2262"/>
      <c r="I25" s="2262"/>
      <c r="J25" s="2262"/>
      <c r="K25" s="167"/>
      <c r="L25" s="167"/>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1" t="s">
        <v>2020</v>
      </c>
      <c r="B26" s="2305" t="s">
        <v>2021</v>
      </c>
      <c r="C26" s="2306" t="s">
        <v>2022</v>
      </c>
      <c r="D26" s="2263"/>
      <c r="E26" s="2262"/>
      <c r="F26" s="2262"/>
      <c r="G26" s="2262"/>
      <c r="H26" s="2262"/>
      <c r="I26" s="2262"/>
      <c r="J26" s="2262"/>
      <c r="K26" s="167"/>
      <c r="L26" s="167"/>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09" customFormat="1" ht="27.75">
      <c r="A27" s="2307" t="s">
        <v>2023</v>
      </c>
      <c r="B27" s="116"/>
      <c r="C27" s="1757" t="s">
        <v>2024</v>
      </c>
      <c r="D27" s="2308"/>
      <c r="E27" s="1422"/>
      <c r="F27" s="1422"/>
      <c r="G27" s="2262"/>
      <c r="H27" s="2262"/>
      <c r="I27" s="2262"/>
      <c r="J27" s="2262"/>
      <c r="K27" s="167"/>
      <c r="L27" s="167"/>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09" customFormat="1" ht="27.75">
      <c r="A28" s="2310" t="s">
        <v>2025</v>
      </c>
      <c r="B28" s="3007">
        <v>200</v>
      </c>
      <c r="C28" s="2311"/>
      <c r="D28" s="2308"/>
      <c r="E28" s="1422"/>
      <c r="F28" s="1422"/>
      <c r="G28" s="2262"/>
      <c r="H28" s="2262"/>
      <c r="I28" s="2262"/>
      <c r="J28" s="2262"/>
      <c r="K28" s="167"/>
      <c r="L28" s="167"/>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09" customFormat="1" ht="28.5" thickBot="1">
      <c r="A29" s="2312" t="s">
        <v>2026</v>
      </c>
      <c r="B29" s="121">
        <f>ROUND(B28*K16/10000,0)</f>
        <v>168</v>
      </c>
      <c r="C29" s="1757" t="s">
        <v>2027</v>
      </c>
      <c r="D29" s="2308"/>
      <c r="E29" s="1422"/>
      <c r="F29" s="1422"/>
      <c r="G29" s="2262"/>
      <c r="H29" s="2262"/>
      <c r="I29" s="2262"/>
      <c r="J29" s="2262"/>
      <c r="K29" s="167"/>
      <c r="L29" s="167"/>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09" customFormat="1" ht="27">
      <c r="A30" s="2313" t="s">
        <v>2028</v>
      </c>
      <c r="B30" s="722">
        <v>200</v>
      </c>
      <c r="C30" s="2311"/>
      <c r="D30" s="2308"/>
      <c r="E30" s="1422"/>
      <c r="F30" s="1422"/>
      <c r="G30" s="2262"/>
      <c r="H30" s="2262"/>
      <c r="I30" s="2262"/>
      <c r="J30" s="2262"/>
      <c r="K30" s="167"/>
      <c r="L30" s="167"/>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09" customFormat="1" ht="27">
      <c r="A31" s="2310" t="s">
        <v>2029</v>
      </c>
      <c r="B31" s="120">
        <f>B30-B32</f>
        <v>200</v>
      </c>
      <c r="C31" s="1757"/>
      <c r="D31" s="2308"/>
      <c r="E31" s="1422"/>
      <c r="F31" s="1422"/>
      <c r="G31" s="2262"/>
      <c r="H31" s="2262"/>
      <c r="I31" s="2262"/>
      <c r="J31" s="2262"/>
      <c r="K31" s="167"/>
      <c r="L31" s="167"/>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09" customFormat="1" ht="27.75" thickBot="1">
      <c r="A32" s="2314" t="s">
        <v>2030</v>
      </c>
      <c r="B32" s="723">
        <v>0</v>
      </c>
      <c r="C32" s="2311"/>
      <c r="D32" s="2263"/>
      <c r="E32" s="2262"/>
      <c r="F32" s="2262"/>
      <c r="G32" s="2262"/>
      <c r="H32" s="2262"/>
      <c r="I32" s="2262"/>
      <c r="J32" s="2262"/>
      <c r="K32" s="167"/>
      <c r="L32" s="167"/>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09" customFormat="1" ht="14.25">
      <c r="A33" s="2307" t="s">
        <v>2031</v>
      </c>
      <c r="B33" s="724">
        <v>0.03</v>
      </c>
      <c r="C33" s="1756" t="s">
        <v>2032</v>
      </c>
      <c r="D33" s="2263"/>
      <c r="E33" s="2262"/>
      <c r="F33" s="2262"/>
      <c r="G33" s="2262"/>
      <c r="H33" s="2262"/>
      <c r="I33" s="2262"/>
      <c r="J33" s="2262"/>
      <c r="K33" s="167"/>
      <c r="L33" s="167"/>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09" customFormat="1" ht="14.25">
      <c r="A34" s="2310" t="s">
        <v>2033</v>
      </c>
      <c r="B34" s="122">
        <v>0</v>
      </c>
      <c r="C34" s="1756" t="s">
        <v>2034</v>
      </c>
      <c r="D34" s="2263" t="s">
        <v>2035</v>
      </c>
      <c r="E34" s="730"/>
      <c r="F34" s="2262"/>
      <c r="G34" s="2262"/>
      <c r="H34" s="2262"/>
      <c r="I34" s="2262"/>
      <c r="J34" s="2262"/>
      <c r="K34" s="167"/>
      <c r="L34" s="167"/>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09" customFormat="1" ht="14.25">
      <c r="A35" s="2310" t="s">
        <v>2036</v>
      </c>
      <c r="B35" s="119">
        <v>200</v>
      </c>
      <c r="C35" s="1756" t="s">
        <v>2037</v>
      </c>
      <c r="D35" s="2308"/>
      <c r="E35" s="1422"/>
      <c r="F35" s="1422"/>
      <c r="G35" s="2262"/>
      <c r="H35" s="2262"/>
      <c r="I35" s="2262"/>
      <c r="J35" s="2262"/>
      <c r="K35" s="167"/>
      <c r="L35" s="167"/>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2" t="s">
        <v>2038</v>
      </c>
      <c r="B36" s="123">
        <v>1.4999999999999999E-2</v>
      </c>
      <c r="C36" s="1756" t="s">
        <v>2039</v>
      </c>
      <c r="D36" s="2263"/>
      <c r="E36" s="2262"/>
      <c r="F36" s="2262"/>
      <c r="G36" s="2262"/>
      <c r="H36" s="2262"/>
      <c r="I36" s="2262"/>
      <c r="J36" s="2262"/>
      <c r="K36" s="167"/>
      <c r="L36" s="167"/>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3" t="s">
        <v>2040</v>
      </c>
      <c r="B37" s="124">
        <v>0.02</v>
      </c>
      <c r="C37" s="1756" t="s">
        <v>2041</v>
      </c>
      <c r="D37" s="2263"/>
      <c r="E37" s="2262"/>
      <c r="F37" s="2262"/>
      <c r="G37" s="2262"/>
      <c r="H37" s="2262"/>
      <c r="I37" s="2262"/>
      <c r="J37" s="2262"/>
      <c r="K37" s="167"/>
      <c r="L37" s="167"/>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0" t="s">
        <v>2042</v>
      </c>
      <c r="B38" s="122">
        <v>0.01</v>
      </c>
      <c r="C38" s="1756" t="s">
        <v>2041</v>
      </c>
      <c r="D38" s="2263"/>
      <c r="E38" s="2262"/>
      <c r="F38" s="2262"/>
      <c r="G38" s="2262"/>
      <c r="H38" s="2262"/>
      <c r="I38" s="2262"/>
      <c r="J38" s="2262"/>
      <c r="K38" s="167"/>
      <c r="L38" s="167"/>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4" t="s">
        <v>2043</v>
      </c>
      <c r="B39" s="361">
        <f ca="1">存贷款利率!I1</f>
        <v>1.4999999999999999E-2</v>
      </c>
      <c r="C39" s="1756"/>
      <c r="D39" s="2263"/>
      <c r="E39" s="2262"/>
      <c r="F39" s="2262"/>
      <c r="G39" s="2262"/>
      <c r="H39" s="2262"/>
      <c r="I39" s="2262"/>
      <c r="J39" s="2262"/>
      <c r="K39" s="167"/>
      <c r="L39" s="167"/>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4" t="s">
        <v>2044</v>
      </c>
      <c r="B40" s="1295">
        <f ca="1">存贷款利率!G1</f>
        <v>4.3499999999999997E-2</v>
      </c>
      <c r="C40" s="1756" t="s">
        <v>2045</v>
      </c>
      <c r="D40" s="1574"/>
      <c r="E40" s="2263"/>
      <c r="F40" s="2262"/>
      <c r="G40" s="2262"/>
      <c r="H40" s="2262"/>
      <c r="I40" s="2262"/>
      <c r="J40" s="2262"/>
      <c r="K40" s="167"/>
      <c r="L40" s="167"/>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07" t="s">
        <v>2046</v>
      </c>
      <c r="B41" s="125">
        <f>B42+B43</f>
        <v>5.6000000000000001E-2</v>
      </c>
      <c r="C41" s="1757"/>
      <c r="D41" s="1574"/>
      <c r="E41" s="2263"/>
      <c r="F41" s="2262"/>
      <c r="G41" s="2262"/>
      <c r="H41" s="2262"/>
      <c r="I41" s="2262"/>
      <c r="J41" s="2262"/>
      <c r="K41" s="167"/>
      <c r="L41" s="167"/>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15" t="s">
        <v>2047</v>
      </c>
      <c r="B42" s="126">
        <v>0.05</v>
      </c>
      <c r="C42" s="2316">
        <f>IF(B2&lt;DATE(2016,5,1),0,B42)</f>
        <v>0.05</v>
      </c>
      <c r="D42" s="2263"/>
      <c r="E42" s="2262"/>
      <c r="F42" s="2262"/>
      <c r="G42" s="2262"/>
      <c r="H42" s="2262"/>
      <c r="I42" s="2262"/>
      <c r="J42" s="2262"/>
      <c r="K42" s="167"/>
      <c r="L42" s="167"/>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15" t="s">
        <v>2048</v>
      </c>
      <c r="B43" s="127">
        <f>B42*(B44+B45+B46)+B47</f>
        <v>6.000000000000001E-3</v>
      </c>
      <c r="C43" s="1757"/>
      <c r="D43" s="2263"/>
      <c r="E43" s="2262"/>
      <c r="F43" s="2262"/>
      <c r="G43" s="2262"/>
      <c r="H43" s="2262"/>
      <c r="I43" s="2262"/>
      <c r="J43" s="2262"/>
      <c r="K43" s="167"/>
      <c r="L43" s="167"/>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17" t="s">
        <v>2049</v>
      </c>
      <c r="B44" s="128">
        <v>7.0000000000000007E-2</v>
      </c>
      <c r="C44" s="1756" t="s">
        <v>2050</v>
      </c>
      <c r="D44" s="2263"/>
      <c r="E44" s="2262"/>
      <c r="F44" s="2262"/>
      <c r="G44" s="2262"/>
      <c r="H44" s="2262"/>
      <c r="I44" s="2262"/>
      <c r="J44" s="2262"/>
      <c r="K44" s="167"/>
      <c r="L44" s="167"/>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17" t="s">
        <v>2051</v>
      </c>
      <c r="B45" s="126">
        <v>0.03</v>
      </c>
      <c r="C45" s="1757" t="s">
        <v>2052</v>
      </c>
      <c r="D45" s="2263"/>
      <c r="E45" s="2262"/>
      <c r="F45" s="2262"/>
      <c r="G45" s="2262"/>
      <c r="H45" s="2262"/>
      <c r="I45" s="2262"/>
      <c r="J45" s="2262"/>
      <c r="K45" s="167"/>
      <c r="L45" s="167"/>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17" t="s">
        <v>2053</v>
      </c>
      <c r="B46" s="126">
        <v>0.02</v>
      </c>
      <c r="C46" s="1757" t="s">
        <v>2054</v>
      </c>
      <c r="D46" s="2263"/>
      <c r="E46" s="2262"/>
      <c r="F46" s="2262"/>
      <c r="G46" s="2262"/>
      <c r="H46" s="2262"/>
      <c r="I46" s="2262"/>
      <c r="J46" s="2262"/>
      <c r="K46" s="167"/>
      <c r="L46" s="167"/>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18" t="s">
        <v>2055</v>
      </c>
      <c r="B47" s="129">
        <v>0</v>
      </c>
      <c r="C47" s="1757" t="s">
        <v>2056</v>
      </c>
      <c r="D47" s="2263"/>
      <c r="E47" s="2262"/>
      <c r="F47" s="2262"/>
      <c r="G47" s="2262"/>
      <c r="H47" s="2262"/>
      <c r="I47" s="2262"/>
      <c r="J47" s="2262"/>
      <c r="K47" s="167"/>
      <c r="L47" s="167"/>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19" t="s">
        <v>2057</v>
      </c>
      <c r="B48" s="3006">
        <v>0.03</v>
      </c>
      <c r="C48" s="1764" t="s">
        <v>2058</v>
      </c>
      <c r="D48" s="2263"/>
      <c r="E48" s="2262"/>
      <c r="F48" s="2262"/>
      <c r="G48" s="2262"/>
      <c r="H48" s="2262"/>
      <c r="I48" s="2262"/>
      <c r="J48" s="2262"/>
      <c r="K48" s="167"/>
      <c r="L48" s="167"/>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4" t="s">
        <v>2059</v>
      </c>
      <c r="B49" s="126">
        <v>5.0000000000000001E-4</v>
      </c>
      <c r="C49" s="1764" t="s">
        <v>2060</v>
      </c>
      <c r="D49" s="2263"/>
      <c r="E49" s="2262"/>
      <c r="F49" s="2262"/>
      <c r="G49" s="2262"/>
      <c r="H49" s="2262"/>
      <c r="I49" s="2262"/>
      <c r="J49" s="2262"/>
      <c r="K49" s="167"/>
      <c r="L49" s="167"/>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0" t="s">
        <v>2061</v>
      </c>
      <c r="B50" s="130">
        <v>1.2E-2</v>
      </c>
      <c r="C50" s="1422"/>
      <c r="D50" s="2263"/>
      <c r="E50" s="2262"/>
      <c r="F50" s="2262"/>
      <c r="G50" s="2262"/>
      <c r="H50" s="2262"/>
      <c r="I50" s="2262"/>
      <c r="J50" s="2262"/>
      <c r="K50" s="167"/>
      <c r="L50" s="167"/>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2" t="s">
        <v>2062</v>
      </c>
      <c r="B51" s="131">
        <v>0.12</v>
      </c>
      <c r="C51" s="1422"/>
      <c r="D51" s="2263"/>
      <c r="E51" s="2262"/>
      <c r="F51" s="2262"/>
      <c r="G51" s="2262"/>
      <c r="H51" s="2262"/>
      <c r="I51" s="2262"/>
      <c r="J51" s="2262"/>
      <c r="K51" s="167"/>
      <c r="L51" s="167"/>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0" t="s">
        <v>2063</v>
      </c>
      <c r="B52" s="132">
        <f>SUMIF(A54:A63,B53,B54:B63)</f>
        <v>1.5</v>
      </c>
      <c r="C52" s="1422"/>
      <c r="D52" s="2263"/>
      <c r="E52" s="2262"/>
      <c r="F52" s="2262"/>
      <c r="G52" s="2262"/>
      <c r="H52" s="2262"/>
      <c r="I52" s="2262"/>
      <c r="J52" s="2262"/>
      <c r="K52" s="167"/>
      <c r="L52" s="167"/>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0" t="s">
        <v>2064</v>
      </c>
      <c r="B53" s="2321" t="s">
        <v>56</v>
      </c>
      <c r="C53" s="1422" t="s">
        <v>2065</v>
      </c>
      <c r="D53" s="2322" t="s">
        <v>2066</v>
      </c>
      <c r="E53" s="2262"/>
      <c r="F53" s="2262"/>
      <c r="G53" s="2262"/>
      <c r="H53" s="2262"/>
      <c r="I53" s="2262"/>
      <c r="J53" s="2262"/>
      <c r="K53" s="167"/>
      <c r="L53" s="167"/>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3" t="s">
        <v>2067</v>
      </c>
      <c r="B54" s="84"/>
      <c r="C54" s="1422">
        <v>30</v>
      </c>
      <c r="D54" s="2263"/>
      <c r="E54" s="2262"/>
      <c r="F54" s="2262"/>
      <c r="G54" s="2262"/>
      <c r="H54" s="2262"/>
      <c r="I54" s="2262"/>
      <c r="J54" s="2262"/>
      <c r="K54" s="167"/>
      <c r="L54" s="167"/>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3" t="s">
        <v>2068</v>
      </c>
      <c r="B55" s="84"/>
      <c r="C55" s="1422">
        <v>24</v>
      </c>
      <c r="D55" s="2263"/>
      <c r="E55" s="2262"/>
      <c r="F55" s="2262"/>
      <c r="G55" s="2262"/>
      <c r="H55" s="2262"/>
      <c r="I55" s="2324"/>
      <c r="J55" s="2262"/>
      <c r="K55" s="167"/>
      <c r="L55" s="167"/>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3" t="s">
        <v>2069</v>
      </c>
      <c r="B56" s="84"/>
      <c r="C56" s="1422">
        <v>18</v>
      </c>
      <c r="D56" s="2263"/>
      <c r="E56" s="2262"/>
      <c r="F56" s="2262"/>
      <c r="G56" s="2262"/>
      <c r="H56" s="2262"/>
      <c r="I56" s="2262"/>
      <c r="J56" s="2262"/>
      <c r="K56" s="167"/>
      <c r="L56" s="167"/>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3" t="s">
        <v>2070</v>
      </c>
      <c r="B57" s="84"/>
      <c r="C57" s="1422">
        <v>12</v>
      </c>
      <c r="D57" s="2263"/>
      <c r="E57" s="2262"/>
      <c r="F57" s="2262"/>
      <c r="G57" s="2262"/>
      <c r="H57" s="2262"/>
      <c r="I57" s="2262"/>
      <c r="J57" s="2262"/>
      <c r="K57" s="167"/>
      <c r="L57" s="167"/>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3" t="s">
        <v>2071</v>
      </c>
      <c r="B58" s="84"/>
      <c r="C58" s="1422">
        <v>3</v>
      </c>
      <c r="D58" s="2263"/>
      <c r="E58" s="2262"/>
      <c r="F58" s="2262"/>
      <c r="G58" s="2262"/>
      <c r="H58" s="2262"/>
      <c r="I58" s="2262"/>
      <c r="J58" s="2262"/>
      <c r="K58" s="167"/>
      <c r="L58" s="167"/>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3" t="s">
        <v>2072</v>
      </c>
      <c r="B59" s="3008">
        <v>1.5</v>
      </c>
      <c r="C59" s="1422">
        <v>1.5</v>
      </c>
      <c r="D59" s="2263"/>
      <c r="E59" s="2262"/>
      <c r="F59" s="2262"/>
      <c r="G59" s="2262"/>
      <c r="H59" s="2262"/>
      <c r="I59" s="2262"/>
      <c r="J59" s="2262"/>
      <c r="K59" s="167"/>
      <c r="L59" s="167"/>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3" t="s">
        <v>2073</v>
      </c>
      <c r="B60" s="84"/>
      <c r="C60" s="2262"/>
      <c r="D60" s="2263"/>
      <c r="E60" s="2262"/>
      <c r="F60" s="2262"/>
      <c r="G60" s="2262"/>
      <c r="H60" s="2262"/>
      <c r="I60" s="2262"/>
      <c r="J60" s="2262"/>
      <c r="K60" s="167"/>
      <c r="L60" s="167"/>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3" t="s">
        <v>2074</v>
      </c>
      <c r="B61" s="84"/>
      <c r="C61" s="2262"/>
      <c r="D61" s="2263"/>
      <c r="E61" s="2262"/>
      <c r="F61" s="2262"/>
      <c r="G61" s="2262"/>
      <c r="H61" s="2262"/>
      <c r="I61" s="2262"/>
      <c r="J61" s="2262"/>
      <c r="K61" s="167"/>
      <c r="L61" s="167"/>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3" t="s">
        <v>2075</v>
      </c>
      <c r="B62" s="84"/>
      <c r="C62" s="2262"/>
      <c r="D62" s="2263"/>
      <c r="E62" s="2262"/>
      <c r="F62" s="2262"/>
      <c r="G62" s="2262"/>
      <c r="H62" s="2262"/>
      <c r="I62" s="2262"/>
      <c r="J62" s="2262"/>
      <c r="K62" s="167"/>
      <c r="L62" s="167"/>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5" t="s">
        <v>2076</v>
      </c>
      <c r="B63" s="133"/>
      <c r="C63" s="2262"/>
      <c r="D63" s="2263"/>
      <c r="E63" s="2262"/>
      <c r="F63" s="2262"/>
      <c r="G63" s="2262"/>
      <c r="H63" s="2262"/>
      <c r="I63" s="2262"/>
      <c r="J63" s="2262"/>
      <c r="K63" s="167"/>
      <c r="L63" s="167"/>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60" customFormat="1">
      <c r="A64" s="2326"/>
      <c r="D64" s="2327"/>
      <c r="K64" s="796"/>
      <c r="L64" s="796"/>
    </row>
    <row r="65" spans="1:12" s="960" customFormat="1">
      <c r="A65" s="2326"/>
      <c r="D65" s="2327"/>
      <c r="K65" s="796"/>
      <c r="L65" s="796"/>
    </row>
    <row r="66" spans="1:12" s="960" customFormat="1">
      <c r="A66" s="2326"/>
      <c r="D66" s="2327"/>
      <c r="K66" s="796"/>
      <c r="L66" s="796"/>
    </row>
    <row r="67" spans="1:12" s="960" customFormat="1">
      <c r="A67" s="2326"/>
      <c r="D67" s="2327"/>
      <c r="K67" s="796"/>
      <c r="L67" s="796"/>
    </row>
    <row r="68" spans="1:12" s="960" customFormat="1">
      <c r="A68" s="2326"/>
      <c r="D68" s="2327"/>
      <c r="K68" s="796"/>
      <c r="L68" s="796"/>
    </row>
    <row r="69" spans="1:12" s="960" customFormat="1">
      <c r="A69" s="2326"/>
      <c r="D69" s="2327"/>
      <c r="K69" s="796"/>
      <c r="L69" s="796"/>
    </row>
    <row r="70" spans="1:12" s="960" customFormat="1">
      <c r="A70" s="2326"/>
      <c r="D70" s="2327"/>
      <c r="K70" s="796"/>
      <c r="L70" s="796"/>
    </row>
    <row r="71" spans="1:12" s="960" customFormat="1">
      <c r="A71" s="2326"/>
      <c r="D71" s="2327"/>
      <c r="K71" s="796"/>
      <c r="L71" s="796"/>
    </row>
    <row r="72" spans="1:12" s="960" customFormat="1">
      <c r="A72" s="2326"/>
      <c r="D72" s="2327"/>
      <c r="K72" s="796"/>
      <c r="L72" s="796"/>
    </row>
    <row r="73" spans="1:12" s="960" customFormat="1">
      <c r="A73" s="2326"/>
      <c r="D73" s="2327"/>
      <c r="K73" s="796"/>
      <c r="L73" s="796"/>
    </row>
    <row r="74" spans="1:12" s="960" customFormat="1">
      <c r="A74" s="2326"/>
      <c r="D74" s="2327"/>
      <c r="K74" s="796"/>
      <c r="L74" s="796"/>
    </row>
    <row r="75" spans="1:12" s="960" customFormat="1">
      <c r="A75" s="2326"/>
      <c r="D75" s="2327"/>
      <c r="K75" s="796"/>
      <c r="L75" s="796"/>
    </row>
    <row r="76" spans="1:12" s="960" customFormat="1">
      <c r="A76" s="2326"/>
      <c r="D76" s="2327"/>
      <c r="K76" s="796"/>
      <c r="L76" s="796"/>
    </row>
    <row r="77" spans="1:12" s="960" customFormat="1">
      <c r="A77" s="2326"/>
      <c r="D77" s="2327"/>
      <c r="K77" s="796"/>
      <c r="L77" s="796"/>
    </row>
    <row r="78" spans="1:12" s="960" customFormat="1">
      <c r="A78" s="2326"/>
      <c r="D78" s="2327"/>
      <c r="K78" s="796"/>
      <c r="L78" s="796"/>
    </row>
    <row r="79" spans="1:12" s="960" customFormat="1">
      <c r="A79" s="2326"/>
      <c r="D79" s="2327"/>
      <c r="K79" s="796"/>
      <c r="L79" s="796"/>
    </row>
    <row r="80" spans="1:12" s="960" customFormat="1">
      <c r="A80" s="2326"/>
      <c r="D80" s="2327"/>
      <c r="K80" s="796"/>
      <c r="L80" s="796"/>
    </row>
    <row r="81" spans="1:12" s="960" customFormat="1">
      <c r="A81" s="2326"/>
      <c r="D81" s="2327"/>
      <c r="K81" s="796"/>
      <c r="L81" s="796"/>
    </row>
    <row r="82" spans="1:12" s="960" customFormat="1">
      <c r="A82" s="2326"/>
      <c r="D82" s="2327"/>
      <c r="K82" s="796"/>
      <c r="L82" s="796"/>
    </row>
    <row r="83" spans="1:12" s="960" customFormat="1">
      <c r="A83" s="2326"/>
      <c r="D83" s="2327"/>
      <c r="K83" s="796"/>
      <c r="L83" s="796"/>
    </row>
    <row r="84" spans="1:12" s="960" customFormat="1">
      <c r="A84" s="2326"/>
      <c r="D84" s="2327"/>
      <c r="K84" s="796"/>
      <c r="L84" s="796"/>
    </row>
    <row r="85" spans="1:12" s="960" customFormat="1">
      <c r="A85" s="2326"/>
      <c r="D85" s="2327"/>
      <c r="K85" s="796"/>
      <c r="L85" s="796"/>
    </row>
    <row r="86" spans="1:12" s="960" customFormat="1">
      <c r="A86" s="2326"/>
      <c r="D86" s="2327"/>
      <c r="K86" s="796"/>
      <c r="L86" s="796"/>
    </row>
    <row r="87" spans="1:12" s="960" customFormat="1">
      <c r="A87" s="2326"/>
      <c r="D87" s="2327"/>
      <c r="K87" s="796"/>
      <c r="L87" s="796"/>
    </row>
    <row r="88" spans="1:12" s="960" customFormat="1">
      <c r="A88" s="2326"/>
      <c r="D88" s="2327"/>
      <c r="K88" s="796"/>
      <c r="L88" s="796"/>
    </row>
    <row r="89" spans="1:12" s="960" customFormat="1">
      <c r="A89" s="2326"/>
      <c r="D89" s="2327"/>
      <c r="K89" s="796"/>
      <c r="L89" s="796"/>
    </row>
    <row r="90" spans="1:12" s="960" customFormat="1">
      <c r="A90" s="2326"/>
      <c r="D90" s="2327"/>
      <c r="K90" s="796"/>
      <c r="L90" s="796"/>
    </row>
    <row r="91" spans="1:12" s="960" customFormat="1">
      <c r="A91" s="2326"/>
      <c r="D91" s="2327"/>
      <c r="K91" s="796"/>
      <c r="L91" s="796"/>
    </row>
    <row r="92" spans="1:12" s="960" customFormat="1">
      <c r="A92" s="2326"/>
      <c r="D92" s="2327"/>
      <c r="K92" s="796"/>
      <c r="L92" s="796"/>
    </row>
    <row r="93" spans="1:12" s="960" customFormat="1">
      <c r="A93" s="2326"/>
      <c r="D93" s="2327"/>
      <c r="K93" s="796"/>
      <c r="L93" s="796"/>
    </row>
    <row r="94" spans="1:12" s="960" customFormat="1">
      <c r="A94" s="2326"/>
      <c r="D94" s="2327"/>
      <c r="K94" s="796"/>
      <c r="L94" s="796"/>
    </row>
    <row r="95" spans="1:12" s="960" customFormat="1">
      <c r="A95" s="2326"/>
      <c r="D95" s="2327"/>
      <c r="K95" s="796"/>
      <c r="L95" s="796"/>
    </row>
    <row r="96" spans="1:12" s="960" customFormat="1">
      <c r="A96" s="2326"/>
      <c r="D96" s="2327"/>
      <c r="K96" s="796"/>
      <c r="L96" s="796"/>
    </row>
    <row r="97" spans="1:12" s="960" customFormat="1">
      <c r="A97" s="2326"/>
      <c r="D97" s="2327"/>
      <c r="K97" s="796"/>
      <c r="L97" s="796"/>
    </row>
    <row r="98" spans="1:12" s="960" customFormat="1">
      <c r="A98" s="2326"/>
      <c r="D98" s="2327"/>
      <c r="K98" s="796"/>
      <c r="L98" s="796"/>
    </row>
    <row r="99" spans="1:12" s="960" customFormat="1">
      <c r="A99" s="2326"/>
      <c r="D99" s="2327"/>
      <c r="K99" s="796"/>
      <c r="L99" s="796"/>
    </row>
    <row r="100" spans="1:12" s="960" customFormat="1">
      <c r="A100" s="2326"/>
      <c r="D100" s="2327"/>
      <c r="K100" s="796"/>
      <c r="L100" s="796"/>
    </row>
    <row r="101" spans="1:12" s="960" customFormat="1">
      <c r="A101" s="2326"/>
      <c r="D101" s="2327"/>
      <c r="K101" s="796"/>
      <c r="L101" s="796"/>
    </row>
    <row r="102" spans="1:12" s="960" customFormat="1">
      <c r="A102" s="2326"/>
      <c r="D102" s="2327"/>
      <c r="K102" s="796"/>
      <c r="L102" s="796"/>
    </row>
    <row r="103" spans="1:12" s="960" customFormat="1">
      <c r="A103" s="2326"/>
      <c r="D103" s="2327"/>
      <c r="K103" s="796"/>
      <c r="L103" s="796"/>
    </row>
    <row r="104" spans="1:12" s="960" customFormat="1">
      <c r="A104" s="2326"/>
      <c r="D104" s="2327"/>
      <c r="K104" s="796"/>
      <c r="L104" s="796"/>
    </row>
    <row r="105" spans="1:12" s="960" customFormat="1">
      <c r="A105" s="2326"/>
      <c r="D105" s="2327"/>
      <c r="K105" s="796"/>
      <c r="L105" s="796"/>
    </row>
    <row r="106" spans="1:12" s="960" customFormat="1">
      <c r="A106" s="2326"/>
      <c r="D106" s="2327"/>
      <c r="K106" s="796"/>
      <c r="L106" s="796"/>
    </row>
    <row r="107" spans="1:12" s="960" customFormat="1">
      <c r="A107" s="2326"/>
      <c r="D107" s="2327"/>
      <c r="K107" s="796"/>
      <c r="L107" s="796"/>
    </row>
    <row r="108" spans="1:12" s="960" customFormat="1">
      <c r="A108" s="2326"/>
      <c r="D108" s="2327"/>
      <c r="K108" s="796"/>
      <c r="L108" s="796"/>
    </row>
    <row r="109" spans="1:12" s="960" customFormat="1">
      <c r="A109" s="2326"/>
      <c r="D109" s="2327"/>
      <c r="K109" s="796"/>
      <c r="L109" s="796"/>
    </row>
    <row r="110" spans="1:12" s="960" customFormat="1">
      <c r="A110" s="2326"/>
      <c r="D110" s="2327"/>
      <c r="K110" s="796"/>
      <c r="L110" s="796"/>
    </row>
    <row r="111" spans="1:12" s="960" customFormat="1">
      <c r="A111" s="2326"/>
      <c r="D111" s="2327"/>
      <c r="K111" s="796"/>
      <c r="L111" s="796"/>
    </row>
    <row r="112" spans="1:12" s="960" customFormat="1">
      <c r="A112" s="2326"/>
      <c r="D112" s="2327"/>
      <c r="K112" s="796"/>
      <c r="L112" s="796"/>
    </row>
    <row r="113" spans="1:12" s="960" customFormat="1">
      <c r="A113" s="2326"/>
      <c r="D113" s="2327"/>
      <c r="K113" s="796"/>
      <c r="L113" s="796"/>
    </row>
    <row r="114" spans="1:12" s="960" customFormat="1">
      <c r="A114" s="2326"/>
      <c r="D114" s="2327"/>
      <c r="K114" s="796"/>
      <c r="L114" s="796"/>
    </row>
    <row r="115" spans="1:12" s="960" customFormat="1">
      <c r="A115" s="2326"/>
      <c r="D115" s="2327"/>
      <c r="K115" s="796"/>
      <c r="L115" s="796"/>
    </row>
    <row r="116" spans="1:12" s="960" customFormat="1">
      <c r="A116" s="2326"/>
      <c r="D116" s="2327"/>
      <c r="K116" s="796"/>
      <c r="L116" s="796"/>
    </row>
    <row r="117" spans="1:12" s="960" customFormat="1">
      <c r="A117" s="2326"/>
      <c r="D117" s="2327"/>
      <c r="K117" s="796"/>
      <c r="L117" s="796"/>
    </row>
    <row r="118" spans="1:12" s="960" customFormat="1">
      <c r="A118" s="2326"/>
      <c r="D118" s="2327"/>
      <c r="K118" s="796"/>
      <c r="L118" s="796"/>
    </row>
    <row r="119" spans="1:12" s="960" customFormat="1">
      <c r="A119" s="2326"/>
      <c r="D119" s="2327"/>
      <c r="K119" s="796"/>
      <c r="L119" s="796"/>
    </row>
    <row r="120" spans="1:12" s="960" customFormat="1">
      <c r="A120" s="2326"/>
      <c r="D120" s="2327"/>
      <c r="K120" s="796"/>
      <c r="L120" s="796"/>
    </row>
    <row r="121" spans="1:12" s="960" customFormat="1">
      <c r="A121" s="2326"/>
      <c r="D121" s="2327"/>
      <c r="K121" s="796"/>
      <c r="L121" s="796"/>
    </row>
    <row r="122" spans="1:12" s="960" customFormat="1">
      <c r="A122" s="2326"/>
      <c r="D122" s="2327"/>
      <c r="K122" s="796"/>
      <c r="L122" s="796"/>
    </row>
    <row r="123" spans="1:12" s="960" customFormat="1">
      <c r="A123" s="2326"/>
      <c r="D123" s="2327"/>
      <c r="K123" s="796"/>
      <c r="L123" s="796"/>
    </row>
    <row r="124" spans="1:12" s="960" customFormat="1">
      <c r="A124" s="2326"/>
      <c r="D124" s="2327"/>
      <c r="K124" s="796"/>
      <c r="L124" s="796"/>
    </row>
    <row r="125" spans="1:12" s="960" customFormat="1">
      <c r="A125" s="2326"/>
      <c r="D125" s="2327"/>
      <c r="K125" s="796"/>
      <c r="L125" s="796"/>
    </row>
    <row r="126" spans="1:12" s="960" customFormat="1">
      <c r="A126" s="2326"/>
      <c r="D126" s="2327"/>
      <c r="K126" s="796"/>
      <c r="L126" s="796"/>
    </row>
    <row r="127" spans="1:12" s="960" customFormat="1">
      <c r="A127" s="2326"/>
      <c r="D127" s="2327"/>
      <c r="K127" s="796"/>
      <c r="L127" s="796"/>
    </row>
    <row r="128" spans="1:12" s="960" customFormat="1">
      <c r="A128" s="2326"/>
      <c r="D128" s="2327"/>
      <c r="K128" s="796"/>
      <c r="L128" s="796"/>
    </row>
    <row r="129" spans="1:12" s="960" customFormat="1">
      <c r="A129" s="2326"/>
      <c r="D129" s="2327"/>
      <c r="K129" s="796"/>
      <c r="L129" s="796"/>
    </row>
    <row r="130" spans="1:12" s="960" customFormat="1">
      <c r="A130" s="2326"/>
      <c r="D130" s="2327"/>
      <c r="K130" s="796"/>
      <c r="L130" s="796"/>
    </row>
    <row r="131" spans="1:12" s="960" customFormat="1">
      <c r="A131" s="2326"/>
      <c r="D131" s="2327"/>
      <c r="K131" s="796"/>
      <c r="L131" s="796"/>
    </row>
    <row r="132" spans="1:12" s="960" customFormat="1">
      <c r="A132" s="2326"/>
      <c r="D132" s="2327"/>
      <c r="K132" s="796"/>
      <c r="L132" s="796"/>
    </row>
    <row r="133" spans="1:12" s="960" customFormat="1">
      <c r="A133" s="2326"/>
      <c r="D133" s="2327"/>
      <c r="K133" s="796"/>
      <c r="L133" s="796"/>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3" sqref="G23"/>
    </sheetView>
  </sheetViews>
  <sheetFormatPr defaultRowHeight="14.25"/>
  <cols>
    <col min="1" max="1" width="9.5" style="2354"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75" style="2378" customWidth="1"/>
    <col min="10" max="10" width="2.625" style="2377" customWidth="1"/>
    <col min="11" max="11" width="11.875" style="2377" customWidth="1"/>
    <col min="12" max="12" width="16.75" style="2378" customWidth="1"/>
    <col min="13" max="13" width="2.625" style="2377" customWidth="1"/>
    <col min="14" max="14" width="11.875" style="2377" customWidth="1"/>
    <col min="15" max="15" width="16.75" style="2378" customWidth="1"/>
    <col min="16" max="16" width="2.625" style="2377" customWidth="1"/>
    <col min="17" max="17" width="11.875" style="2377" customWidth="1"/>
    <col min="18" max="18" width="16.75" style="2379" customWidth="1"/>
    <col min="19" max="29" width="9" style="2353"/>
    <col min="30" max="16384" width="9" style="2354"/>
  </cols>
  <sheetData>
    <row r="1" spans="1:29" s="2347" customFormat="1" ht="19.5" thickBot="1">
      <c r="A1" s="3103" t="s">
        <v>2077</v>
      </c>
      <c r="B1" s="3104"/>
      <c r="C1" s="3104"/>
      <c r="D1" s="3104"/>
      <c r="E1" s="3104"/>
      <c r="F1" s="3104"/>
      <c r="G1" s="3104"/>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75" thickBot="1">
      <c r="A2" s="2348"/>
      <c r="B2" s="2349"/>
      <c r="C2" s="2350" t="s">
        <v>2078</v>
      </c>
      <c r="D2" s="2351"/>
      <c r="E2" s="2352"/>
      <c r="F2" s="2271"/>
      <c r="G2" s="2350" t="s">
        <v>2079</v>
      </c>
      <c r="H2" s="2353"/>
      <c r="I2" s="2353"/>
      <c r="J2" s="2353"/>
      <c r="K2" s="2353"/>
      <c r="L2" s="2353"/>
      <c r="M2" s="2353"/>
      <c r="N2" s="2353"/>
      <c r="O2" s="2353"/>
      <c r="P2" s="2353"/>
      <c r="Q2" s="2353"/>
      <c r="R2" s="2353"/>
    </row>
    <row r="3" spans="1:29" ht="27">
      <c r="A3" s="414" t="s">
        <v>2080</v>
      </c>
      <c r="B3" s="1263" t="s">
        <v>2081</v>
      </c>
      <c r="C3" s="2355"/>
      <c r="D3" s="2356"/>
      <c r="E3" s="430" t="s">
        <v>2080</v>
      </c>
      <c r="F3" s="2357" t="s">
        <v>2082</v>
      </c>
      <c r="G3" s="2992" t="s">
        <v>3264</v>
      </c>
      <c r="H3" s="2353"/>
      <c r="I3" s="2353"/>
      <c r="J3" s="2353"/>
      <c r="K3" s="2353"/>
      <c r="L3" s="2353"/>
      <c r="M3" s="2353"/>
      <c r="N3" s="2353"/>
      <c r="O3" s="2353"/>
      <c r="P3" s="2353"/>
      <c r="Q3" s="2353"/>
      <c r="R3" s="2353"/>
    </row>
    <row r="4" spans="1:29" ht="15">
      <c r="A4" s="430"/>
      <c r="B4" s="1788" t="s">
        <v>2083</v>
      </c>
      <c r="C4" s="2940"/>
      <c r="D4" s="2356"/>
      <c r="E4" s="2358"/>
      <c r="F4" s="42" t="s">
        <v>2084</v>
      </c>
      <c r="G4" s="2939" t="s">
        <v>3294</v>
      </c>
      <c r="H4" s="2353"/>
      <c r="I4" s="2353"/>
      <c r="J4" s="2353"/>
      <c r="K4" s="2353"/>
      <c r="L4" s="2353"/>
      <c r="M4" s="2353"/>
      <c r="N4" s="2353"/>
      <c r="O4" s="2353"/>
      <c r="P4" s="2353"/>
      <c r="Q4" s="2353"/>
      <c r="R4" s="2353"/>
    </row>
    <row r="5" spans="1:29" ht="15">
      <c r="A5" s="430"/>
      <c r="B5" s="1788" t="s">
        <v>2085</v>
      </c>
      <c r="C5" s="2938"/>
      <c r="D5" s="2356"/>
      <c r="E5" s="2358"/>
      <c r="F5" s="1788" t="s">
        <v>2086</v>
      </c>
      <c r="G5" s="2939" t="s">
        <v>3266</v>
      </c>
      <c r="H5" s="2353"/>
      <c r="I5" s="2353"/>
      <c r="J5" s="2353"/>
      <c r="K5" s="2353"/>
      <c r="L5" s="2353"/>
      <c r="M5" s="2353"/>
      <c r="N5" s="2353"/>
      <c r="O5" s="2353"/>
      <c r="P5" s="2353"/>
      <c r="Q5" s="2353"/>
      <c r="R5" s="2353"/>
    </row>
    <row r="6" spans="1:29" ht="15">
      <c r="A6" s="430"/>
      <c r="B6" s="1788" t="s">
        <v>2087</v>
      </c>
      <c r="C6" s="2939"/>
      <c r="D6" s="2356"/>
      <c r="E6" s="2358"/>
      <c r="F6" s="1788" t="s">
        <v>2088</v>
      </c>
      <c r="G6" s="2939" t="s">
        <v>3267</v>
      </c>
      <c r="H6" s="2353"/>
      <c r="I6" s="2353"/>
      <c r="J6" s="2353"/>
      <c r="K6" s="2353"/>
      <c r="L6" s="2353"/>
      <c r="M6" s="2353"/>
      <c r="N6" s="2353"/>
      <c r="O6" s="2353"/>
      <c r="P6" s="2353"/>
      <c r="Q6" s="2353"/>
      <c r="R6" s="2353"/>
    </row>
    <row r="7" spans="1:29" ht="15.75" thickBot="1">
      <c r="A7" s="430"/>
      <c r="B7" s="1788" t="s">
        <v>2086</v>
      </c>
      <c r="C7" s="2941"/>
      <c r="D7" s="2359"/>
      <c r="E7" s="2360"/>
      <c r="F7" s="2361" t="s">
        <v>2089</v>
      </c>
      <c r="G7" s="2993" t="s">
        <v>3266</v>
      </c>
      <c r="H7" s="2353"/>
      <c r="I7" s="2353"/>
      <c r="J7" s="2353"/>
      <c r="K7" s="2353"/>
      <c r="L7" s="2353"/>
      <c r="M7" s="2353"/>
      <c r="N7" s="2353"/>
      <c r="O7" s="2353"/>
      <c r="P7" s="2353"/>
      <c r="Q7" s="2353"/>
      <c r="R7" s="2353"/>
    </row>
    <row r="8" spans="1:29" ht="15">
      <c r="A8" s="430"/>
      <c r="B8" s="1788" t="s">
        <v>2088</v>
      </c>
      <c r="C8" s="2939"/>
      <c r="D8" s="2359"/>
      <c r="E8" s="2359"/>
      <c r="F8" s="1128"/>
      <c r="G8" s="1128"/>
      <c r="H8" s="2353"/>
      <c r="I8" s="2353"/>
      <c r="J8" s="2353"/>
      <c r="K8" s="2353"/>
      <c r="L8" s="2353"/>
      <c r="M8" s="2353"/>
      <c r="N8" s="2353"/>
      <c r="O8" s="2353"/>
      <c r="P8" s="2353"/>
      <c r="Q8" s="2353"/>
      <c r="R8" s="2353"/>
    </row>
    <row r="9" spans="1:29" ht="15">
      <c r="A9" s="430"/>
      <c r="B9" s="1788" t="s">
        <v>2090</v>
      </c>
      <c r="C9" s="2940"/>
      <c r="D9" s="2356"/>
      <c r="E9" s="2359"/>
      <c r="F9" s="1128"/>
      <c r="G9" s="1128"/>
      <c r="H9" s="2353"/>
      <c r="I9" s="2353"/>
      <c r="J9" s="2353"/>
      <c r="K9" s="2353"/>
      <c r="L9" s="2353"/>
      <c r="M9" s="2353"/>
      <c r="N9" s="2353"/>
      <c r="O9" s="2353"/>
      <c r="P9" s="2353"/>
      <c r="Q9" s="2353"/>
      <c r="R9" s="2353"/>
    </row>
    <row r="10" spans="1:29" s="117" customFormat="1" ht="15.75" thickBot="1">
      <c r="A10" s="2362"/>
      <c r="B10" s="2363" t="s">
        <v>2091</v>
      </c>
      <c r="C10" s="2364"/>
      <c r="D10" s="2356"/>
      <c r="E10" s="2356"/>
      <c r="F10" s="1128"/>
      <c r="G10" s="1128"/>
      <c r="H10" s="2365"/>
      <c r="I10" s="2366"/>
      <c r="J10" s="2367"/>
      <c r="K10" s="2365"/>
      <c r="L10" s="2366"/>
      <c r="M10" s="2367"/>
      <c r="N10" s="2365"/>
      <c r="O10" s="2366"/>
      <c r="P10" s="2367"/>
      <c r="Q10" s="2365"/>
      <c r="R10" s="2366"/>
      <c r="S10" s="2353"/>
      <c r="T10" s="2353"/>
      <c r="U10" s="2353"/>
      <c r="V10" s="2353"/>
      <c r="W10" s="2353"/>
      <c r="X10" s="2353"/>
      <c r="Y10" s="2353"/>
      <c r="Z10" s="2353"/>
      <c r="AA10" s="2353"/>
      <c r="AB10" s="2353"/>
      <c r="AC10" s="2353"/>
    </row>
    <row r="11" spans="1:29" s="117" customFormat="1" ht="15">
      <c r="A11" s="2368"/>
      <c r="B11" s="2359"/>
      <c r="C11" s="2356"/>
      <c r="D11" s="2356"/>
      <c r="E11" s="2356"/>
      <c r="F11" s="2359"/>
      <c r="G11" s="1146"/>
      <c r="H11" s="2365"/>
      <c r="I11" s="2366"/>
      <c r="J11" s="2367"/>
      <c r="K11" s="2365"/>
      <c r="L11" s="2366"/>
      <c r="M11" s="2367"/>
      <c r="N11" s="2365"/>
      <c r="O11" s="2366"/>
      <c r="P11" s="2367"/>
      <c r="Q11" s="2365"/>
      <c r="R11" s="2366"/>
      <c r="S11" s="2353"/>
      <c r="T11" s="2353"/>
      <c r="U11" s="2353"/>
      <c r="V11" s="2353"/>
      <c r="W11" s="2353"/>
      <c r="X11" s="2353"/>
      <c r="Y11" s="2353"/>
      <c r="Z11" s="2353"/>
      <c r="AA11" s="2353"/>
      <c r="AB11" s="2353"/>
      <c r="AC11" s="2353"/>
    </row>
    <row r="12" spans="1:29" s="2347" customFormat="1" ht="18">
      <c r="A12" s="2368"/>
      <c r="B12" s="2359"/>
      <c r="C12" s="2356"/>
      <c r="D12" s="2369"/>
      <c r="E12" s="2356"/>
      <c r="F12" s="2359"/>
      <c r="G12" s="1146"/>
      <c r="H12" s="2370"/>
      <c r="I12" s="2371"/>
      <c r="J12" s="2370"/>
      <c r="K12" s="2370"/>
      <c r="L12" s="2372"/>
      <c r="M12" s="2370"/>
      <c r="N12" s="2373"/>
      <c r="O12" s="2374"/>
      <c r="P12" s="2373"/>
      <c r="Q12" s="2373"/>
      <c r="R12" s="2345"/>
      <c r="S12" s="2346"/>
      <c r="T12" s="2346"/>
      <c r="U12" s="2346"/>
      <c r="V12" s="2346"/>
      <c r="W12" s="2346"/>
      <c r="X12" s="2346"/>
      <c r="Y12" s="2346"/>
      <c r="Z12" s="2346"/>
      <c r="AA12" s="2346"/>
      <c r="AB12" s="2346"/>
      <c r="AC12" s="2346"/>
    </row>
    <row r="13" spans="1:29" ht="19.5" thickBot="1">
      <c r="A13" s="2375" t="s">
        <v>2092</v>
      </c>
      <c r="B13" s="2369"/>
      <c r="C13" s="2369"/>
      <c r="D13" s="2376"/>
      <c r="E13" s="2369"/>
      <c r="F13" s="2369"/>
      <c r="G13" s="2369"/>
    </row>
    <row r="14" spans="1:29" ht="15.75" thickBot="1">
      <c r="A14" s="2380"/>
      <c r="B14" s="2381"/>
      <c r="C14" s="2382" t="s">
        <v>2093</v>
      </c>
      <c r="D14" s="2356"/>
      <c r="E14" s="2383"/>
      <c r="F14" s="2383"/>
      <c r="G14" s="2350" t="s">
        <v>2094</v>
      </c>
    </row>
    <row r="15" spans="1:29" ht="27">
      <c r="A15" s="68" t="s">
        <v>2095</v>
      </c>
      <c r="B15" s="1262" t="s">
        <v>2081</v>
      </c>
      <c r="C15" s="2384">
        <f>C3</f>
        <v>0</v>
      </c>
      <c r="D15" s="2356"/>
      <c r="E15" s="2385" t="s">
        <v>2096</v>
      </c>
      <c r="F15" s="1262" t="s">
        <v>2097</v>
      </c>
      <c r="G15" s="134" t="str">
        <f>G3</f>
        <v>较好</v>
      </c>
    </row>
    <row r="16" spans="1:29" ht="15">
      <c r="A16" s="643"/>
      <c r="B16" s="2386" t="s">
        <v>2083</v>
      </c>
      <c r="C16" s="2387">
        <f>C4</f>
        <v>0</v>
      </c>
      <c r="D16" s="2356"/>
      <c r="E16" s="2388"/>
      <c r="F16" s="2389" t="s">
        <v>2084</v>
      </c>
      <c r="G16" s="135" t="str">
        <f>G4</f>
        <v>一般</v>
      </c>
    </row>
    <row r="17" spans="1:18" ht="15">
      <c r="A17" s="643"/>
      <c r="B17" s="2386" t="s">
        <v>2085</v>
      </c>
      <c r="C17" s="2387">
        <f>C5</f>
        <v>0</v>
      </c>
      <c r="D17" s="2359"/>
      <c r="E17" s="2388"/>
      <c r="F17" s="2389" t="s">
        <v>2098</v>
      </c>
      <c r="G17" s="2942" t="s">
        <v>3265</v>
      </c>
    </row>
    <row r="18" spans="1:18" ht="15">
      <c r="A18" s="643"/>
      <c r="B18" s="2389" t="s">
        <v>2087</v>
      </c>
      <c r="C18" s="135">
        <f>C6</f>
        <v>0</v>
      </c>
      <c r="D18" s="2359"/>
      <c r="E18" s="2388"/>
      <c r="F18" s="2389" t="s">
        <v>2089</v>
      </c>
      <c r="G18" s="135" t="str">
        <f>G7</f>
        <v>一般</v>
      </c>
    </row>
    <row r="19" spans="1:18" ht="15">
      <c r="A19" s="643"/>
      <c r="B19" s="2389" t="s">
        <v>2099</v>
      </c>
      <c r="C19" s="2942" t="s">
        <v>3052</v>
      </c>
      <c r="D19" s="2356"/>
      <c r="E19" s="2388"/>
      <c r="F19" s="1788" t="s">
        <v>2086</v>
      </c>
      <c r="G19" s="135" t="str">
        <f>G5</f>
        <v>一般</v>
      </c>
    </row>
    <row r="20" spans="1:18" ht="15">
      <c r="A20" s="643"/>
      <c r="B20" s="2389" t="s">
        <v>2100</v>
      </c>
      <c r="C20" s="2387">
        <f>C9</f>
        <v>0</v>
      </c>
      <c r="D20" s="2359"/>
      <c r="E20" s="2388"/>
      <c r="F20" s="1788" t="s">
        <v>2101</v>
      </c>
      <c r="G20" s="135" t="str">
        <f>G6</f>
        <v>七通</v>
      </c>
    </row>
    <row r="21" spans="1:18" ht="15">
      <c r="A21" s="643"/>
      <c r="B21" s="1788" t="s">
        <v>2086</v>
      </c>
      <c r="C21" s="135">
        <f>C7</f>
        <v>0</v>
      </c>
      <c r="D21" s="2356"/>
      <c r="E21" s="2388"/>
      <c r="F21" s="2389" t="s">
        <v>2102</v>
      </c>
      <c r="G21" s="2390" t="s">
        <v>3219</v>
      </c>
    </row>
    <row r="22" spans="1:18" ht="13.5" customHeight="1">
      <c r="A22" s="643"/>
      <c r="B22" s="1788" t="s">
        <v>2088</v>
      </c>
      <c r="C22" s="135">
        <f>C8</f>
        <v>0</v>
      </c>
      <c r="D22" s="2356"/>
      <c r="E22" s="2388"/>
      <c r="F22" s="2389" t="s">
        <v>2091</v>
      </c>
      <c r="G22" s="2942" t="s">
        <v>3295</v>
      </c>
    </row>
    <row r="23" spans="1:18" s="2353" customFormat="1" ht="15.75" thickBot="1">
      <c r="A23" s="643"/>
      <c r="B23" s="2389" t="s">
        <v>2102</v>
      </c>
      <c r="C23" s="2390" t="s">
        <v>3053</v>
      </c>
      <c r="D23" s="2377"/>
      <c r="E23" s="2391"/>
      <c r="F23" s="2392" t="s">
        <v>2103</v>
      </c>
      <c r="G23" s="2393"/>
      <c r="H23" s="2377"/>
      <c r="I23" s="2378"/>
      <c r="J23" s="2377"/>
      <c r="K23" s="2377"/>
      <c r="L23" s="2378"/>
      <c r="M23" s="2377"/>
      <c r="N23" s="2377"/>
      <c r="O23" s="2378"/>
      <c r="P23" s="2377"/>
      <c r="Q23" s="2377"/>
      <c r="R23" s="2379"/>
    </row>
    <row r="24" spans="1:18" s="2353" customFormat="1" ht="15.75" thickBot="1">
      <c r="A24" s="2394"/>
      <c r="B24" s="2392" t="s">
        <v>2104</v>
      </c>
      <c r="C24" s="136">
        <f>C10</f>
        <v>0</v>
      </c>
      <c r="D24" s="2377"/>
      <c r="E24" s="2395"/>
      <c r="F24" s="2395"/>
      <c r="G24" s="2396"/>
      <c r="H24" s="2377"/>
      <c r="I24" s="2378"/>
      <c r="J24" s="2377"/>
      <c r="K24" s="2377"/>
      <c r="L24" s="2378"/>
      <c r="M24" s="2377"/>
      <c r="N24" s="2377"/>
      <c r="O24" s="2378"/>
      <c r="P24" s="2377"/>
      <c r="Q24" s="2377"/>
      <c r="R24" s="2379"/>
    </row>
    <row r="25" spans="1:18" s="2353" customFormat="1">
      <c r="B25" s="2377"/>
      <c r="C25" s="2377"/>
      <c r="D25" s="2377"/>
      <c r="H25" s="2377"/>
      <c r="I25" s="2378"/>
      <c r="J25" s="2377"/>
      <c r="K25" s="2377"/>
      <c r="L25" s="2378"/>
      <c r="M25" s="2377"/>
      <c r="N25" s="2377"/>
      <c r="O25" s="2378"/>
      <c r="P25" s="2377"/>
      <c r="Q25" s="2377"/>
      <c r="R25" s="2379"/>
    </row>
    <row r="26" spans="1:18" s="2353" customFormat="1">
      <c r="B26" s="2377"/>
      <c r="C26" s="2377"/>
      <c r="D26" s="2377"/>
      <c r="H26" s="2377"/>
      <c r="I26" s="2378"/>
      <c r="J26" s="2377"/>
      <c r="K26" s="2377"/>
      <c r="L26" s="2378"/>
      <c r="M26" s="2377"/>
      <c r="N26" s="2377"/>
      <c r="O26" s="2378"/>
      <c r="P26" s="2377"/>
      <c r="Q26" s="2377"/>
      <c r="R26" s="2379"/>
    </row>
    <row r="27" spans="1:18" s="2353" customFormat="1">
      <c r="B27" s="2377"/>
      <c r="C27" s="2377"/>
      <c r="D27" s="2377"/>
      <c r="H27" s="2377"/>
      <c r="I27" s="2378"/>
      <c r="J27" s="2377"/>
      <c r="K27" s="2377"/>
      <c r="L27" s="2378"/>
      <c r="M27" s="2377"/>
      <c r="N27" s="2377"/>
      <c r="O27" s="2378"/>
      <c r="P27" s="2377"/>
      <c r="Q27" s="2377"/>
      <c r="R27" s="2379"/>
    </row>
    <row r="28" spans="1:18" s="2353" customFormat="1">
      <c r="B28" s="2377"/>
      <c r="C28" s="2377"/>
      <c r="D28" s="2377"/>
      <c r="H28" s="2377"/>
      <c r="I28" s="2378"/>
      <c r="J28" s="2377"/>
      <c r="K28" s="2377"/>
      <c r="L28" s="2378"/>
      <c r="M28" s="2377"/>
      <c r="N28" s="2377"/>
      <c r="O28" s="2378"/>
      <c r="P28" s="2377"/>
      <c r="Q28" s="2377"/>
      <c r="R28" s="2379"/>
    </row>
    <row r="29" spans="1:18" s="2353" customFormat="1">
      <c r="B29" s="2377"/>
      <c r="C29" s="2377"/>
      <c r="D29" s="2377"/>
      <c r="H29" s="2377"/>
      <c r="I29" s="2378"/>
      <c r="J29" s="2377"/>
      <c r="K29" s="2377"/>
      <c r="L29" s="2378"/>
      <c r="M29" s="2377"/>
      <c r="N29" s="2377"/>
      <c r="O29" s="2378"/>
      <c r="P29" s="2377"/>
      <c r="Q29" s="2377"/>
      <c r="R29" s="2379"/>
    </row>
    <row r="30" spans="1:18" s="2353" customFormat="1">
      <c r="B30" s="2377"/>
      <c r="C30" s="2377"/>
      <c r="D30" s="2377"/>
      <c r="H30" s="2377"/>
      <c r="I30" s="2378"/>
      <c r="J30" s="2377"/>
      <c r="K30" s="2377"/>
      <c r="L30" s="2378"/>
      <c r="M30" s="2377"/>
      <c r="N30" s="2377"/>
      <c r="O30" s="2378"/>
      <c r="P30" s="2377"/>
      <c r="Q30" s="2377"/>
      <c r="R30" s="2379"/>
    </row>
    <row r="31" spans="1:18" s="2353" customFormat="1">
      <c r="B31" s="2377"/>
      <c r="C31" s="2377"/>
      <c r="D31" s="2377"/>
      <c r="H31" s="2377"/>
      <c r="I31" s="2378"/>
      <c r="J31" s="2377"/>
      <c r="K31" s="2377"/>
      <c r="L31" s="2378"/>
      <c r="M31" s="2377"/>
      <c r="N31" s="2377"/>
      <c r="O31" s="2378"/>
      <c r="P31" s="2377"/>
      <c r="Q31" s="2377"/>
      <c r="R31" s="2379"/>
    </row>
    <row r="32" spans="1:18" s="2353" customFormat="1">
      <c r="B32" s="2377"/>
      <c r="C32" s="2377"/>
      <c r="D32" s="2377"/>
      <c r="H32" s="2377"/>
      <c r="I32" s="2378"/>
      <c r="J32" s="2377"/>
      <c r="K32" s="2377"/>
      <c r="L32" s="2378"/>
      <c r="M32" s="2377"/>
      <c r="N32" s="2377"/>
      <c r="O32" s="2378"/>
      <c r="P32" s="2377"/>
      <c r="Q32" s="2377"/>
      <c r="R32" s="2379"/>
    </row>
    <row r="33" spans="2:18" s="2353" customFormat="1">
      <c r="B33" s="2377"/>
      <c r="C33" s="2377"/>
      <c r="D33" s="2377"/>
      <c r="H33" s="2377"/>
      <c r="I33" s="2378"/>
      <c r="J33" s="2377"/>
      <c r="K33" s="2377"/>
      <c r="L33" s="2378"/>
      <c r="M33" s="2377"/>
      <c r="N33" s="2377"/>
      <c r="O33" s="2378"/>
      <c r="P33" s="2377"/>
      <c r="Q33" s="2377"/>
      <c r="R33" s="2379"/>
    </row>
    <row r="34" spans="2:18" s="2353" customFormat="1">
      <c r="B34" s="2377"/>
      <c r="C34" s="2377"/>
      <c r="D34" s="2377"/>
      <c r="H34" s="2377"/>
      <c r="I34" s="2378"/>
      <c r="J34" s="2377"/>
      <c r="K34" s="2377"/>
      <c r="L34" s="2378"/>
      <c r="M34" s="2377"/>
      <c r="N34" s="2377"/>
      <c r="O34" s="2378"/>
      <c r="P34" s="2377"/>
      <c r="Q34" s="2377"/>
      <c r="R34" s="2379"/>
    </row>
    <row r="35" spans="2:18" s="2353" customFormat="1">
      <c r="B35" s="2377"/>
      <c r="C35" s="2377"/>
      <c r="D35" s="2377"/>
      <c r="H35" s="2377"/>
      <c r="I35" s="2378"/>
      <c r="J35" s="2377"/>
      <c r="K35" s="2377"/>
      <c r="L35" s="2378"/>
      <c r="M35" s="2377"/>
      <c r="N35" s="2377"/>
      <c r="O35" s="2378"/>
      <c r="P35" s="2377"/>
      <c r="Q35" s="2377"/>
      <c r="R35" s="2379"/>
    </row>
    <row r="36" spans="2:18" s="2353" customFormat="1">
      <c r="B36" s="2377"/>
      <c r="C36" s="2377"/>
      <c r="D36" s="2377"/>
      <c r="H36" s="2377"/>
      <c r="I36" s="2378"/>
      <c r="J36" s="2377"/>
      <c r="K36" s="2377"/>
      <c r="L36" s="2378"/>
      <c r="M36" s="2377"/>
      <c r="N36" s="2377"/>
      <c r="O36" s="2378"/>
      <c r="P36" s="2377"/>
      <c r="Q36" s="2377"/>
      <c r="R36" s="2379"/>
    </row>
    <row r="37" spans="2:18" s="2353" customFormat="1">
      <c r="B37" s="2377"/>
      <c r="C37" s="2377"/>
      <c r="D37" s="2377"/>
      <c r="H37" s="2377"/>
      <c r="I37" s="2378"/>
      <c r="J37" s="2377"/>
      <c r="K37" s="2377"/>
      <c r="L37" s="2378"/>
      <c r="M37" s="2377"/>
      <c r="N37" s="2377"/>
      <c r="O37" s="2378"/>
      <c r="P37" s="2377"/>
      <c r="Q37" s="2377"/>
      <c r="R37" s="2379"/>
    </row>
    <row r="38" spans="2:18" s="2353" customFormat="1">
      <c r="B38" s="2377"/>
      <c r="C38" s="2377"/>
      <c r="D38" s="2377"/>
      <c r="E38" s="2377"/>
      <c r="F38" s="2377"/>
      <c r="G38" s="2378"/>
      <c r="H38" s="2377"/>
      <c r="I38" s="2378"/>
      <c r="J38" s="2377"/>
      <c r="K38" s="2377"/>
      <c r="L38" s="2378"/>
      <c r="M38" s="2377"/>
      <c r="N38" s="2377"/>
      <c r="O38" s="2378"/>
      <c r="P38" s="2377"/>
      <c r="Q38" s="2377"/>
      <c r="R38" s="2379"/>
    </row>
    <row r="39" spans="2:18" s="2353" customFormat="1">
      <c r="B39" s="2377"/>
      <c r="C39" s="2377"/>
      <c r="D39" s="2377"/>
      <c r="E39" s="2377"/>
      <c r="F39" s="2377"/>
      <c r="G39" s="2378"/>
      <c r="H39" s="2377"/>
      <c r="I39" s="2378"/>
      <c r="J39" s="2377"/>
      <c r="K39" s="2377"/>
      <c r="L39" s="2378"/>
      <c r="M39" s="2377"/>
      <c r="N39" s="2377"/>
      <c r="O39" s="2378"/>
      <c r="P39" s="2377"/>
      <c r="Q39" s="2377"/>
      <c r="R39" s="2379"/>
    </row>
    <row r="40" spans="2:18" s="2353" customFormat="1">
      <c r="B40" s="2377"/>
      <c r="C40" s="2377"/>
      <c r="D40" s="2377"/>
      <c r="E40" s="2377"/>
      <c r="F40" s="2377"/>
      <c r="G40" s="2378"/>
      <c r="H40" s="2377"/>
      <c r="I40" s="2378"/>
      <c r="J40" s="2377"/>
      <c r="K40" s="2377"/>
      <c r="L40" s="2378"/>
      <c r="M40" s="2377"/>
      <c r="N40" s="2377"/>
      <c r="O40" s="2378"/>
      <c r="P40" s="2377"/>
      <c r="Q40" s="2377"/>
      <c r="R40" s="2379"/>
    </row>
    <row r="41" spans="2:18" s="2353" customFormat="1">
      <c r="B41" s="2377"/>
      <c r="C41" s="2377"/>
      <c r="D41" s="2377"/>
      <c r="E41" s="2377"/>
      <c r="F41" s="2377"/>
      <c r="G41" s="2378"/>
      <c r="H41" s="2377"/>
      <c r="I41" s="2378"/>
      <c r="J41" s="2377"/>
      <c r="K41" s="2377"/>
      <c r="L41" s="2378"/>
      <c r="M41" s="2377"/>
      <c r="N41" s="2377"/>
      <c r="O41" s="2378"/>
      <c r="P41" s="2377"/>
      <c r="Q41" s="2377"/>
      <c r="R41" s="2379"/>
    </row>
    <row r="42" spans="2:18" s="2353" customFormat="1">
      <c r="B42" s="2377"/>
      <c r="C42" s="2377"/>
      <c r="D42" s="2377"/>
      <c r="E42" s="2377"/>
      <c r="F42" s="2377"/>
      <c r="G42" s="2378"/>
      <c r="H42" s="2377"/>
      <c r="I42" s="2378"/>
      <c r="J42" s="2377"/>
      <c r="K42" s="2377"/>
      <c r="L42" s="2378"/>
      <c r="M42" s="2377"/>
      <c r="N42" s="2377"/>
      <c r="O42" s="2378"/>
      <c r="P42" s="2377"/>
      <c r="Q42" s="2377"/>
      <c r="R42" s="2379"/>
    </row>
    <row r="43" spans="2:18" s="2353" customFormat="1">
      <c r="B43" s="2377"/>
      <c r="C43" s="2377"/>
      <c r="D43" s="2377"/>
      <c r="E43" s="2377"/>
      <c r="F43" s="2377"/>
      <c r="G43" s="2378"/>
      <c r="H43" s="2377"/>
      <c r="I43" s="2378"/>
      <c r="J43" s="2377"/>
      <c r="K43" s="2377"/>
      <c r="L43" s="2378"/>
      <c r="M43" s="2377"/>
      <c r="N43" s="2377"/>
      <c r="O43" s="2378"/>
      <c r="P43" s="2377"/>
      <c r="Q43" s="2377"/>
      <c r="R43" s="2379"/>
    </row>
    <row r="44" spans="2:18" s="2353" customFormat="1">
      <c r="B44" s="2377"/>
      <c r="C44" s="2377"/>
      <c r="D44" s="2377"/>
      <c r="E44" s="2377"/>
      <c r="F44" s="2377"/>
      <c r="G44" s="2378"/>
      <c r="H44" s="2377"/>
      <c r="I44" s="2378"/>
      <c r="J44" s="2377"/>
      <c r="K44" s="2377"/>
      <c r="L44" s="2378"/>
      <c r="M44" s="2377"/>
      <c r="N44" s="2377"/>
      <c r="O44" s="2378"/>
      <c r="P44" s="2377"/>
      <c r="Q44" s="2377"/>
      <c r="R44" s="2379"/>
    </row>
    <row r="45" spans="2:18" s="2353" customFormat="1">
      <c r="B45" s="2377"/>
      <c r="C45" s="2377"/>
      <c r="D45" s="2377"/>
      <c r="E45" s="2377"/>
      <c r="F45" s="2377"/>
      <c r="G45" s="2378"/>
      <c r="H45" s="2377"/>
      <c r="I45" s="2378"/>
      <c r="J45" s="2377"/>
      <c r="K45" s="2377"/>
      <c r="L45" s="2378"/>
      <c r="M45" s="2377"/>
      <c r="N45" s="2377"/>
      <c r="O45" s="2378"/>
      <c r="P45" s="2377"/>
      <c r="Q45" s="2377"/>
      <c r="R45" s="2379"/>
    </row>
    <row r="46" spans="2:18" s="2353" customFormat="1">
      <c r="B46" s="2377"/>
      <c r="C46" s="2377"/>
      <c r="D46" s="2377"/>
      <c r="E46" s="2377"/>
      <c r="F46" s="2377"/>
      <c r="G46" s="2378"/>
      <c r="H46" s="2377"/>
      <c r="I46" s="2378"/>
      <c r="J46" s="2377"/>
      <c r="K46" s="2377"/>
      <c r="L46" s="2378"/>
      <c r="M46" s="2377"/>
      <c r="N46" s="2377"/>
      <c r="O46" s="2378"/>
      <c r="P46" s="2377"/>
      <c r="Q46" s="2377"/>
      <c r="R46" s="2379"/>
    </row>
    <row r="47" spans="2:18" s="2353" customFormat="1">
      <c r="B47" s="2377"/>
      <c r="C47" s="2377"/>
      <c r="D47" s="2377"/>
      <c r="E47" s="2377"/>
      <c r="F47" s="2377"/>
      <c r="G47" s="2378"/>
      <c r="H47" s="2377"/>
      <c r="I47" s="2378"/>
      <c r="J47" s="2377"/>
      <c r="K47" s="2377"/>
      <c r="L47" s="2378"/>
      <c r="M47" s="2377"/>
      <c r="N47" s="2377"/>
      <c r="O47" s="2378"/>
      <c r="P47" s="2377"/>
      <c r="Q47" s="2377"/>
      <c r="R47" s="2379"/>
    </row>
    <row r="48" spans="2:18" s="2353" customFormat="1">
      <c r="B48" s="2377"/>
      <c r="C48" s="2377"/>
      <c r="D48" s="2377"/>
      <c r="E48" s="2377"/>
      <c r="F48" s="2377"/>
      <c r="G48" s="2378"/>
      <c r="H48" s="2377"/>
      <c r="I48" s="2378"/>
      <c r="J48" s="2377"/>
      <c r="K48" s="2377"/>
      <c r="L48" s="2378"/>
      <c r="M48" s="2377"/>
      <c r="N48" s="2377"/>
      <c r="O48" s="2378"/>
      <c r="P48" s="2377"/>
      <c r="Q48" s="2377"/>
      <c r="R48" s="2379"/>
    </row>
    <row r="49" spans="2:18" s="2353" customFormat="1">
      <c r="B49" s="2377"/>
      <c r="C49" s="2377"/>
      <c r="D49" s="2377"/>
      <c r="E49" s="2377"/>
      <c r="F49" s="2377"/>
      <c r="G49" s="2378"/>
      <c r="H49" s="2377"/>
      <c r="I49" s="2378"/>
      <c r="J49" s="2377"/>
      <c r="K49" s="2377"/>
      <c r="L49" s="2378"/>
      <c r="M49" s="2377"/>
      <c r="N49" s="2377"/>
      <c r="O49" s="2378"/>
      <c r="P49" s="2377"/>
      <c r="Q49" s="2377"/>
      <c r="R49" s="2379"/>
    </row>
    <row r="50" spans="2:18" s="2353" customFormat="1">
      <c r="B50" s="2377"/>
      <c r="C50" s="2377"/>
      <c r="D50" s="2377"/>
      <c r="E50" s="2377"/>
      <c r="F50" s="2377"/>
      <c r="G50" s="2378"/>
      <c r="H50" s="2377"/>
      <c r="I50" s="2378"/>
      <c r="J50" s="2377"/>
      <c r="K50" s="2377"/>
      <c r="L50" s="2378"/>
      <c r="M50" s="2377"/>
      <c r="N50" s="2377"/>
      <c r="O50" s="2378"/>
      <c r="P50" s="2377"/>
      <c r="Q50" s="2377"/>
      <c r="R50" s="2379"/>
    </row>
    <row r="51" spans="2:18" s="2353" customFormat="1">
      <c r="B51" s="2377"/>
      <c r="C51" s="2377"/>
      <c r="D51" s="2377"/>
      <c r="E51" s="2377"/>
      <c r="F51" s="2377"/>
      <c r="G51" s="2378"/>
      <c r="H51" s="2377"/>
      <c r="I51" s="2378"/>
      <c r="J51" s="2377"/>
      <c r="K51" s="2377"/>
      <c r="L51" s="2378"/>
      <c r="M51" s="2377"/>
      <c r="N51" s="2377"/>
      <c r="O51" s="2378"/>
      <c r="P51" s="2377"/>
      <c r="Q51" s="2377"/>
      <c r="R51" s="2379"/>
    </row>
    <row r="52" spans="2:18" s="2353" customFormat="1">
      <c r="B52" s="2377"/>
      <c r="C52" s="2377"/>
      <c r="D52" s="2377"/>
      <c r="E52" s="2377"/>
      <c r="F52" s="2377"/>
      <c r="G52" s="2378"/>
      <c r="H52" s="2377"/>
      <c r="I52" s="2378"/>
      <c r="J52" s="2377"/>
      <c r="K52" s="2377"/>
      <c r="L52" s="2378"/>
      <c r="M52" s="2377"/>
      <c r="N52" s="2377"/>
      <c r="O52" s="2378"/>
      <c r="P52" s="2377"/>
      <c r="Q52" s="2377"/>
      <c r="R52" s="2379"/>
    </row>
    <row r="53" spans="2:18" s="2353" customFormat="1">
      <c r="B53" s="2377"/>
      <c r="C53" s="2377"/>
      <c r="D53" s="2377"/>
      <c r="E53" s="2377"/>
      <c r="F53" s="2377"/>
      <c r="G53" s="2378"/>
      <c r="H53" s="2377"/>
      <c r="I53" s="2378"/>
      <c r="J53" s="2377"/>
      <c r="K53" s="2377"/>
      <c r="L53" s="2378"/>
      <c r="M53" s="2377"/>
      <c r="N53" s="2377"/>
      <c r="O53" s="2378"/>
      <c r="P53" s="2377"/>
      <c r="Q53" s="2377"/>
      <c r="R53" s="2379"/>
    </row>
    <row r="54" spans="2:18" s="2353" customFormat="1">
      <c r="B54" s="2377"/>
      <c r="C54" s="2377"/>
      <c r="D54" s="2377"/>
      <c r="E54" s="2377"/>
      <c r="F54" s="2377"/>
      <c r="G54" s="2378"/>
      <c r="H54" s="2377"/>
      <c r="I54" s="2378"/>
      <c r="J54" s="2377"/>
      <c r="K54" s="2377"/>
      <c r="L54" s="2378"/>
      <c r="M54" s="2377"/>
      <c r="N54" s="2377"/>
      <c r="O54" s="2378"/>
      <c r="P54" s="2377"/>
      <c r="Q54" s="2377"/>
      <c r="R54" s="2379"/>
    </row>
    <row r="55" spans="2:18" s="2353" customFormat="1">
      <c r="B55" s="2377"/>
      <c r="C55" s="2377"/>
      <c r="D55" s="2377"/>
      <c r="E55" s="2377"/>
      <c r="F55" s="2377"/>
      <c r="G55" s="2378"/>
      <c r="H55" s="2377"/>
      <c r="I55" s="2378"/>
      <c r="J55" s="2377"/>
      <c r="K55" s="2377"/>
      <c r="L55" s="2378"/>
      <c r="M55" s="2377"/>
      <c r="N55" s="2377"/>
      <c r="O55" s="2378"/>
      <c r="P55" s="2377"/>
      <c r="Q55" s="2377"/>
      <c r="R55" s="2379"/>
    </row>
    <row r="56" spans="2:18" s="2353" customFormat="1">
      <c r="B56" s="2377"/>
      <c r="C56" s="2377"/>
      <c r="D56" s="2377"/>
      <c r="E56" s="2377"/>
      <c r="F56" s="2377"/>
      <c r="G56" s="2378"/>
      <c r="H56" s="2377"/>
      <c r="I56" s="2378"/>
      <c r="J56" s="2377"/>
      <c r="K56" s="2377"/>
      <c r="L56" s="2378"/>
      <c r="M56" s="2377"/>
      <c r="N56" s="2377"/>
      <c r="O56" s="2378"/>
      <c r="P56" s="2377"/>
      <c r="Q56" s="2377"/>
      <c r="R56" s="2379"/>
    </row>
    <row r="57" spans="2:18" s="2353" customFormat="1">
      <c r="B57" s="2377"/>
      <c r="C57" s="2377"/>
      <c r="D57" s="2377"/>
      <c r="E57" s="2377"/>
      <c r="F57" s="2377"/>
      <c r="G57" s="2378"/>
      <c r="H57" s="2377"/>
      <c r="I57" s="2378"/>
      <c r="J57" s="2377"/>
      <c r="K57" s="2377"/>
      <c r="L57" s="2378"/>
      <c r="M57" s="2377"/>
      <c r="N57" s="2377"/>
      <c r="O57" s="2378"/>
      <c r="P57" s="2377"/>
      <c r="Q57" s="2377"/>
      <c r="R57" s="2379"/>
    </row>
    <row r="58" spans="2:18" s="2353" customFormat="1">
      <c r="B58" s="2377"/>
      <c r="C58" s="2377"/>
      <c r="D58" s="2377"/>
      <c r="E58" s="2377"/>
      <c r="F58" s="2377"/>
      <c r="G58" s="2378"/>
      <c r="H58" s="2377"/>
      <c r="I58" s="2378"/>
      <c r="J58" s="2377"/>
      <c r="K58" s="2377"/>
      <c r="L58" s="2378"/>
      <c r="M58" s="2377"/>
      <c r="N58" s="2377"/>
      <c r="O58" s="2378"/>
      <c r="P58" s="2377"/>
      <c r="Q58" s="2377"/>
      <c r="R58" s="2379"/>
    </row>
    <row r="59" spans="2:18" s="2353" customFormat="1">
      <c r="B59" s="2377"/>
      <c r="C59" s="2377"/>
      <c r="D59" s="2377"/>
      <c r="E59" s="2377"/>
      <c r="F59" s="2377"/>
      <c r="G59" s="2378"/>
      <c r="H59" s="2377"/>
      <c r="I59" s="2378"/>
      <c r="J59" s="2377"/>
      <c r="K59" s="2377"/>
      <c r="L59" s="2378"/>
      <c r="M59" s="2377"/>
      <c r="N59" s="2377"/>
      <c r="O59" s="2378"/>
      <c r="P59" s="2377"/>
      <c r="Q59" s="2377"/>
      <c r="R59" s="2379"/>
    </row>
    <row r="60" spans="2:18" s="2353" customFormat="1">
      <c r="B60" s="2377"/>
      <c r="C60" s="2377"/>
      <c r="D60" s="2377"/>
      <c r="E60" s="2377"/>
      <c r="F60" s="2377"/>
      <c r="G60" s="2378"/>
      <c r="H60" s="2377"/>
      <c r="I60" s="2378"/>
      <c r="J60" s="2377"/>
      <c r="K60" s="2377"/>
      <c r="L60" s="2378"/>
      <c r="M60" s="2377"/>
      <c r="N60" s="2377"/>
      <c r="O60" s="2378"/>
      <c r="P60" s="2377"/>
      <c r="Q60" s="2377"/>
      <c r="R60" s="2379"/>
    </row>
    <row r="61" spans="2:18" s="2353" customFormat="1">
      <c r="B61" s="2377"/>
      <c r="C61" s="2377"/>
      <c r="D61" s="2377"/>
      <c r="E61" s="2377"/>
      <c r="F61" s="2377"/>
      <c r="G61" s="2378"/>
      <c r="H61" s="2377"/>
      <c r="I61" s="2378"/>
      <c r="J61" s="2377"/>
      <c r="K61" s="2377"/>
      <c r="L61" s="2378"/>
      <c r="M61" s="2377"/>
      <c r="N61" s="2377"/>
      <c r="O61" s="2378"/>
      <c r="P61" s="2377"/>
      <c r="Q61" s="2377"/>
      <c r="R61" s="2379"/>
    </row>
    <row r="62" spans="2:18" s="2353" customFormat="1">
      <c r="B62" s="2377"/>
      <c r="C62" s="2377"/>
      <c r="D62" s="2377"/>
      <c r="E62" s="2377"/>
      <c r="F62" s="2377"/>
      <c r="G62" s="2378"/>
      <c r="H62" s="2377"/>
      <c r="I62" s="2378"/>
      <c r="J62" s="2377"/>
      <c r="K62" s="2377"/>
      <c r="L62" s="2378"/>
      <c r="M62" s="2377"/>
      <c r="N62" s="2377"/>
      <c r="O62" s="2378"/>
      <c r="P62" s="2377"/>
      <c r="Q62" s="2377"/>
      <c r="R62" s="2379"/>
    </row>
    <row r="63" spans="2:18" s="2353" customFormat="1">
      <c r="B63" s="2377"/>
      <c r="C63" s="2377"/>
      <c r="D63" s="2377"/>
      <c r="E63" s="2377"/>
      <c r="F63" s="2377"/>
      <c r="G63" s="2378"/>
      <c r="H63" s="2377"/>
      <c r="I63" s="2378"/>
      <c r="J63" s="2377"/>
      <c r="K63" s="2377"/>
      <c r="L63" s="2378"/>
      <c r="M63" s="2377"/>
      <c r="N63" s="2377"/>
      <c r="O63" s="2378"/>
      <c r="P63" s="2377"/>
      <c r="Q63" s="2377"/>
      <c r="R63" s="2379"/>
    </row>
    <row r="64" spans="2:18" s="2353" customFormat="1">
      <c r="B64" s="2377"/>
      <c r="C64" s="2377"/>
      <c r="D64" s="2377"/>
      <c r="E64" s="2377"/>
      <c r="F64" s="2377"/>
      <c r="G64" s="2378"/>
      <c r="H64" s="2377"/>
      <c r="I64" s="2378"/>
      <c r="J64" s="2377"/>
      <c r="K64" s="2377"/>
      <c r="L64" s="2378"/>
      <c r="M64" s="2377"/>
      <c r="N64" s="2377"/>
      <c r="O64" s="2378"/>
      <c r="P64" s="2377"/>
      <c r="Q64" s="2377"/>
      <c r="R64" s="2379"/>
    </row>
    <row r="65" spans="2:18" s="2353" customFormat="1">
      <c r="B65" s="2377"/>
      <c r="C65" s="2377"/>
      <c r="D65" s="2377"/>
      <c r="E65" s="2377"/>
      <c r="F65" s="2377"/>
      <c r="G65" s="2378"/>
      <c r="H65" s="2377"/>
      <c r="I65" s="2378"/>
      <c r="J65" s="2377"/>
      <c r="K65" s="2377"/>
      <c r="L65" s="2378"/>
      <c r="M65" s="2377"/>
      <c r="N65" s="2377"/>
      <c r="O65" s="2378"/>
      <c r="P65" s="2377"/>
      <c r="Q65" s="2377"/>
      <c r="R65" s="2379"/>
    </row>
    <row r="66" spans="2:18" s="2353" customFormat="1">
      <c r="B66" s="2377"/>
      <c r="C66" s="2377"/>
      <c r="D66" s="2377"/>
      <c r="E66" s="2377"/>
      <c r="F66" s="2377"/>
      <c r="G66" s="2378"/>
      <c r="H66" s="2377"/>
      <c r="I66" s="2378"/>
      <c r="J66" s="2377"/>
      <c r="K66" s="2377"/>
      <c r="L66" s="2378"/>
      <c r="M66" s="2377"/>
      <c r="N66" s="2377"/>
      <c r="O66" s="2378"/>
      <c r="P66" s="2377"/>
      <c r="Q66" s="2377"/>
      <c r="R66" s="2379"/>
    </row>
    <row r="67" spans="2:18" s="2353" customFormat="1">
      <c r="B67" s="2377"/>
      <c r="C67" s="2377"/>
      <c r="D67" s="2377"/>
      <c r="E67" s="2377"/>
      <c r="F67" s="2377"/>
      <c r="G67" s="2378"/>
      <c r="H67" s="2377"/>
      <c r="I67" s="2378"/>
      <c r="J67" s="2377"/>
      <c r="K67" s="2377"/>
      <c r="L67" s="2378"/>
      <c r="M67" s="2377"/>
      <c r="N67" s="2377"/>
      <c r="O67" s="2378"/>
      <c r="P67" s="2377"/>
      <c r="Q67" s="2377"/>
      <c r="R67" s="2379"/>
    </row>
    <row r="68" spans="2:18" s="2353" customFormat="1">
      <c r="B68" s="2377"/>
      <c r="C68" s="2377"/>
      <c r="D68" s="2377"/>
      <c r="E68" s="2377"/>
      <c r="F68" s="2377"/>
      <c r="G68" s="2378"/>
      <c r="H68" s="2377"/>
      <c r="I68" s="2378"/>
      <c r="J68" s="2377"/>
      <c r="K68" s="2377"/>
      <c r="L68" s="2378"/>
      <c r="M68" s="2377"/>
      <c r="N68" s="2377"/>
      <c r="O68" s="2378"/>
      <c r="P68" s="2377"/>
      <c r="Q68" s="2377"/>
      <c r="R68" s="2379"/>
    </row>
    <row r="69" spans="2:18" s="2353" customFormat="1">
      <c r="B69" s="2377"/>
      <c r="C69" s="2377"/>
      <c r="D69" s="2377"/>
      <c r="E69" s="2377"/>
      <c r="F69" s="2377"/>
      <c r="G69" s="2378"/>
      <c r="H69" s="2377"/>
      <c r="I69" s="2378"/>
      <c r="J69" s="2377"/>
      <c r="K69" s="2377"/>
      <c r="L69" s="2378"/>
      <c r="M69" s="2377"/>
      <c r="N69" s="2377"/>
      <c r="O69" s="2378"/>
      <c r="P69" s="2377"/>
      <c r="Q69" s="2377"/>
      <c r="R69" s="2379"/>
    </row>
    <row r="70" spans="2:18" s="2353" customFormat="1">
      <c r="B70" s="2377"/>
      <c r="C70" s="2377"/>
      <c r="D70" s="2377"/>
      <c r="E70" s="2377"/>
      <c r="F70" s="2377"/>
      <c r="G70" s="2378"/>
      <c r="H70" s="2377"/>
      <c r="I70" s="2378"/>
      <c r="J70" s="2377"/>
      <c r="K70" s="2377"/>
      <c r="L70" s="2378"/>
      <c r="M70" s="2377"/>
      <c r="N70" s="2377"/>
      <c r="O70" s="2378"/>
      <c r="P70" s="2377"/>
      <c r="Q70" s="2377"/>
      <c r="R70" s="2379"/>
    </row>
    <row r="71" spans="2:18" s="2353" customFormat="1">
      <c r="B71" s="2377"/>
      <c r="C71" s="2377"/>
      <c r="D71" s="2377"/>
      <c r="E71" s="2377"/>
      <c r="F71" s="2377"/>
      <c r="G71" s="2378"/>
      <c r="H71" s="2377"/>
      <c r="I71" s="2378"/>
      <c r="J71" s="2377"/>
      <c r="K71" s="2377"/>
      <c r="L71" s="2378"/>
      <c r="M71" s="2377"/>
      <c r="N71" s="2377"/>
      <c r="O71" s="2378"/>
      <c r="P71" s="2377"/>
      <c r="Q71" s="2377"/>
      <c r="R71" s="2379"/>
    </row>
    <row r="72" spans="2:18" s="2353" customFormat="1">
      <c r="B72" s="2377"/>
      <c r="C72" s="2377"/>
      <c r="D72" s="2377"/>
      <c r="E72" s="2377"/>
      <c r="F72" s="2377"/>
      <c r="G72" s="2378"/>
      <c r="H72" s="2377"/>
      <c r="I72" s="2378"/>
      <c r="J72" s="2377"/>
      <c r="K72" s="2377"/>
      <c r="L72" s="2378"/>
      <c r="M72" s="2377"/>
      <c r="N72" s="2377"/>
      <c r="O72" s="2378"/>
      <c r="P72" s="2377"/>
      <c r="Q72" s="2377"/>
      <c r="R72" s="2379"/>
    </row>
    <row r="73" spans="2:18" s="2353" customFormat="1">
      <c r="B73" s="2377"/>
      <c r="C73" s="2377"/>
      <c r="D73" s="2377"/>
      <c r="E73" s="2377"/>
      <c r="F73" s="2377"/>
      <c r="G73" s="2378"/>
      <c r="H73" s="2377"/>
      <c r="I73" s="2378"/>
      <c r="J73" s="2377"/>
      <c r="K73" s="2377"/>
      <c r="L73" s="2378"/>
      <c r="M73" s="2377"/>
      <c r="N73" s="2377"/>
      <c r="O73" s="2378"/>
      <c r="P73" s="2377"/>
      <c r="Q73" s="2377"/>
      <c r="R73" s="2379"/>
    </row>
    <row r="74" spans="2:18" s="2353" customFormat="1">
      <c r="B74" s="2377"/>
      <c r="C74" s="2377"/>
      <c r="D74" s="2377"/>
      <c r="E74" s="2377"/>
      <c r="F74" s="2377"/>
      <c r="G74" s="2378"/>
      <c r="H74" s="2377"/>
      <c r="I74" s="2378"/>
      <c r="J74" s="2377"/>
      <c r="K74" s="2377"/>
      <c r="L74" s="2378"/>
      <c r="M74" s="2377"/>
      <c r="N74" s="2377"/>
      <c r="O74" s="2378"/>
      <c r="P74" s="2377"/>
      <c r="Q74" s="2377"/>
      <c r="R74" s="2379"/>
    </row>
    <row r="75" spans="2:18" s="2353" customFormat="1">
      <c r="B75" s="2377"/>
      <c r="C75" s="2377"/>
      <c r="D75" s="2377"/>
      <c r="E75" s="2377"/>
      <c r="F75" s="2377"/>
      <c r="G75" s="2378"/>
      <c r="H75" s="2377"/>
      <c r="I75" s="2378"/>
      <c r="J75" s="2377"/>
      <c r="K75" s="2377"/>
      <c r="L75" s="2378"/>
      <c r="M75" s="2377"/>
      <c r="N75" s="2377"/>
      <c r="O75" s="2378"/>
      <c r="P75" s="2377"/>
      <c r="Q75" s="2377"/>
      <c r="R75" s="2379"/>
    </row>
    <row r="76" spans="2:18" s="2353" customFormat="1">
      <c r="B76" s="2377"/>
      <c r="C76" s="2377"/>
      <c r="D76" s="2377"/>
      <c r="E76" s="2377"/>
      <c r="F76" s="2377"/>
      <c r="G76" s="2378"/>
      <c r="H76" s="2377"/>
      <c r="I76" s="2378"/>
      <c r="J76" s="2377"/>
      <c r="K76" s="2377"/>
      <c r="L76" s="2378"/>
      <c r="M76" s="2377"/>
      <c r="N76" s="2377"/>
      <c r="O76" s="2378"/>
      <c r="P76" s="2377"/>
      <c r="Q76" s="2377"/>
      <c r="R76" s="2379"/>
    </row>
    <row r="77" spans="2:18" s="2353" customFormat="1">
      <c r="B77" s="2377"/>
      <c r="C77" s="2377"/>
      <c r="D77" s="2377"/>
      <c r="E77" s="2377"/>
      <c r="F77" s="2377"/>
      <c r="G77" s="2378"/>
      <c r="H77" s="2377"/>
      <c r="I77" s="2378"/>
      <c r="J77" s="2377"/>
      <c r="K77" s="2377"/>
      <c r="L77" s="2378"/>
      <c r="M77" s="2377"/>
      <c r="N77" s="2377"/>
      <c r="O77" s="2378"/>
      <c r="P77" s="2377"/>
      <c r="Q77" s="2377"/>
      <c r="R77" s="2379"/>
    </row>
    <row r="78" spans="2:18" s="2353" customFormat="1">
      <c r="B78" s="2377"/>
      <c r="C78" s="2377"/>
      <c r="D78" s="2377"/>
      <c r="E78" s="2377"/>
      <c r="F78" s="2377"/>
      <c r="G78" s="2378"/>
      <c r="H78" s="2377"/>
      <c r="I78" s="2378"/>
      <c r="J78" s="2377"/>
      <c r="K78" s="2377"/>
      <c r="L78" s="2378"/>
      <c r="M78" s="2377"/>
      <c r="N78" s="2377"/>
      <c r="O78" s="2378"/>
      <c r="P78" s="2377"/>
      <c r="Q78" s="2377"/>
      <c r="R78" s="2379"/>
    </row>
    <row r="79" spans="2:18" s="2353" customFormat="1">
      <c r="B79" s="2377"/>
      <c r="C79" s="2377"/>
      <c r="D79" s="2377"/>
      <c r="E79" s="2377"/>
      <c r="F79" s="2377"/>
      <c r="G79" s="2378"/>
      <c r="H79" s="2377"/>
      <c r="I79" s="2378"/>
      <c r="J79" s="2377"/>
      <c r="K79" s="2377"/>
      <c r="L79" s="2378"/>
      <c r="M79" s="2377"/>
      <c r="N79" s="2377"/>
      <c r="O79" s="2378"/>
      <c r="P79" s="2377"/>
      <c r="Q79" s="2377"/>
      <c r="R79" s="2379"/>
    </row>
    <row r="80" spans="2:18" s="2353" customFormat="1">
      <c r="B80" s="2377"/>
      <c r="C80" s="2377"/>
      <c r="D80" s="2377"/>
      <c r="E80" s="2377"/>
      <c r="F80" s="2377"/>
      <c r="G80" s="2378"/>
      <c r="H80" s="2377"/>
      <c r="I80" s="2378"/>
      <c r="J80" s="2377"/>
      <c r="K80" s="2377"/>
      <c r="L80" s="2378"/>
      <c r="M80" s="2377"/>
      <c r="N80" s="2377"/>
      <c r="O80" s="2378"/>
      <c r="P80" s="2377"/>
      <c r="Q80" s="2377"/>
      <c r="R80" s="2379"/>
    </row>
    <row r="81" spans="2:18" s="2353" customFormat="1">
      <c r="B81" s="2377"/>
      <c r="C81" s="2377"/>
      <c r="D81" s="2377"/>
      <c r="E81" s="2377"/>
      <c r="F81" s="2377"/>
      <c r="G81" s="2378"/>
      <c r="H81" s="2377"/>
      <c r="I81" s="2378"/>
      <c r="J81" s="2377"/>
      <c r="K81" s="2377"/>
      <c r="L81" s="2378"/>
      <c r="M81" s="2377"/>
      <c r="N81" s="2377"/>
      <c r="O81" s="2378"/>
      <c r="P81" s="2377"/>
      <c r="Q81" s="2377"/>
      <c r="R81" s="2379"/>
    </row>
    <row r="82" spans="2:18" s="2353" customFormat="1">
      <c r="B82" s="2377"/>
      <c r="C82" s="2377"/>
      <c r="D82" s="2377"/>
      <c r="E82" s="2377"/>
      <c r="F82" s="2377"/>
      <c r="G82" s="2378"/>
      <c r="H82" s="2377"/>
      <c r="I82" s="2378"/>
      <c r="J82" s="2377"/>
      <c r="K82" s="2377"/>
      <c r="L82" s="2378"/>
      <c r="M82" s="2377"/>
      <c r="N82" s="2377"/>
      <c r="O82" s="2378"/>
      <c r="P82" s="2377"/>
      <c r="Q82" s="2377"/>
      <c r="R82" s="2379"/>
    </row>
    <row r="83" spans="2:18" s="2353" customFormat="1">
      <c r="B83" s="2377"/>
      <c r="C83" s="2377"/>
      <c r="D83" s="2377"/>
      <c r="E83" s="2377"/>
      <c r="F83" s="2377"/>
      <c r="G83" s="2378"/>
      <c r="H83" s="2377"/>
      <c r="I83" s="2378"/>
      <c r="J83" s="2377"/>
      <c r="K83" s="2377"/>
      <c r="L83" s="2378"/>
      <c r="M83" s="2377"/>
      <c r="N83" s="2377"/>
      <c r="O83" s="2378"/>
      <c r="P83" s="2377"/>
      <c r="Q83" s="2377"/>
      <c r="R83" s="2379"/>
    </row>
    <row r="84" spans="2:18" s="2353" customFormat="1">
      <c r="B84" s="2377"/>
      <c r="C84" s="2377"/>
      <c r="D84" s="2377"/>
      <c r="E84" s="2377"/>
      <c r="F84" s="2377"/>
      <c r="G84" s="2378"/>
      <c r="H84" s="2377"/>
      <c r="I84" s="2378"/>
      <c r="J84" s="2377"/>
      <c r="K84" s="2377"/>
      <c r="L84" s="2378"/>
      <c r="M84" s="2377"/>
      <c r="N84" s="2377"/>
      <c r="O84" s="2378"/>
      <c r="P84" s="2377"/>
      <c r="Q84" s="2377"/>
      <c r="R84" s="2379"/>
    </row>
    <row r="85" spans="2:18" s="2353" customFormat="1">
      <c r="B85" s="2377"/>
      <c r="C85" s="2377"/>
      <c r="D85" s="2377"/>
      <c r="E85" s="2377"/>
      <c r="F85" s="2377"/>
      <c r="G85" s="2378"/>
      <c r="H85" s="2377"/>
      <c r="I85" s="2378"/>
      <c r="J85" s="2377"/>
      <c r="K85" s="2377"/>
      <c r="L85" s="2378"/>
      <c r="M85" s="2377"/>
      <c r="N85" s="2377"/>
      <c r="O85" s="2378"/>
      <c r="P85" s="2377"/>
      <c r="Q85" s="2377"/>
      <c r="R85" s="2379"/>
    </row>
    <row r="86" spans="2:18" s="2353" customFormat="1">
      <c r="B86" s="2377"/>
      <c r="C86" s="2377"/>
      <c r="D86" s="2377"/>
      <c r="E86" s="2377"/>
      <c r="F86" s="2377"/>
      <c r="G86" s="2378"/>
      <c r="H86" s="2377"/>
      <c r="I86" s="2378"/>
      <c r="J86" s="2377"/>
      <c r="K86" s="2377"/>
      <c r="L86" s="2378"/>
      <c r="M86" s="2377"/>
      <c r="N86" s="2377"/>
      <c r="O86" s="2378"/>
      <c r="P86" s="2377"/>
      <c r="Q86" s="2377"/>
      <c r="R86" s="2379"/>
    </row>
    <row r="87" spans="2:18" s="2353" customFormat="1">
      <c r="B87" s="2377"/>
      <c r="C87" s="2377"/>
      <c r="D87" s="2377"/>
      <c r="E87" s="2377"/>
      <c r="F87" s="2377"/>
      <c r="G87" s="2378"/>
      <c r="H87" s="2377"/>
      <c r="I87" s="2378"/>
      <c r="J87" s="2377"/>
      <c r="K87" s="2377"/>
      <c r="L87" s="2378"/>
      <c r="M87" s="2377"/>
      <c r="N87" s="2377"/>
      <c r="O87" s="2378"/>
      <c r="P87" s="2377"/>
      <c r="Q87" s="2377"/>
      <c r="R87" s="2379"/>
    </row>
    <row r="88" spans="2:18" s="2353" customFormat="1">
      <c r="B88" s="2377"/>
      <c r="C88" s="2377"/>
      <c r="D88" s="2377"/>
      <c r="E88" s="2377"/>
      <c r="F88" s="2377"/>
      <c r="G88" s="2378"/>
      <c r="H88" s="2377"/>
      <c r="I88" s="2378"/>
      <c r="J88" s="2377"/>
      <c r="K88" s="2377"/>
      <c r="L88" s="2378"/>
      <c r="M88" s="2377"/>
      <c r="N88" s="2377"/>
      <c r="O88" s="2378"/>
      <c r="P88" s="2377"/>
      <c r="Q88" s="2377"/>
      <c r="R88" s="2379"/>
    </row>
    <row r="89" spans="2:18" s="2353" customFormat="1">
      <c r="B89" s="2377"/>
      <c r="C89" s="2377"/>
      <c r="D89" s="2377"/>
      <c r="E89" s="2377"/>
      <c r="F89" s="2377"/>
      <c r="G89" s="2378"/>
      <c r="H89" s="2377"/>
      <c r="I89" s="2378"/>
      <c r="J89" s="2377"/>
      <c r="K89" s="2377"/>
      <c r="L89" s="2378"/>
      <c r="M89" s="2377"/>
      <c r="N89" s="2377"/>
      <c r="O89" s="2378"/>
      <c r="P89" s="2377"/>
      <c r="Q89" s="2377"/>
      <c r="R89" s="2379"/>
    </row>
    <row r="90" spans="2:18" s="2353" customFormat="1">
      <c r="B90" s="2377"/>
      <c r="C90" s="2377"/>
      <c r="D90" s="2377"/>
      <c r="E90" s="2377"/>
      <c r="F90" s="2377"/>
      <c r="G90" s="2378"/>
      <c r="H90" s="2377"/>
      <c r="I90" s="2378"/>
      <c r="J90" s="2377"/>
      <c r="K90" s="2377"/>
      <c r="L90" s="2378"/>
      <c r="M90" s="2377"/>
      <c r="N90" s="2377"/>
      <c r="O90" s="2378"/>
      <c r="P90" s="2377"/>
      <c r="Q90" s="2377"/>
      <c r="R90" s="2379"/>
    </row>
    <row r="91" spans="2:18" s="2353" customFormat="1">
      <c r="B91" s="2377"/>
      <c r="C91" s="2377"/>
      <c r="D91" s="2377"/>
      <c r="E91" s="2377"/>
      <c r="F91" s="2377"/>
      <c r="G91" s="2378"/>
      <c r="H91" s="2377"/>
      <c r="I91" s="2378"/>
      <c r="J91" s="2377"/>
      <c r="K91" s="2377"/>
      <c r="L91" s="2378"/>
      <c r="M91" s="2377"/>
      <c r="N91" s="2377"/>
      <c r="O91" s="2378"/>
      <c r="P91" s="2377"/>
      <c r="Q91" s="2377"/>
      <c r="R91" s="2379"/>
    </row>
    <row r="92" spans="2:18" s="2353" customFormat="1">
      <c r="B92" s="2377"/>
      <c r="C92" s="2377"/>
      <c r="D92" s="2377"/>
      <c r="E92" s="2377"/>
      <c r="F92" s="2377"/>
      <c r="G92" s="2378"/>
      <c r="H92" s="2377"/>
      <c r="I92" s="2378"/>
      <c r="J92" s="2377"/>
      <c r="K92" s="2377"/>
      <c r="L92" s="2378"/>
      <c r="M92" s="2377"/>
      <c r="N92" s="2377"/>
      <c r="O92" s="2378"/>
      <c r="P92" s="2377"/>
      <c r="Q92" s="2377"/>
      <c r="R92" s="2379"/>
    </row>
    <row r="93" spans="2:18" s="2353" customFormat="1">
      <c r="B93" s="2377"/>
      <c r="C93" s="2377"/>
      <c r="D93" s="2377"/>
      <c r="E93" s="2377"/>
      <c r="F93" s="2377"/>
      <c r="G93" s="2378"/>
      <c r="H93" s="2377"/>
      <c r="I93" s="2378"/>
      <c r="J93" s="2377"/>
      <c r="K93" s="2377"/>
      <c r="L93" s="2378"/>
      <c r="M93" s="2377"/>
      <c r="N93" s="2377"/>
      <c r="O93" s="2378"/>
      <c r="P93" s="2377"/>
      <c r="Q93" s="2377"/>
      <c r="R93" s="2379"/>
    </row>
    <row r="94" spans="2:18" s="2353" customFormat="1">
      <c r="B94" s="2377"/>
      <c r="C94" s="2377"/>
      <c r="D94" s="2377"/>
      <c r="E94" s="2377"/>
      <c r="F94" s="2377"/>
      <c r="G94" s="2378"/>
      <c r="H94" s="2377"/>
      <c r="I94" s="2378"/>
      <c r="J94" s="2377"/>
      <c r="K94" s="2377"/>
      <c r="L94" s="2378"/>
      <c r="M94" s="2377"/>
      <c r="N94" s="2377"/>
      <c r="O94" s="2378"/>
      <c r="P94" s="2377"/>
      <c r="Q94" s="2377"/>
      <c r="R94" s="2379"/>
    </row>
    <row r="95" spans="2:18" s="2353" customFormat="1">
      <c r="B95" s="2377"/>
      <c r="C95" s="2377"/>
      <c r="D95" s="2377"/>
      <c r="E95" s="2377"/>
      <c r="F95" s="2377"/>
      <c r="G95" s="2378"/>
      <c r="H95" s="2377"/>
      <c r="I95" s="2378"/>
      <c r="J95" s="2377"/>
      <c r="K95" s="2377"/>
      <c r="L95" s="2378"/>
      <c r="M95" s="2377"/>
      <c r="N95" s="2377"/>
      <c r="O95" s="2378"/>
      <c r="P95" s="2377"/>
      <c r="Q95" s="2377"/>
      <c r="R95" s="2379"/>
    </row>
    <row r="96" spans="2:18" s="2353" customFormat="1">
      <c r="B96" s="2377"/>
      <c r="C96" s="2377"/>
      <c r="D96" s="2377"/>
      <c r="E96" s="2377"/>
      <c r="F96" s="2377"/>
      <c r="G96" s="2378"/>
      <c r="H96" s="2377"/>
      <c r="I96" s="2378"/>
      <c r="J96" s="2377"/>
      <c r="K96" s="2377"/>
      <c r="L96" s="2378"/>
      <c r="M96" s="2377"/>
      <c r="N96" s="2377"/>
      <c r="O96" s="2378"/>
      <c r="P96" s="2377"/>
      <c r="Q96" s="2377"/>
      <c r="R96" s="2379"/>
    </row>
    <row r="97" spans="2:18" s="2353" customFormat="1">
      <c r="B97" s="2377"/>
      <c r="C97" s="2377"/>
      <c r="D97" s="2377"/>
      <c r="E97" s="2377"/>
      <c r="F97" s="2377"/>
      <c r="G97" s="2378"/>
      <c r="H97" s="2377"/>
      <c r="I97" s="2378"/>
      <c r="J97" s="2377"/>
      <c r="K97" s="2377"/>
      <c r="L97" s="2378"/>
      <c r="M97" s="2377"/>
      <c r="N97" s="2377"/>
      <c r="O97" s="2378"/>
      <c r="P97" s="2377"/>
      <c r="Q97" s="2377"/>
      <c r="R97" s="2379"/>
    </row>
    <row r="98" spans="2:18" s="2353" customFormat="1">
      <c r="B98" s="2377"/>
      <c r="C98" s="2377"/>
      <c r="D98" s="2377"/>
      <c r="E98" s="2377"/>
      <c r="F98" s="2377"/>
      <c r="G98" s="2378"/>
      <c r="H98" s="2377"/>
      <c r="I98" s="2378"/>
      <c r="J98" s="2377"/>
      <c r="K98" s="2377"/>
      <c r="L98" s="2378"/>
      <c r="M98" s="2377"/>
      <c r="N98" s="2377"/>
      <c r="O98" s="2378"/>
      <c r="P98" s="2377"/>
      <c r="Q98" s="2377"/>
      <c r="R98" s="2379"/>
    </row>
    <row r="99" spans="2:18" s="2353" customFormat="1">
      <c r="B99" s="2377"/>
      <c r="C99" s="2377"/>
      <c r="D99" s="2377"/>
      <c r="E99" s="2377"/>
      <c r="F99" s="2377"/>
      <c r="G99" s="2378"/>
      <c r="H99" s="2377"/>
      <c r="I99" s="2378"/>
      <c r="J99" s="2377"/>
      <c r="K99" s="2377"/>
      <c r="L99" s="2378"/>
      <c r="M99" s="2377"/>
      <c r="N99" s="2377"/>
      <c r="O99" s="2378"/>
      <c r="P99" s="2377"/>
      <c r="Q99" s="2377"/>
      <c r="R99" s="2379"/>
    </row>
    <row r="100" spans="2:18" s="2353" customFormat="1">
      <c r="B100" s="2377"/>
      <c r="C100" s="2377"/>
      <c r="D100" s="2377"/>
      <c r="E100" s="2377"/>
      <c r="F100" s="2377"/>
      <c r="G100" s="2378"/>
      <c r="H100" s="2377"/>
      <c r="I100" s="2378"/>
      <c r="J100" s="2377"/>
      <c r="K100" s="2377"/>
      <c r="L100" s="2378"/>
      <c r="M100" s="2377"/>
      <c r="N100" s="2377"/>
      <c r="O100" s="2378"/>
      <c r="P100" s="2377"/>
      <c r="Q100" s="2377"/>
      <c r="R100" s="2379"/>
    </row>
    <row r="101" spans="2:18" s="2353" customFormat="1">
      <c r="B101" s="2377"/>
      <c r="C101" s="2377"/>
      <c r="D101" s="2377"/>
      <c r="E101" s="2377"/>
      <c r="F101" s="2377"/>
      <c r="G101" s="2378"/>
      <c r="H101" s="2377"/>
      <c r="I101" s="2378"/>
      <c r="J101" s="2377"/>
      <c r="K101" s="2377"/>
      <c r="L101" s="2378"/>
      <c r="M101" s="2377"/>
      <c r="N101" s="2377"/>
      <c r="O101" s="2378"/>
      <c r="P101" s="2377"/>
      <c r="Q101" s="2377"/>
      <c r="R101" s="2379"/>
    </row>
    <row r="102" spans="2:18" s="2353" customFormat="1">
      <c r="B102" s="2377"/>
      <c r="C102" s="2377"/>
      <c r="D102" s="2377"/>
      <c r="E102" s="2377"/>
      <c r="F102" s="2377"/>
      <c r="G102" s="2378"/>
      <c r="H102" s="2377"/>
      <c r="I102" s="2378"/>
      <c r="J102" s="2377"/>
      <c r="K102" s="2377"/>
      <c r="L102" s="2378"/>
      <c r="M102" s="2377"/>
      <c r="N102" s="2377"/>
      <c r="O102" s="2378"/>
      <c r="P102" s="2377"/>
      <c r="Q102" s="2377"/>
      <c r="R102" s="2379"/>
    </row>
    <row r="103" spans="2:18" s="2353" customFormat="1">
      <c r="B103" s="2377"/>
      <c r="C103" s="2377"/>
      <c r="D103" s="2377"/>
      <c r="E103" s="2377"/>
      <c r="F103" s="2377"/>
      <c r="G103" s="2378"/>
      <c r="H103" s="2377"/>
      <c r="I103" s="2378"/>
      <c r="J103" s="2377"/>
      <c r="K103" s="2377"/>
      <c r="L103" s="2378"/>
      <c r="M103" s="2377"/>
      <c r="N103" s="2377"/>
      <c r="O103" s="2378"/>
      <c r="P103" s="2377"/>
      <c r="Q103" s="2377"/>
      <c r="R103" s="2379"/>
    </row>
    <row r="104" spans="2:18" s="2353" customFormat="1">
      <c r="B104" s="2377"/>
      <c r="C104" s="2377"/>
      <c r="D104" s="2377"/>
      <c r="E104" s="2377"/>
      <c r="F104" s="2377"/>
      <c r="G104" s="2378"/>
      <c r="H104" s="2377"/>
      <c r="I104" s="2378"/>
      <c r="J104" s="2377"/>
      <c r="K104" s="2377"/>
      <c r="L104" s="2378"/>
      <c r="M104" s="2377"/>
      <c r="N104" s="2377"/>
      <c r="O104" s="2378"/>
      <c r="P104" s="2377"/>
      <c r="Q104" s="2377"/>
      <c r="R104" s="2379"/>
    </row>
    <row r="105" spans="2:18" s="2353" customFormat="1">
      <c r="B105" s="2377"/>
      <c r="C105" s="2377"/>
      <c r="D105" s="2377"/>
      <c r="E105" s="2377"/>
      <c r="F105" s="2377"/>
      <c r="G105" s="2378"/>
      <c r="H105" s="2377"/>
      <c r="I105" s="2378"/>
      <c r="J105" s="2377"/>
      <c r="K105" s="2377"/>
      <c r="L105" s="2378"/>
      <c r="M105" s="2377"/>
      <c r="N105" s="2377"/>
      <c r="O105" s="2378"/>
      <c r="P105" s="2377"/>
      <c r="Q105" s="2377"/>
      <c r="R105" s="2379"/>
    </row>
    <row r="106" spans="2:18" s="2353" customFormat="1">
      <c r="B106" s="2377"/>
      <c r="C106" s="2377"/>
      <c r="D106" s="2377"/>
      <c r="E106" s="2377"/>
      <c r="F106" s="2377"/>
      <c r="G106" s="2378"/>
      <c r="H106" s="2377"/>
      <c r="I106" s="2378"/>
      <c r="J106" s="2377"/>
      <c r="K106" s="2377"/>
      <c r="L106" s="2378"/>
      <c r="M106" s="2377"/>
      <c r="N106" s="2377"/>
      <c r="O106" s="2378"/>
      <c r="P106" s="2377"/>
      <c r="Q106" s="2377"/>
      <c r="R106" s="2379"/>
    </row>
    <row r="107" spans="2:18" s="2353" customFormat="1">
      <c r="B107" s="2377"/>
      <c r="C107" s="2377"/>
      <c r="D107" s="2377"/>
      <c r="E107" s="2377"/>
      <c r="F107" s="2377"/>
      <c r="G107" s="2378"/>
      <c r="H107" s="2377"/>
      <c r="I107" s="2378"/>
      <c r="J107" s="2377"/>
      <c r="K107" s="2377"/>
      <c r="L107" s="2378"/>
      <c r="M107" s="2377"/>
      <c r="N107" s="2377"/>
      <c r="O107" s="2378"/>
      <c r="P107" s="2377"/>
      <c r="Q107" s="2377"/>
      <c r="R107" s="2379"/>
    </row>
    <row r="108" spans="2:18" s="2353" customFormat="1">
      <c r="B108" s="2377"/>
      <c r="C108" s="2377"/>
      <c r="D108" s="2377"/>
      <c r="E108" s="2377"/>
      <c r="F108" s="2377"/>
      <c r="G108" s="2378"/>
      <c r="H108" s="2377"/>
      <c r="I108" s="2378"/>
      <c r="J108" s="2377"/>
      <c r="K108" s="2377"/>
      <c r="L108" s="2378"/>
      <c r="M108" s="2377"/>
      <c r="N108" s="2377"/>
      <c r="O108" s="2378"/>
      <c r="P108" s="2377"/>
      <c r="Q108" s="2377"/>
      <c r="R108" s="2379"/>
    </row>
    <row r="109" spans="2:18" s="2353" customFormat="1">
      <c r="B109" s="2377"/>
      <c r="C109" s="2377"/>
      <c r="D109" s="2377"/>
      <c r="E109" s="2377"/>
      <c r="F109" s="2377"/>
      <c r="G109" s="2378"/>
      <c r="H109" s="2377"/>
      <c r="I109" s="2378"/>
      <c r="J109" s="2377"/>
      <c r="K109" s="2377"/>
      <c r="L109" s="2378"/>
      <c r="M109" s="2377"/>
      <c r="N109" s="2377"/>
      <c r="O109" s="2378"/>
      <c r="P109" s="2377"/>
      <c r="Q109" s="2377"/>
      <c r="R109" s="2379"/>
    </row>
    <row r="110" spans="2:18" s="2353" customFormat="1">
      <c r="B110" s="2377"/>
      <c r="C110" s="2377"/>
      <c r="D110" s="2377"/>
      <c r="E110" s="2377"/>
      <c r="F110" s="2377"/>
      <c r="G110" s="2378"/>
      <c r="H110" s="2377"/>
      <c r="I110" s="2378"/>
      <c r="J110" s="2377"/>
      <c r="K110" s="2377"/>
      <c r="L110" s="2378"/>
      <c r="M110" s="2377"/>
      <c r="N110" s="2377"/>
      <c r="O110" s="2378"/>
      <c r="P110" s="2377"/>
      <c r="Q110" s="2377"/>
      <c r="R110" s="2379"/>
    </row>
    <row r="111" spans="2:18" s="2353" customFormat="1">
      <c r="B111" s="2377"/>
      <c r="C111" s="2377"/>
      <c r="D111" s="2377"/>
      <c r="E111" s="2377"/>
      <c r="F111" s="2377"/>
      <c r="G111" s="2378"/>
      <c r="H111" s="2377"/>
      <c r="I111" s="2378"/>
      <c r="J111" s="2377"/>
      <c r="K111" s="2377"/>
      <c r="L111" s="2378"/>
      <c r="M111" s="2377"/>
      <c r="N111" s="2377"/>
      <c r="O111" s="2378"/>
      <c r="P111" s="2377"/>
      <c r="Q111" s="2377"/>
      <c r="R111" s="2379"/>
    </row>
    <row r="112" spans="2:18" s="2353" customFormat="1">
      <c r="B112" s="2377"/>
      <c r="C112" s="2377"/>
      <c r="D112" s="2377"/>
      <c r="E112" s="2377"/>
      <c r="F112" s="2377"/>
      <c r="G112" s="2378"/>
      <c r="H112" s="2377"/>
      <c r="I112" s="2378"/>
      <c r="J112" s="2377"/>
      <c r="K112" s="2377"/>
      <c r="L112" s="2378"/>
      <c r="M112" s="2377"/>
      <c r="N112" s="2377"/>
      <c r="O112" s="2378"/>
      <c r="P112" s="2377"/>
      <c r="Q112" s="2377"/>
      <c r="R112" s="2379"/>
    </row>
    <row r="113" spans="2:18" s="2353" customFormat="1">
      <c r="B113" s="2377"/>
      <c r="C113" s="2377"/>
      <c r="D113" s="2377"/>
      <c r="E113" s="2377"/>
      <c r="F113" s="2377"/>
      <c r="G113" s="2378"/>
      <c r="H113" s="2377"/>
      <c r="I113" s="2378"/>
      <c r="J113" s="2377"/>
      <c r="K113" s="2377"/>
      <c r="L113" s="2378"/>
      <c r="M113" s="2377"/>
      <c r="N113" s="2377"/>
      <c r="O113" s="2378"/>
      <c r="P113" s="2377"/>
      <c r="Q113" s="2377"/>
      <c r="R113" s="2379"/>
    </row>
    <row r="114" spans="2:18" s="2353" customFormat="1">
      <c r="B114" s="2377"/>
      <c r="C114" s="2377"/>
      <c r="D114" s="2377"/>
      <c r="E114" s="2377"/>
      <c r="F114" s="2377"/>
      <c r="G114" s="2378"/>
      <c r="H114" s="2377"/>
      <c r="I114" s="2378"/>
      <c r="J114" s="2377"/>
      <c r="K114" s="2377"/>
      <c r="L114" s="2378"/>
      <c r="M114" s="2377"/>
      <c r="N114" s="2377"/>
      <c r="O114" s="2378"/>
      <c r="P114" s="2377"/>
      <c r="Q114" s="2377"/>
      <c r="R114" s="2379"/>
    </row>
    <row r="115" spans="2:18" s="2353" customFormat="1">
      <c r="B115" s="2377"/>
      <c r="C115" s="2377"/>
      <c r="D115" s="2377"/>
      <c r="E115" s="2377"/>
      <c r="F115" s="2377"/>
      <c r="G115" s="2378"/>
      <c r="H115" s="2377"/>
      <c r="I115" s="2378"/>
      <c r="J115" s="2377"/>
      <c r="K115" s="2377"/>
      <c r="L115" s="2378"/>
      <c r="M115" s="2377"/>
      <c r="N115" s="2377"/>
      <c r="O115" s="2378"/>
      <c r="P115" s="2377"/>
      <c r="Q115" s="2377"/>
      <c r="R115" s="2379"/>
    </row>
    <row r="116" spans="2:18" s="2353" customFormat="1">
      <c r="B116" s="2377"/>
      <c r="C116" s="2377"/>
      <c r="D116" s="2377"/>
      <c r="E116" s="2377"/>
      <c r="F116" s="2377"/>
      <c r="G116" s="2378"/>
      <c r="H116" s="2377"/>
      <c r="I116" s="2378"/>
      <c r="J116" s="2377"/>
      <c r="K116" s="2377"/>
      <c r="L116" s="2378"/>
      <c r="M116" s="2377"/>
      <c r="N116" s="2377"/>
      <c r="O116" s="2378"/>
      <c r="P116" s="2377"/>
      <c r="Q116" s="2377"/>
      <c r="R116" s="2379"/>
    </row>
    <row r="117" spans="2:18" s="2353" customFormat="1">
      <c r="B117" s="2377"/>
      <c r="C117" s="2377"/>
      <c r="D117" s="2377"/>
      <c r="E117" s="2377"/>
      <c r="F117" s="2377"/>
      <c r="G117" s="2378"/>
      <c r="H117" s="2377"/>
      <c r="I117" s="2378"/>
      <c r="J117" s="2377"/>
      <c r="K117" s="2377"/>
      <c r="L117" s="2378"/>
      <c r="M117" s="2377"/>
      <c r="N117" s="2377"/>
      <c r="O117" s="2378"/>
      <c r="P117" s="2377"/>
      <c r="Q117" s="2377"/>
      <c r="R117" s="2379"/>
    </row>
    <row r="118" spans="2:18" s="2353" customFormat="1">
      <c r="B118" s="2377"/>
      <c r="C118" s="2377"/>
      <c r="D118" s="2377"/>
      <c r="E118" s="2377"/>
      <c r="F118" s="2377"/>
      <c r="G118" s="2378"/>
      <c r="H118" s="2377"/>
      <c r="I118" s="2378"/>
      <c r="J118" s="2377"/>
      <c r="K118" s="2377"/>
      <c r="L118" s="2378"/>
      <c r="M118" s="2377"/>
      <c r="N118" s="2377"/>
      <c r="O118" s="2378"/>
      <c r="P118" s="2377"/>
      <c r="Q118" s="2377"/>
      <c r="R118" s="2379"/>
    </row>
    <row r="119" spans="2:18" s="2353" customFormat="1">
      <c r="B119" s="2377"/>
      <c r="C119" s="2377"/>
      <c r="D119" s="2377"/>
      <c r="E119" s="2377"/>
      <c r="F119" s="2377"/>
      <c r="G119" s="2378"/>
      <c r="H119" s="2377"/>
      <c r="I119" s="2378"/>
      <c r="J119" s="2377"/>
      <c r="K119" s="2377"/>
      <c r="L119" s="2378"/>
      <c r="M119" s="2377"/>
      <c r="N119" s="2377"/>
      <c r="O119" s="2378"/>
      <c r="P119" s="2377"/>
      <c r="Q119" s="2377"/>
      <c r="R119" s="2379"/>
    </row>
    <row r="120" spans="2:18" s="2353" customFormat="1">
      <c r="B120" s="2377"/>
      <c r="C120" s="2377"/>
      <c r="D120" s="2377"/>
      <c r="E120" s="2377"/>
      <c r="F120" s="2377"/>
      <c r="G120" s="2378"/>
      <c r="H120" s="2377"/>
      <c r="I120" s="2378"/>
      <c r="J120" s="2377"/>
      <c r="K120" s="2377"/>
      <c r="L120" s="2378"/>
      <c r="M120" s="2377"/>
      <c r="N120" s="2377"/>
      <c r="O120" s="2378"/>
      <c r="P120" s="2377"/>
      <c r="Q120" s="2377"/>
      <c r="R120" s="2379"/>
    </row>
    <row r="121" spans="2:18" s="2353" customFormat="1">
      <c r="B121" s="2377"/>
      <c r="C121" s="2377"/>
      <c r="D121" s="2377"/>
      <c r="E121" s="2377"/>
      <c r="F121" s="2377"/>
      <c r="G121" s="2378"/>
      <c r="H121" s="2377"/>
      <c r="I121" s="2378"/>
      <c r="J121" s="2377"/>
      <c r="K121" s="2377"/>
      <c r="L121" s="2378"/>
      <c r="M121" s="2377"/>
      <c r="N121" s="2377"/>
      <c r="O121" s="2378"/>
      <c r="P121" s="2377"/>
      <c r="Q121" s="2377"/>
      <c r="R121" s="2379"/>
    </row>
    <row r="122" spans="2:18" s="2353" customFormat="1">
      <c r="B122" s="2377"/>
      <c r="C122" s="2377"/>
      <c r="D122" s="2377"/>
      <c r="E122" s="2377"/>
      <c r="F122" s="2377"/>
      <c r="G122" s="2378"/>
      <c r="H122" s="2377"/>
      <c r="I122" s="2378"/>
      <c r="J122" s="2377"/>
      <c r="K122" s="2377"/>
      <c r="L122" s="2378"/>
      <c r="M122" s="2377"/>
      <c r="N122" s="2377"/>
      <c r="O122" s="2378"/>
      <c r="P122" s="2377"/>
      <c r="Q122" s="2377"/>
      <c r="R122" s="2379"/>
    </row>
    <row r="123" spans="2:18" s="2353" customFormat="1">
      <c r="B123" s="2377"/>
      <c r="C123" s="2377"/>
      <c r="D123" s="2377"/>
      <c r="E123" s="2377"/>
      <c r="F123" s="2377"/>
      <c r="G123" s="2378"/>
      <c r="H123" s="2377"/>
      <c r="I123" s="2378"/>
      <c r="J123" s="2377"/>
      <c r="K123" s="2377"/>
      <c r="L123" s="2378"/>
      <c r="M123" s="2377"/>
      <c r="N123" s="2377"/>
      <c r="O123" s="2378"/>
      <c r="P123" s="2377"/>
      <c r="Q123" s="2377"/>
      <c r="R123" s="2379"/>
    </row>
    <row r="124" spans="2:18" s="2353" customFormat="1">
      <c r="B124" s="2377"/>
      <c r="C124" s="2377"/>
      <c r="D124" s="2377"/>
      <c r="E124" s="2377"/>
      <c r="F124" s="2377"/>
      <c r="G124" s="2378"/>
      <c r="H124" s="2377"/>
      <c r="I124" s="2378"/>
      <c r="J124" s="2377"/>
      <c r="K124" s="2377"/>
      <c r="L124" s="2378"/>
      <c r="M124" s="2377"/>
      <c r="N124" s="2377"/>
      <c r="O124" s="2378"/>
      <c r="P124" s="2377"/>
      <c r="Q124" s="2377"/>
      <c r="R124" s="2379"/>
    </row>
    <row r="125" spans="2:18" s="2353" customFormat="1">
      <c r="B125" s="2377"/>
      <c r="C125" s="2377"/>
      <c r="D125" s="2377"/>
      <c r="E125" s="2377"/>
      <c r="F125" s="2377"/>
      <c r="G125" s="2378"/>
      <c r="H125" s="2377"/>
      <c r="I125" s="2378"/>
      <c r="J125" s="2377"/>
      <c r="K125" s="2377"/>
      <c r="L125" s="2378"/>
      <c r="M125" s="2377"/>
      <c r="N125" s="2377"/>
      <c r="O125" s="2378"/>
      <c r="P125" s="2377"/>
      <c r="Q125" s="2377"/>
      <c r="R125" s="2379"/>
    </row>
    <row r="126" spans="2:18" s="2353" customFormat="1">
      <c r="B126" s="2377"/>
      <c r="C126" s="2377"/>
      <c r="D126" s="2377"/>
      <c r="E126" s="2377"/>
      <c r="F126" s="2377"/>
      <c r="G126" s="2378"/>
      <c r="H126" s="2377"/>
      <c r="I126" s="2378"/>
      <c r="J126" s="2377"/>
      <c r="K126" s="2377"/>
      <c r="L126" s="2378"/>
      <c r="M126" s="2377"/>
      <c r="N126" s="2377"/>
      <c r="O126" s="2378"/>
      <c r="P126" s="2377"/>
      <c r="Q126" s="2377"/>
      <c r="R126" s="2379"/>
    </row>
    <row r="127" spans="2:18" s="2353" customFormat="1">
      <c r="B127" s="2377"/>
      <c r="C127" s="2377"/>
      <c r="D127" s="2377"/>
      <c r="E127" s="2377"/>
      <c r="F127" s="2377"/>
      <c r="G127" s="2378"/>
      <c r="H127" s="2377"/>
      <c r="I127" s="2378"/>
      <c r="J127" s="2377"/>
      <c r="K127" s="2377"/>
      <c r="L127" s="2378"/>
      <c r="M127" s="2377"/>
      <c r="N127" s="2377"/>
      <c r="O127" s="2378"/>
      <c r="P127" s="2377"/>
      <c r="Q127" s="2377"/>
      <c r="R127" s="2379"/>
    </row>
    <row r="128" spans="2:18" s="2353" customFormat="1">
      <c r="B128" s="2377"/>
      <c r="C128" s="2377"/>
      <c r="D128" s="2377"/>
      <c r="E128" s="2377"/>
      <c r="F128" s="2377"/>
      <c r="G128" s="2378"/>
      <c r="H128" s="2377"/>
      <c r="I128" s="2378"/>
      <c r="J128" s="2377"/>
      <c r="K128" s="2377"/>
      <c r="L128" s="2378"/>
      <c r="M128" s="2377"/>
      <c r="N128" s="2377"/>
      <c r="O128" s="2378"/>
      <c r="P128" s="2377"/>
      <c r="Q128" s="2377"/>
      <c r="R128" s="2379"/>
    </row>
    <row r="129" spans="2:18" s="2353" customFormat="1">
      <c r="B129" s="2377"/>
      <c r="C129" s="2377"/>
      <c r="D129" s="2377"/>
      <c r="E129" s="2377"/>
      <c r="F129" s="2377"/>
      <c r="G129" s="2378"/>
      <c r="H129" s="2377"/>
      <c r="I129" s="2378"/>
      <c r="J129" s="2377"/>
      <c r="K129" s="2377"/>
      <c r="L129" s="2378"/>
      <c r="M129" s="2377"/>
      <c r="N129" s="2377"/>
      <c r="O129" s="2378"/>
      <c r="P129" s="2377"/>
      <c r="Q129" s="2377"/>
      <c r="R129" s="2379"/>
    </row>
    <row r="130" spans="2:18" s="2353" customFormat="1">
      <c r="B130" s="2377"/>
      <c r="C130" s="2377"/>
      <c r="D130" s="2377"/>
      <c r="E130" s="2377"/>
      <c r="F130" s="2377"/>
      <c r="G130" s="2378"/>
      <c r="H130" s="2377"/>
      <c r="I130" s="2378"/>
      <c r="J130" s="2377"/>
      <c r="K130" s="2377"/>
      <c r="L130" s="2378"/>
      <c r="M130" s="2377"/>
      <c r="N130" s="2377"/>
      <c r="O130" s="2378"/>
      <c r="P130" s="2377"/>
      <c r="Q130" s="2377"/>
      <c r="R130" s="2379"/>
    </row>
    <row r="131" spans="2:18" s="2353" customFormat="1">
      <c r="B131" s="2377"/>
      <c r="C131" s="2377"/>
      <c r="D131" s="2377"/>
      <c r="E131" s="2377"/>
      <c r="F131" s="2377"/>
      <c r="G131" s="2378"/>
      <c r="H131" s="2377"/>
      <c r="I131" s="2378"/>
      <c r="J131" s="2377"/>
      <c r="K131" s="2377"/>
      <c r="L131" s="2378"/>
      <c r="M131" s="2377"/>
      <c r="N131" s="2377"/>
      <c r="O131" s="2378"/>
      <c r="P131" s="2377"/>
      <c r="Q131" s="2377"/>
      <c r="R131" s="2379"/>
    </row>
    <row r="132" spans="2:18" s="2353" customFormat="1">
      <c r="B132" s="2377"/>
      <c r="C132" s="2377"/>
      <c r="D132" s="2377"/>
      <c r="E132" s="2377"/>
      <c r="F132" s="2377"/>
      <c r="G132" s="2378"/>
      <c r="H132" s="2377"/>
      <c r="I132" s="2378"/>
      <c r="J132" s="2377"/>
      <c r="K132" s="2377"/>
      <c r="L132" s="2378"/>
      <c r="M132" s="2377"/>
      <c r="N132" s="2377"/>
      <c r="O132" s="2378"/>
      <c r="P132" s="2377"/>
      <c r="Q132" s="2377"/>
      <c r="R132" s="2379"/>
    </row>
    <row r="133" spans="2:18" s="2353" customFormat="1">
      <c r="B133" s="2377"/>
      <c r="C133" s="2377"/>
      <c r="D133" s="2377"/>
      <c r="E133" s="2377"/>
      <c r="F133" s="2377"/>
      <c r="G133" s="2378"/>
      <c r="H133" s="2377"/>
      <c r="I133" s="2378"/>
      <c r="J133" s="2377"/>
      <c r="K133" s="2377"/>
      <c r="L133" s="2378"/>
      <c r="M133" s="2377"/>
      <c r="N133" s="2377"/>
      <c r="O133" s="2378"/>
      <c r="P133" s="2377"/>
      <c r="Q133" s="2377"/>
      <c r="R133" s="2379"/>
    </row>
    <row r="134" spans="2:18" s="2353" customFormat="1">
      <c r="B134" s="2377"/>
      <c r="C134" s="2377"/>
      <c r="D134" s="2377"/>
      <c r="E134" s="2377"/>
      <c r="F134" s="2377"/>
      <c r="G134" s="2378"/>
      <c r="H134" s="2377"/>
      <c r="I134" s="2378"/>
      <c r="J134" s="2377"/>
      <c r="K134" s="2377"/>
      <c r="L134" s="2378"/>
      <c r="M134" s="2377"/>
      <c r="N134" s="2377"/>
      <c r="O134" s="2378"/>
      <c r="P134" s="2377"/>
      <c r="Q134" s="2377"/>
      <c r="R134" s="2379"/>
    </row>
    <row r="135" spans="2:18" s="2353" customFormat="1">
      <c r="B135" s="2377"/>
      <c r="C135" s="2377"/>
      <c r="D135" s="2377"/>
      <c r="E135" s="2377"/>
      <c r="F135" s="2377"/>
      <c r="G135" s="2378"/>
      <c r="H135" s="2377"/>
      <c r="I135" s="2378"/>
      <c r="J135" s="2377"/>
      <c r="K135" s="2377"/>
      <c r="L135" s="2378"/>
      <c r="M135" s="2377"/>
      <c r="N135" s="2377"/>
      <c r="O135" s="2378"/>
      <c r="P135" s="2377"/>
      <c r="Q135" s="2377"/>
      <c r="R135" s="2379"/>
    </row>
    <row r="136" spans="2:18" s="2353" customFormat="1">
      <c r="B136" s="2377"/>
      <c r="C136" s="2377"/>
      <c r="D136" s="2377"/>
      <c r="E136" s="2377"/>
      <c r="F136" s="2377"/>
      <c r="G136" s="2378"/>
      <c r="H136" s="2377"/>
      <c r="I136" s="2378"/>
      <c r="J136" s="2377"/>
      <c r="K136" s="2377"/>
      <c r="L136" s="2378"/>
      <c r="M136" s="2377"/>
      <c r="N136" s="2377"/>
      <c r="O136" s="2378"/>
      <c r="P136" s="2377"/>
      <c r="Q136" s="2377"/>
      <c r="R136" s="2379"/>
    </row>
    <row r="137" spans="2:18" s="2353" customFormat="1">
      <c r="B137" s="2377"/>
      <c r="C137" s="2377"/>
      <c r="D137" s="2377"/>
      <c r="E137" s="2377"/>
      <c r="F137" s="2377"/>
      <c r="G137" s="2378"/>
      <c r="H137" s="2377"/>
      <c r="I137" s="2378"/>
      <c r="J137" s="2377"/>
      <c r="K137" s="2377"/>
      <c r="L137" s="2378"/>
      <c r="M137" s="2377"/>
      <c r="N137" s="2377"/>
      <c r="O137" s="2378"/>
      <c r="P137" s="2377"/>
      <c r="Q137" s="2377"/>
      <c r="R137" s="2379"/>
    </row>
    <row r="138" spans="2:18" s="2353" customFormat="1">
      <c r="B138" s="2377"/>
      <c r="C138" s="2377"/>
      <c r="D138" s="2377"/>
      <c r="E138" s="2377"/>
      <c r="F138" s="2377"/>
      <c r="G138" s="2378"/>
      <c r="H138" s="2377"/>
      <c r="I138" s="2378"/>
      <c r="J138" s="2377"/>
      <c r="K138" s="2377"/>
      <c r="L138" s="2378"/>
      <c r="M138" s="2377"/>
      <c r="N138" s="2377"/>
      <c r="O138" s="2378"/>
      <c r="P138" s="2377"/>
      <c r="Q138" s="2377"/>
      <c r="R138" s="2379"/>
    </row>
    <row r="139" spans="2:18" s="2353" customFormat="1">
      <c r="B139" s="2377"/>
      <c r="C139" s="2377"/>
      <c r="D139" s="2377"/>
      <c r="E139" s="2377"/>
      <c r="F139" s="2377"/>
      <c r="G139" s="2378"/>
      <c r="H139" s="2377"/>
      <c r="I139" s="2378"/>
      <c r="J139" s="2377"/>
      <c r="K139" s="2377"/>
      <c r="L139" s="2378"/>
      <c r="M139" s="2377"/>
      <c r="N139" s="2377"/>
      <c r="O139" s="2378"/>
      <c r="P139" s="2377"/>
      <c r="Q139" s="2377"/>
      <c r="R139" s="2379"/>
    </row>
    <row r="140" spans="2:18" s="2353" customFormat="1">
      <c r="B140" s="2377"/>
      <c r="C140" s="2377"/>
      <c r="D140" s="2377"/>
      <c r="E140" s="2377"/>
      <c r="F140" s="2377"/>
      <c r="G140" s="2378"/>
      <c r="H140" s="2377"/>
      <c r="I140" s="2378"/>
      <c r="J140" s="2377"/>
      <c r="K140" s="2377"/>
      <c r="L140" s="2378"/>
      <c r="M140" s="2377"/>
      <c r="N140" s="2377"/>
      <c r="O140" s="2378"/>
      <c r="P140" s="2377"/>
      <c r="Q140" s="2377"/>
      <c r="R140" s="2379"/>
    </row>
    <row r="141" spans="2:18" s="2353" customFormat="1">
      <c r="B141" s="2377"/>
      <c r="C141" s="2377"/>
      <c r="D141" s="2377"/>
      <c r="E141" s="2377"/>
      <c r="F141" s="2377"/>
      <c r="G141" s="2378"/>
      <c r="H141" s="2377"/>
      <c r="I141" s="2378"/>
      <c r="J141" s="2377"/>
      <c r="K141" s="2377"/>
      <c r="L141" s="2378"/>
      <c r="M141" s="2377"/>
      <c r="N141" s="2377"/>
      <c r="O141" s="2378"/>
      <c r="P141" s="2377"/>
      <c r="Q141" s="2377"/>
      <c r="R141" s="2379"/>
    </row>
    <row r="142" spans="2:18" s="2353" customFormat="1">
      <c r="B142" s="2377"/>
      <c r="C142" s="2377"/>
      <c r="D142" s="2377"/>
      <c r="E142" s="2377"/>
      <c r="F142" s="2377"/>
      <c r="G142" s="2378"/>
      <c r="H142" s="2377"/>
      <c r="I142" s="2378"/>
      <c r="J142" s="2377"/>
      <c r="K142" s="2377"/>
      <c r="L142" s="2378"/>
      <c r="M142" s="2377"/>
      <c r="N142" s="2377"/>
      <c r="O142" s="2378"/>
      <c r="P142" s="2377"/>
      <c r="Q142" s="2377"/>
      <c r="R142" s="2379"/>
    </row>
    <row r="143" spans="2:18" s="2353" customFormat="1">
      <c r="B143" s="2377"/>
      <c r="C143" s="2377"/>
      <c r="D143" s="2377"/>
      <c r="E143" s="2377"/>
      <c r="F143" s="2377"/>
      <c r="G143" s="2378"/>
      <c r="H143" s="2377"/>
      <c r="I143" s="2378"/>
      <c r="J143" s="2377"/>
      <c r="K143" s="2377"/>
      <c r="L143" s="2378"/>
      <c r="M143" s="2377"/>
      <c r="N143" s="2377"/>
      <c r="O143" s="2378"/>
      <c r="P143" s="2377"/>
      <c r="Q143" s="2377"/>
      <c r="R143" s="2379"/>
    </row>
    <row r="144" spans="2:18" s="2353" customFormat="1">
      <c r="B144" s="2377"/>
      <c r="C144" s="2377"/>
      <c r="D144" s="2377"/>
      <c r="E144" s="2377"/>
      <c r="F144" s="2377"/>
      <c r="G144" s="2378"/>
      <c r="H144" s="2377"/>
      <c r="I144" s="2378"/>
      <c r="J144" s="2377"/>
      <c r="K144" s="2377"/>
      <c r="L144" s="2378"/>
      <c r="M144" s="2377"/>
      <c r="N144" s="2377"/>
      <c r="O144" s="2378"/>
      <c r="P144" s="2377"/>
      <c r="Q144" s="2377"/>
      <c r="R144" s="2379"/>
    </row>
    <row r="145" spans="2:18" s="2353" customFormat="1">
      <c r="B145" s="2377"/>
      <c r="C145" s="2377"/>
      <c r="D145" s="2377"/>
      <c r="E145" s="2377"/>
      <c r="F145" s="2377"/>
      <c r="G145" s="2378"/>
      <c r="H145" s="2377"/>
      <c r="I145" s="2378"/>
      <c r="J145" s="2377"/>
      <c r="K145" s="2377"/>
      <c r="L145" s="2378"/>
      <c r="M145" s="2377"/>
      <c r="N145" s="2377"/>
      <c r="O145" s="2378"/>
      <c r="P145" s="2377"/>
      <c r="Q145" s="2377"/>
      <c r="R145" s="2379"/>
    </row>
    <row r="146" spans="2:18" s="2353" customFormat="1">
      <c r="B146" s="2377"/>
      <c r="C146" s="2377"/>
      <c r="D146" s="2377"/>
      <c r="E146" s="2377"/>
      <c r="F146" s="2377"/>
      <c r="G146" s="2378"/>
      <c r="H146" s="2377"/>
      <c r="I146" s="2378"/>
      <c r="J146" s="2377"/>
      <c r="K146" s="2377"/>
      <c r="L146" s="2378"/>
      <c r="M146" s="2377"/>
      <c r="N146" s="2377"/>
      <c r="O146" s="2378"/>
      <c r="P146" s="2377"/>
      <c r="Q146" s="2377"/>
      <c r="R146" s="2379"/>
    </row>
    <row r="147" spans="2:18" s="2353" customFormat="1">
      <c r="B147" s="2377"/>
      <c r="C147" s="2377"/>
      <c r="D147" s="2377"/>
      <c r="E147" s="2377"/>
      <c r="F147" s="2377"/>
      <c r="G147" s="2378"/>
      <c r="H147" s="2377"/>
      <c r="I147" s="2378"/>
      <c r="J147" s="2377"/>
      <c r="K147" s="2377"/>
      <c r="L147" s="2378"/>
      <c r="M147" s="2377"/>
      <c r="N147" s="2377"/>
      <c r="O147" s="2378"/>
      <c r="P147" s="2377"/>
      <c r="Q147" s="2377"/>
      <c r="R147" s="2379"/>
    </row>
    <row r="148" spans="2:18" s="2353" customFormat="1">
      <c r="B148" s="2377"/>
      <c r="C148" s="2377"/>
      <c r="D148" s="2377"/>
      <c r="E148" s="2377"/>
      <c r="F148" s="2377"/>
      <c r="G148" s="2378"/>
      <c r="H148" s="2377"/>
      <c r="I148" s="2378"/>
      <c r="J148" s="2377"/>
      <c r="K148" s="2377"/>
      <c r="L148" s="2378"/>
      <c r="M148" s="2377"/>
      <c r="N148" s="2377"/>
      <c r="O148" s="2378"/>
      <c r="P148" s="2377"/>
      <c r="Q148" s="2377"/>
      <c r="R148" s="2379"/>
    </row>
    <row r="149" spans="2:18" s="2353" customFormat="1">
      <c r="B149" s="2377"/>
      <c r="C149" s="2377"/>
      <c r="D149" s="2377"/>
      <c r="E149" s="2377"/>
      <c r="F149" s="2377"/>
      <c r="G149" s="2378"/>
      <c r="H149" s="2377"/>
      <c r="I149" s="2378"/>
      <c r="J149" s="2377"/>
      <c r="K149" s="2377"/>
      <c r="L149" s="2378"/>
      <c r="M149" s="2377"/>
      <c r="N149" s="2377"/>
      <c r="O149" s="2378"/>
      <c r="P149" s="2377"/>
      <c r="Q149" s="2377"/>
      <c r="R149" s="2379"/>
    </row>
    <row r="150" spans="2:18" s="2353" customFormat="1">
      <c r="B150" s="2377"/>
      <c r="C150" s="2377"/>
      <c r="D150" s="2377"/>
      <c r="E150" s="2377"/>
      <c r="F150" s="2377"/>
      <c r="G150" s="2378"/>
      <c r="H150" s="2377"/>
      <c r="I150" s="2378"/>
      <c r="J150" s="2377"/>
      <c r="K150" s="2377"/>
      <c r="L150" s="2378"/>
      <c r="M150" s="2377"/>
      <c r="N150" s="2377"/>
      <c r="O150" s="2378"/>
      <c r="P150" s="2377"/>
      <c r="Q150" s="2377"/>
      <c r="R150" s="2379"/>
    </row>
    <row r="151" spans="2:18" s="2353" customFormat="1">
      <c r="B151" s="2377"/>
      <c r="C151" s="2377"/>
      <c r="D151" s="2377"/>
      <c r="E151" s="2377"/>
      <c r="F151" s="2377"/>
      <c r="G151" s="2378"/>
      <c r="H151" s="2377"/>
      <c r="I151" s="2378"/>
      <c r="J151" s="2377"/>
      <c r="K151" s="2377"/>
      <c r="L151" s="2378"/>
      <c r="M151" s="2377"/>
      <c r="N151" s="2377"/>
      <c r="O151" s="2378"/>
      <c r="P151" s="2377"/>
      <c r="Q151" s="2377"/>
      <c r="R151" s="2379"/>
    </row>
    <row r="152" spans="2:18" s="2353" customFormat="1">
      <c r="B152" s="2377"/>
      <c r="C152" s="2377"/>
      <c r="D152" s="2377"/>
      <c r="E152" s="2377"/>
      <c r="F152" s="2377"/>
      <c r="G152" s="2378"/>
      <c r="H152" s="2377"/>
      <c r="I152" s="2378"/>
      <c r="J152" s="2377"/>
      <c r="K152" s="2377"/>
      <c r="L152" s="2378"/>
      <c r="M152" s="2377"/>
      <c r="N152" s="2377"/>
      <c r="O152" s="2378"/>
      <c r="P152" s="2377"/>
      <c r="Q152" s="2377"/>
      <c r="R152" s="2379"/>
    </row>
    <row r="153" spans="2:18" s="2353" customFormat="1">
      <c r="B153" s="2377"/>
      <c r="C153" s="2377"/>
      <c r="D153" s="2377"/>
      <c r="E153" s="2377"/>
      <c r="F153" s="2377"/>
      <c r="G153" s="2378"/>
      <c r="H153" s="2377"/>
      <c r="I153" s="2378"/>
      <c r="J153" s="2377"/>
      <c r="K153" s="2377"/>
      <c r="L153" s="2378"/>
      <c r="M153" s="2377"/>
      <c r="N153" s="2377"/>
      <c r="O153" s="2378"/>
      <c r="P153" s="2377"/>
      <c r="Q153" s="2377"/>
      <c r="R153" s="2379"/>
    </row>
    <row r="154" spans="2:18" s="2353" customFormat="1">
      <c r="B154" s="2377"/>
      <c r="C154" s="2377"/>
      <c r="D154" s="2377"/>
      <c r="E154" s="2377"/>
      <c r="F154" s="2377"/>
      <c r="G154" s="2378"/>
      <c r="H154" s="2377"/>
      <c r="I154" s="2378"/>
      <c r="J154" s="2377"/>
      <c r="K154" s="2377"/>
      <c r="L154" s="2378"/>
      <c r="M154" s="2377"/>
      <c r="N154" s="2377"/>
      <c r="O154" s="2378"/>
      <c r="P154" s="2377"/>
      <c r="Q154" s="2377"/>
      <c r="R154" s="2379"/>
    </row>
    <row r="155" spans="2:18" s="2353" customFormat="1">
      <c r="B155" s="2377"/>
      <c r="C155" s="2377"/>
      <c r="D155" s="2377"/>
      <c r="E155" s="2377"/>
      <c r="F155" s="2377"/>
      <c r="G155" s="2378"/>
      <c r="H155" s="2377"/>
      <c r="I155" s="2378"/>
      <c r="J155" s="2377"/>
      <c r="K155" s="2377"/>
      <c r="L155" s="2378"/>
      <c r="M155" s="2377"/>
      <c r="N155" s="2377"/>
      <c r="O155" s="2378"/>
      <c r="P155" s="2377"/>
      <c r="Q155" s="2377"/>
      <c r="R155" s="2379"/>
    </row>
    <row r="156" spans="2:18" s="2353" customFormat="1">
      <c r="B156" s="2377"/>
      <c r="C156" s="2377"/>
      <c r="D156" s="2377"/>
      <c r="E156" s="2377"/>
      <c r="F156" s="2377"/>
      <c r="G156" s="2378"/>
      <c r="H156" s="2377"/>
      <c r="I156" s="2378"/>
      <c r="J156" s="2377"/>
      <c r="K156" s="2377"/>
      <c r="L156" s="2378"/>
      <c r="M156" s="2377"/>
      <c r="N156" s="2377"/>
      <c r="O156" s="2378"/>
      <c r="P156" s="2377"/>
      <c r="Q156" s="2377"/>
      <c r="R156" s="2379"/>
    </row>
    <row r="157" spans="2:18" s="2353" customFormat="1">
      <c r="B157" s="2377"/>
      <c r="C157" s="2377"/>
      <c r="D157" s="2377"/>
      <c r="E157" s="2377"/>
      <c r="F157" s="2377"/>
      <c r="G157" s="2378"/>
      <c r="H157" s="2377"/>
      <c r="I157" s="2378"/>
      <c r="J157" s="2377"/>
      <c r="K157" s="2377"/>
      <c r="L157" s="2378"/>
      <c r="M157" s="2377"/>
      <c r="N157" s="2377"/>
      <c r="O157" s="2378"/>
      <c r="P157" s="2377"/>
      <c r="Q157" s="2377"/>
      <c r="R157" s="2379"/>
    </row>
    <row r="158" spans="2:18" s="2353" customFormat="1">
      <c r="B158" s="2377"/>
      <c r="C158" s="2377"/>
      <c r="D158" s="2377"/>
      <c r="E158" s="2377"/>
      <c r="F158" s="2377"/>
      <c r="G158" s="2378"/>
      <c r="H158" s="2377"/>
      <c r="I158" s="2378"/>
      <c r="J158" s="2377"/>
      <c r="K158" s="2377"/>
      <c r="L158" s="2378"/>
      <c r="M158" s="2377"/>
      <c r="N158" s="2377"/>
      <c r="O158" s="2378"/>
      <c r="P158" s="2377"/>
      <c r="Q158" s="2377"/>
      <c r="R158" s="2379"/>
    </row>
    <row r="159" spans="2:18" s="2353" customFormat="1">
      <c r="B159" s="2377"/>
      <c r="C159" s="2377"/>
      <c r="D159" s="2377"/>
      <c r="E159" s="2377"/>
      <c r="F159" s="2377"/>
      <c r="G159" s="2378"/>
      <c r="H159" s="2377"/>
      <c r="I159" s="2378"/>
      <c r="J159" s="2377"/>
      <c r="K159" s="2377"/>
      <c r="L159" s="2378"/>
      <c r="M159" s="2377"/>
      <c r="N159" s="2377"/>
      <c r="O159" s="2378"/>
      <c r="P159" s="2377"/>
      <c r="Q159" s="2377"/>
      <c r="R159" s="2379"/>
    </row>
    <row r="160" spans="2:18" s="2353" customFormat="1">
      <c r="B160" s="2377"/>
      <c r="C160" s="2377"/>
      <c r="D160" s="2377"/>
      <c r="E160" s="2377"/>
      <c r="F160" s="2377"/>
      <c r="G160" s="2378"/>
      <c r="H160" s="2377"/>
      <c r="I160" s="2378"/>
      <c r="J160" s="2377"/>
      <c r="K160" s="2377"/>
      <c r="L160" s="2378"/>
      <c r="M160" s="2377"/>
      <c r="N160" s="2377"/>
      <c r="O160" s="2378"/>
      <c r="P160" s="2377"/>
      <c r="Q160" s="2377"/>
      <c r="R160" s="2379"/>
    </row>
    <row r="161" spans="2:18" s="2353" customFormat="1">
      <c r="B161" s="2377"/>
      <c r="C161" s="2377"/>
      <c r="D161" s="2377"/>
      <c r="E161" s="2377"/>
      <c r="F161" s="2377"/>
      <c r="G161" s="2378"/>
      <c r="H161" s="2377"/>
      <c r="I161" s="2378"/>
      <c r="J161" s="2377"/>
      <c r="K161" s="2377"/>
      <c r="L161" s="2378"/>
      <c r="M161" s="2377"/>
      <c r="N161" s="2377"/>
      <c r="O161" s="2378"/>
      <c r="P161" s="2377"/>
      <c r="Q161" s="2377"/>
      <c r="R161" s="2379"/>
    </row>
    <row r="162" spans="2:18" s="2353" customFormat="1">
      <c r="B162" s="2377"/>
      <c r="C162" s="2377"/>
      <c r="D162" s="2377"/>
      <c r="E162" s="2377"/>
      <c r="F162" s="2377"/>
      <c r="G162" s="2378"/>
      <c r="H162" s="2377"/>
      <c r="I162" s="2378"/>
      <c r="J162" s="2377"/>
      <c r="K162" s="2377"/>
      <c r="L162" s="2378"/>
      <c r="M162" s="2377"/>
      <c r="N162" s="2377"/>
      <c r="O162" s="2378"/>
      <c r="P162" s="2377"/>
      <c r="Q162" s="2377"/>
      <c r="R162" s="2379"/>
    </row>
    <row r="163" spans="2:18" s="2353" customFormat="1">
      <c r="B163" s="2377"/>
      <c r="C163" s="2377"/>
      <c r="D163" s="2377"/>
      <c r="E163" s="2377"/>
      <c r="F163" s="2377"/>
      <c r="G163" s="2378"/>
      <c r="H163" s="2377"/>
      <c r="I163" s="2378"/>
      <c r="J163" s="2377"/>
      <c r="K163" s="2377"/>
      <c r="L163" s="2378"/>
      <c r="M163" s="2377"/>
      <c r="N163" s="2377"/>
      <c r="O163" s="2378"/>
      <c r="P163" s="2377"/>
      <c r="Q163" s="2377"/>
      <c r="R163" s="2379"/>
    </row>
    <row r="164" spans="2:18" s="2353" customFormat="1">
      <c r="B164" s="2377"/>
      <c r="C164" s="2377"/>
      <c r="D164" s="2377"/>
      <c r="E164" s="2377"/>
      <c r="F164" s="2377"/>
      <c r="G164" s="2378"/>
      <c r="H164" s="2377"/>
      <c r="I164" s="2378"/>
      <c r="J164" s="2377"/>
      <c r="K164" s="2377"/>
      <c r="L164" s="2378"/>
      <c r="M164" s="2377"/>
      <c r="N164" s="2377"/>
      <c r="O164" s="2378"/>
      <c r="P164" s="2377"/>
      <c r="Q164" s="2377"/>
      <c r="R164" s="2379"/>
    </row>
    <row r="165" spans="2:18" s="2353" customFormat="1">
      <c r="B165" s="2377"/>
      <c r="C165" s="2377"/>
      <c r="D165" s="2377"/>
      <c r="E165" s="2377"/>
      <c r="F165" s="2377"/>
      <c r="G165" s="2378"/>
      <c r="H165" s="2377"/>
      <c r="I165" s="2378"/>
      <c r="J165" s="2377"/>
      <c r="K165" s="2377"/>
      <c r="L165" s="2378"/>
      <c r="M165" s="2377"/>
      <c r="N165" s="2377"/>
      <c r="O165" s="2378"/>
      <c r="P165" s="2377"/>
      <c r="Q165" s="2377"/>
      <c r="R165" s="2379"/>
    </row>
    <row r="166" spans="2:18" s="2353" customFormat="1">
      <c r="B166" s="2377"/>
      <c r="C166" s="2377"/>
      <c r="D166" s="2377"/>
      <c r="E166" s="2377"/>
      <c r="F166" s="2377"/>
      <c r="G166" s="2378"/>
      <c r="H166" s="2377"/>
      <c r="I166" s="2378"/>
      <c r="J166" s="2377"/>
      <c r="K166" s="2377"/>
      <c r="L166" s="2378"/>
      <c r="M166" s="2377"/>
      <c r="N166" s="2377"/>
      <c r="O166" s="2378"/>
      <c r="P166" s="2377"/>
      <c r="Q166" s="2377"/>
      <c r="R166" s="2379"/>
    </row>
    <row r="167" spans="2:18" s="2353" customFormat="1">
      <c r="B167" s="2377"/>
      <c r="C167" s="2377"/>
      <c r="D167" s="2377"/>
      <c r="E167" s="2377"/>
      <c r="F167" s="2377"/>
      <c r="G167" s="2378"/>
      <c r="H167" s="2377"/>
      <c r="I167" s="2378"/>
      <c r="J167" s="2377"/>
      <c r="K167" s="2377"/>
      <c r="L167" s="2378"/>
      <c r="M167" s="2377"/>
      <c r="N167" s="2377"/>
      <c r="O167" s="2378"/>
      <c r="P167" s="2377"/>
      <c r="Q167" s="2377"/>
      <c r="R167" s="2379"/>
    </row>
    <row r="168" spans="2:18" s="2353" customFormat="1">
      <c r="B168" s="2377"/>
      <c r="C168" s="2377"/>
      <c r="D168" s="2377"/>
      <c r="E168" s="2377"/>
      <c r="F168" s="2377"/>
      <c r="G168" s="2378"/>
      <c r="H168" s="2377"/>
      <c r="I168" s="2378"/>
      <c r="J168" s="2377"/>
      <c r="K168" s="2377"/>
      <c r="L168" s="2378"/>
      <c r="M168" s="2377"/>
      <c r="N168" s="2377"/>
      <c r="O168" s="2378"/>
      <c r="P168" s="2377"/>
      <c r="Q168" s="2377"/>
      <c r="R168" s="2379"/>
    </row>
    <row r="169" spans="2:18" s="2353" customFormat="1">
      <c r="B169" s="2377"/>
      <c r="C169" s="2377"/>
      <c r="D169" s="2377"/>
      <c r="E169" s="2377"/>
      <c r="F169" s="2377"/>
      <c r="G169" s="2378"/>
      <c r="H169" s="2377"/>
      <c r="I169" s="2378"/>
      <c r="J169" s="2377"/>
      <c r="K169" s="2377"/>
      <c r="L169" s="2378"/>
      <c r="M169" s="2377"/>
      <c r="N169" s="2377"/>
      <c r="O169" s="2378"/>
      <c r="P169" s="2377"/>
      <c r="Q169" s="2377"/>
      <c r="R169" s="2379"/>
    </row>
    <row r="170" spans="2:18" s="2353" customFormat="1">
      <c r="B170" s="2377"/>
      <c r="C170" s="2377"/>
      <c r="D170" s="2377"/>
      <c r="E170" s="2377"/>
      <c r="F170" s="2377"/>
      <c r="G170" s="2378"/>
      <c r="H170" s="2377"/>
      <c r="I170" s="2378"/>
      <c r="J170" s="2377"/>
      <c r="K170" s="2377"/>
      <c r="L170" s="2378"/>
      <c r="M170" s="2377"/>
      <c r="N170" s="2377"/>
      <c r="O170" s="2378"/>
      <c r="P170" s="2377"/>
      <c r="Q170" s="2377"/>
      <c r="R170" s="2379"/>
    </row>
    <row r="171" spans="2:18" s="2353" customFormat="1">
      <c r="B171" s="2377"/>
      <c r="C171" s="2377"/>
      <c r="D171" s="2377"/>
      <c r="E171" s="2377"/>
      <c r="F171" s="2377"/>
      <c r="G171" s="2378"/>
      <c r="H171" s="2377"/>
      <c r="I171" s="2378"/>
      <c r="J171" s="2377"/>
      <c r="K171" s="2377"/>
      <c r="L171" s="2378"/>
      <c r="M171" s="2377"/>
      <c r="N171" s="2377"/>
      <c r="O171" s="2378"/>
      <c r="P171" s="2377"/>
      <c r="Q171" s="2377"/>
      <c r="R171" s="2379"/>
    </row>
    <row r="172" spans="2:18" s="2353" customFormat="1">
      <c r="B172" s="2377"/>
      <c r="C172" s="2377"/>
      <c r="D172" s="2377"/>
      <c r="E172" s="2377"/>
      <c r="F172" s="2377"/>
      <c r="G172" s="2378"/>
      <c r="H172" s="2377"/>
      <c r="I172" s="2378"/>
      <c r="J172" s="2377"/>
      <c r="K172" s="2377"/>
      <c r="L172" s="2378"/>
      <c r="M172" s="2377"/>
      <c r="N172" s="2377"/>
      <c r="O172" s="2378"/>
      <c r="P172" s="2377"/>
      <c r="Q172" s="2377"/>
      <c r="R172" s="2379"/>
    </row>
    <row r="173" spans="2:18" s="2353" customFormat="1">
      <c r="B173" s="2377"/>
      <c r="C173" s="2377"/>
      <c r="D173" s="2377"/>
      <c r="E173" s="2377"/>
      <c r="F173" s="2377"/>
      <c r="G173" s="2378"/>
      <c r="H173" s="2377"/>
      <c r="I173" s="2378"/>
      <c r="J173" s="2377"/>
      <c r="K173" s="2377"/>
      <c r="L173" s="2378"/>
      <c r="M173" s="2377"/>
      <c r="N173" s="2377"/>
      <c r="O173" s="2378"/>
      <c r="P173" s="2377"/>
      <c r="Q173" s="2377"/>
      <c r="R173" s="2379"/>
    </row>
    <row r="174" spans="2:18" s="2353" customFormat="1">
      <c r="B174" s="2377"/>
      <c r="C174" s="2377"/>
      <c r="D174" s="2377"/>
      <c r="E174" s="2377"/>
      <c r="F174" s="2377"/>
      <c r="G174" s="2378"/>
      <c r="H174" s="2377"/>
      <c r="I174" s="2378"/>
      <c r="J174" s="2377"/>
      <c r="K174" s="2377"/>
      <c r="L174" s="2378"/>
      <c r="M174" s="2377"/>
      <c r="N174" s="2377"/>
      <c r="O174" s="2378"/>
      <c r="P174" s="2377"/>
      <c r="Q174" s="2377"/>
      <c r="R174" s="2379"/>
    </row>
    <row r="175" spans="2:18" s="2353" customFormat="1">
      <c r="B175" s="2377"/>
      <c r="C175" s="2377"/>
      <c r="D175" s="2377"/>
      <c r="E175" s="2377"/>
      <c r="F175" s="2377"/>
      <c r="G175" s="2378"/>
      <c r="H175" s="2377"/>
      <c r="I175" s="2378"/>
      <c r="J175" s="2377"/>
      <c r="K175" s="2377"/>
      <c r="L175" s="2378"/>
      <c r="M175" s="2377"/>
      <c r="N175" s="2377"/>
      <c r="O175" s="2378"/>
      <c r="P175" s="2377"/>
      <c r="Q175" s="2377"/>
      <c r="R175" s="2379"/>
    </row>
    <row r="176" spans="2:18" s="2353" customFormat="1">
      <c r="B176" s="2377"/>
      <c r="C176" s="2377"/>
      <c r="D176" s="2377"/>
      <c r="E176" s="2377"/>
      <c r="F176" s="2377"/>
      <c r="G176" s="2378"/>
      <c r="H176" s="2377"/>
      <c r="I176" s="2378"/>
      <c r="J176" s="2377"/>
      <c r="K176" s="2377"/>
      <c r="L176" s="2378"/>
      <c r="M176" s="2377"/>
      <c r="N176" s="2377"/>
      <c r="O176" s="2378"/>
      <c r="P176" s="2377"/>
      <c r="Q176" s="2377"/>
      <c r="R176" s="2379"/>
    </row>
    <row r="177" spans="1:18" s="2353" customFormat="1">
      <c r="B177" s="2377"/>
      <c r="C177" s="2377"/>
      <c r="D177" s="2377"/>
      <c r="E177" s="2377"/>
      <c r="F177" s="2377"/>
      <c r="G177" s="2378"/>
      <c r="H177" s="2377"/>
      <c r="I177" s="2378"/>
      <c r="J177" s="2377"/>
      <c r="K177" s="2377"/>
      <c r="L177" s="2378"/>
      <c r="M177" s="2377"/>
      <c r="N177" s="2377"/>
      <c r="O177" s="2378"/>
      <c r="P177" s="2377"/>
      <c r="Q177" s="2377"/>
      <c r="R177" s="2379"/>
    </row>
    <row r="178" spans="1:18" s="2353" customFormat="1">
      <c r="B178" s="2377"/>
      <c r="C178" s="2377"/>
      <c r="D178" s="2377"/>
      <c r="E178" s="2377"/>
      <c r="F178" s="2377"/>
      <c r="G178" s="2378"/>
      <c r="H178" s="2377"/>
      <c r="I178" s="2378"/>
      <c r="J178" s="2377"/>
      <c r="K178" s="2377"/>
      <c r="L178" s="2378"/>
      <c r="M178" s="2377"/>
      <c r="N178" s="2377"/>
      <c r="O178" s="2378"/>
      <c r="P178" s="2377"/>
      <c r="Q178" s="2377"/>
      <c r="R178" s="2379"/>
    </row>
    <row r="179" spans="1:18" s="2353" customFormat="1">
      <c r="B179" s="2377"/>
      <c r="C179" s="2377"/>
      <c r="D179" s="2377"/>
      <c r="E179" s="2377"/>
      <c r="F179" s="2377"/>
      <c r="G179" s="2378"/>
      <c r="H179" s="2377"/>
      <c r="I179" s="2378"/>
      <c r="J179" s="2377"/>
      <c r="K179" s="2377"/>
      <c r="L179" s="2378"/>
      <c r="M179" s="2377"/>
      <c r="N179" s="2377"/>
      <c r="O179" s="2378"/>
      <c r="P179" s="2377"/>
      <c r="Q179" s="2377"/>
      <c r="R179" s="2379"/>
    </row>
    <row r="180" spans="1:18" s="2353" customFormat="1">
      <c r="B180" s="2377"/>
      <c r="C180" s="2377"/>
      <c r="D180" s="2377"/>
      <c r="E180" s="2377"/>
      <c r="F180" s="2377"/>
      <c r="G180" s="2378"/>
      <c r="H180" s="2377"/>
      <c r="I180" s="2378"/>
      <c r="J180" s="2377"/>
      <c r="K180" s="2377"/>
      <c r="L180" s="2378"/>
      <c r="M180" s="2377"/>
      <c r="N180" s="2377"/>
      <c r="O180" s="2378"/>
      <c r="P180" s="2377"/>
      <c r="Q180" s="2377"/>
      <c r="R180" s="2379"/>
    </row>
    <row r="181" spans="1:18" s="2353" customFormat="1">
      <c r="B181" s="2377"/>
      <c r="C181" s="2377"/>
      <c r="D181" s="2377"/>
      <c r="E181" s="2377"/>
      <c r="F181" s="2377"/>
      <c r="G181" s="2378"/>
      <c r="H181" s="2377"/>
      <c r="I181" s="2378"/>
      <c r="J181" s="2377"/>
      <c r="K181" s="2377"/>
      <c r="L181" s="2378"/>
      <c r="M181" s="2377"/>
      <c r="N181" s="2377"/>
      <c r="O181" s="2378"/>
      <c r="P181" s="2377"/>
      <c r="Q181" s="2377"/>
      <c r="R181" s="2379"/>
    </row>
    <row r="182" spans="1:18" s="2353" customFormat="1">
      <c r="B182" s="2377"/>
      <c r="C182" s="2377"/>
      <c r="D182" s="2377"/>
      <c r="E182" s="2377"/>
      <c r="F182" s="2377"/>
      <c r="G182" s="2378"/>
      <c r="H182" s="2377"/>
      <c r="I182" s="2378"/>
      <c r="J182" s="2377"/>
      <c r="K182" s="2377"/>
      <c r="L182" s="2378"/>
      <c r="M182" s="2377"/>
      <c r="N182" s="2377"/>
      <c r="O182" s="2378"/>
      <c r="P182" s="2377"/>
      <c r="Q182" s="2377"/>
      <c r="R182" s="2379"/>
    </row>
    <row r="183" spans="1:18" s="2353" customFormat="1">
      <c r="B183" s="2377"/>
      <c r="C183" s="2377"/>
      <c r="D183" s="2377"/>
      <c r="E183" s="2377"/>
      <c r="F183" s="2377"/>
      <c r="G183" s="2378"/>
      <c r="H183" s="2377"/>
      <c r="I183" s="2378"/>
      <c r="J183" s="2377"/>
      <c r="K183" s="2377"/>
      <c r="L183" s="2378"/>
      <c r="M183" s="2377"/>
      <c r="N183" s="2377"/>
      <c r="O183" s="2378"/>
      <c r="P183" s="2377"/>
      <c r="Q183" s="2377"/>
      <c r="R183" s="2379"/>
    </row>
    <row r="184" spans="1:18" s="2353" customFormat="1">
      <c r="B184" s="2377"/>
      <c r="C184" s="2377"/>
      <c r="D184" s="2377"/>
      <c r="E184" s="2377"/>
      <c r="F184" s="2377"/>
      <c r="G184" s="2378"/>
      <c r="H184" s="2377"/>
      <c r="I184" s="2378"/>
      <c r="J184" s="2377"/>
      <c r="K184" s="2377"/>
      <c r="L184" s="2378"/>
      <c r="M184" s="2377"/>
      <c r="N184" s="2377"/>
      <c r="O184" s="2378"/>
      <c r="P184" s="2377"/>
      <c r="Q184" s="2377"/>
      <c r="R184" s="2379"/>
    </row>
    <row r="185" spans="1:18" s="2353"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53"/>
      <c r="B186" s="2377"/>
      <c r="C186" s="2377"/>
      <c r="E186" s="2377"/>
      <c r="F186" s="2377"/>
      <c r="G186" s="2378"/>
    </row>
    <row r="187" spans="1:18">
      <c r="A187" s="2353"/>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31" customWidth="1"/>
    <col min="2" max="9" width="15.75" style="1731" customWidth="1"/>
    <col min="10" max="16384" width="9" style="1731"/>
  </cols>
  <sheetData>
    <row r="1" spans="1:10" ht="16.5">
      <c r="A1" s="1736" t="s">
        <v>1365</v>
      </c>
      <c r="B1" s="1736">
        <f>SUM(B14:B23)</f>
        <v>8377.9700000000012</v>
      </c>
      <c r="C1" s="1735"/>
      <c r="D1" s="1735"/>
      <c r="E1" s="1735"/>
      <c r="F1" s="1735"/>
      <c r="G1" s="1733"/>
    </row>
    <row r="2" spans="1:10" ht="16.5">
      <c r="A2" s="1736" t="s">
        <v>1353</v>
      </c>
      <c r="B2" s="1736">
        <f>SUM(C14:C23)</f>
        <v>39950.5</v>
      </c>
      <c r="C2" s="1735"/>
      <c r="D2" s="1735"/>
      <c r="E2" s="1735"/>
      <c r="F2" s="1735"/>
      <c r="G2" s="1733"/>
    </row>
    <row r="3" spans="1:10" ht="16.5">
      <c r="A3" s="1736" t="s">
        <v>1362</v>
      </c>
      <c r="B3" s="1737">
        <f>项目基本情况!D3</f>
        <v>43216</v>
      </c>
      <c r="C3" s="1735"/>
      <c r="D3" s="1735"/>
      <c r="E3" s="1735"/>
      <c r="F3" s="1735"/>
      <c r="G3" s="1733"/>
    </row>
    <row r="4" spans="1:10" ht="33">
      <c r="A4" s="1736" t="s">
        <v>1361</v>
      </c>
      <c r="B4" s="1736" t="s">
        <v>1360</v>
      </c>
      <c r="C4" s="1736" t="s">
        <v>1359</v>
      </c>
      <c r="D4" s="1736" t="s">
        <v>1358</v>
      </c>
      <c r="E4" s="1735"/>
      <c r="F4" s="1733"/>
      <c r="G4" s="1733"/>
    </row>
    <row r="5" spans="1:10" ht="16.5">
      <c r="A5" s="1736" t="s">
        <v>1357</v>
      </c>
      <c r="B5" s="1736">
        <f ca="1">SUM(D14:D23)</f>
        <v>7509</v>
      </c>
      <c r="C5" s="1736">
        <f ca="1">ROUND(B5*10000/$B$1,0)</f>
        <v>8963</v>
      </c>
      <c r="D5" s="1736">
        <f ca="1">ROUND(B5*10000/$B$2,0)</f>
        <v>1880</v>
      </c>
      <c r="E5" s="1735"/>
      <c r="F5" s="1733"/>
      <c r="G5" s="1733"/>
    </row>
    <row r="6" spans="1:10" ht="16.5">
      <c r="A6" s="1736" t="s">
        <v>1356</v>
      </c>
      <c r="B6" s="1736">
        <f>SUM(G14:G23)</f>
        <v>0</v>
      </c>
      <c r="C6" s="1736">
        <f>ROUND(B6*10000/$B$1,0)</f>
        <v>0</v>
      </c>
      <c r="D6" s="1736">
        <f>ROUND(B6*10000/$B$2,0)</f>
        <v>0</v>
      </c>
      <c r="E6" s="1735"/>
      <c r="F6" s="1733"/>
      <c r="G6" s="1733"/>
    </row>
    <row r="7" spans="1:10" ht="16.5">
      <c r="A7" s="1736" t="s">
        <v>1364</v>
      </c>
      <c r="B7" s="1736">
        <f ca="1">SUM(H14:H23)</f>
        <v>7509</v>
      </c>
      <c r="C7" s="1736">
        <f ca="1">ROUND(B7*10000/$B$1,0)</f>
        <v>8963</v>
      </c>
      <c r="D7" s="1736">
        <f ca="1">ROUND(B7*10000/$B$2,0)</f>
        <v>1880</v>
      </c>
      <c r="E7" s="1735"/>
      <c r="F7" s="1733"/>
      <c r="G7" s="1733"/>
    </row>
    <row r="8" spans="1:10" ht="16.5">
      <c r="A8" s="1736" t="s">
        <v>1285</v>
      </c>
      <c r="B8" s="1736">
        <f>SUM(I14:I23)</f>
        <v>0</v>
      </c>
      <c r="C8" s="1736">
        <f>ROUND(B8*10000/$B$1,0)</f>
        <v>0</v>
      </c>
      <c r="D8" s="1736">
        <f>ROUND(B8*10000/$B$2,0)</f>
        <v>0</v>
      </c>
      <c r="E8" s="1735"/>
      <c r="F8" s="1733"/>
      <c r="G8" s="1733"/>
    </row>
    <row r="9" spans="1:10" ht="16.5">
      <c r="A9" s="1736" t="s">
        <v>1355</v>
      </c>
      <c r="B9" s="1738"/>
      <c r="C9" s="1735"/>
      <c r="D9" s="1735"/>
      <c r="E9" s="1735"/>
      <c r="F9" s="1733"/>
      <c r="G9" s="1733"/>
    </row>
    <row r="10" spans="1:10" ht="16.5">
      <c r="A10" s="1736" t="s">
        <v>1354</v>
      </c>
      <c r="B10" s="1738"/>
      <c r="C10" s="1735"/>
      <c r="D10" s="1735"/>
      <c r="E10" s="1735"/>
      <c r="F10" s="1733"/>
      <c r="G10" s="1733"/>
    </row>
    <row r="11" spans="1:10" ht="16.5">
      <c r="A11" s="1736" t="s">
        <v>1370</v>
      </c>
      <c r="B11" s="1738"/>
      <c r="C11" s="1735"/>
      <c r="D11" s="1735"/>
      <c r="E11" s="1735"/>
      <c r="F11" s="1733"/>
      <c r="G11" s="1733"/>
    </row>
    <row r="12" spans="1:10" ht="16.5">
      <c r="A12" s="1735"/>
      <c r="B12" s="1735"/>
      <c r="C12" s="1735"/>
      <c r="D12" s="1735"/>
      <c r="E12" s="1735"/>
      <c r="F12" s="1733"/>
      <c r="G12" s="1733"/>
    </row>
    <row r="13" spans="1:10" ht="33">
      <c r="A13" s="1741" t="s">
        <v>1369</v>
      </c>
      <c r="B13" s="1734" t="s">
        <v>1366</v>
      </c>
      <c r="C13" s="1734" t="s">
        <v>1368</v>
      </c>
      <c r="D13" s="1734" t="s">
        <v>1367</v>
      </c>
      <c r="E13" s="1736" t="s">
        <v>1359</v>
      </c>
      <c r="F13" s="1736" t="s">
        <v>1358</v>
      </c>
      <c r="G13" s="1734" t="s">
        <v>1352</v>
      </c>
      <c r="H13" s="1734" t="s">
        <v>1363</v>
      </c>
      <c r="I13" s="1734" t="s">
        <v>1351</v>
      </c>
      <c r="J13" s="1733"/>
    </row>
    <row r="14" spans="1:10" ht="16.5">
      <c r="A14" s="1732" t="s">
        <v>1350</v>
      </c>
      <c r="B14" s="1734">
        <f>结果表!B118</f>
        <v>8377.9700000000012</v>
      </c>
      <c r="C14" s="1734">
        <f>结果表!C118</f>
        <v>39950.5</v>
      </c>
      <c r="D14" s="1734">
        <f ca="1">结果表!H118</f>
        <v>7509</v>
      </c>
      <c r="E14" s="1734">
        <f ca="1">ROUND(D14*10000/B14,0)</f>
        <v>8963</v>
      </c>
      <c r="F14" s="1734">
        <f ca="1">ROUND(D14*10000/C14,0)</f>
        <v>1880</v>
      </c>
      <c r="G14" s="1734" t="str">
        <f>结果表!D122</f>
        <v>——</v>
      </c>
      <c r="H14" s="1734">
        <f ca="1">结果表!D124</f>
        <v>7509</v>
      </c>
      <c r="I14" s="1734" t="str">
        <f>结果表!D126</f>
        <v>——</v>
      </c>
      <c r="J14" s="1733"/>
    </row>
    <row r="15" spans="1:10" ht="16.5">
      <c r="A15" s="1732" t="s">
        <v>1349</v>
      </c>
      <c r="B15" s="1739"/>
      <c r="C15" s="1739"/>
      <c r="D15" s="1739"/>
      <c r="E15" s="1734" t="e">
        <f t="shared" ref="E15:E23" si="0">ROUND(D15*10000/B15,0)</f>
        <v>#DIV/0!</v>
      </c>
      <c r="F15" s="1734" t="e">
        <f t="shared" ref="F15:F23" si="1">ROUND(D15*10000/C15,0)</f>
        <v>#DIV/0!</v>
      </c>
      <c r="G15" s="1740"/>
      <c r="H15" s="1740"/>
      <c r="I15" s="1739"/>
      <c r="J15" s="1733"/>
    </row>
    <row r="16" spans="1:10" ht="16.5">
      <c r="A16" s="1732" t="s">
        <v>1348</v>
      </c>
      <c r="B16" s="1739"/>
      <c r="C16" s="1739"/>
      <c r="D16" s="1739"/>
      <c r="E16" s="1734" t="e">
        <f t="shared" si="0"/>
        <v>#DIV/0!</v>
      </c>
      <c r="F16" s="1734" t="e">
        <f t="shared" si="1"/>
        <v>#DIV/0!</v>
      </c>
      <c r="G16" s="1740"/>
      <c r="H16" s="1740"/>
      <c r="I16" s="1739"/>
    </row>
    <row r="17" spans="1:9" ht="16.5">
      <c r="A17" s="1732" t="s">
        <v>1347</v>
      </c>
      <c r="B17" s="1739"/>
      <c r="C17" s="1739"/>
      <c r="D17" s="1739"/>
      <c r="E17" s="1734" t="e">
        <f t="shared" si="0"/>
        <v>#DIV/0!</v>
      </c>
      <c r="F17" s="1734" t="e">
        <f t="shared" si="1"/>
        <v>#DIV/0!</v>
      </c>
      <c r="G17" s="1740"/>
      <c r="H17" s="1740"/>
      <c r="I17" s="1739"/>
    </row>
    <row r="18" spans="1:9" ht="16.5">
      <c r="A18" s="1732" t="s">
        <v>1346</v>
      </c>
      <c r="B18" s="1739"/>
      <c r="C18" s="1739"/>
      <c r="D18" s="1739"/>
      <c r="E18" s="1734" t="e">
        <f t="shared" si="0"/>
        <v>#DIV/0!</v>
      </c>
      <c r="F18" s="1734" t="e">
        <f t="shared" si="1"/>
        <v>#DIV/0!</v>
      </c>
      <c r="G18" s="1739"/>
      <c r="H18" s="1739"/>
      <c r="I18" s="1739"/>
    </row>
    <row r="19" spans="1:9" ht="16.5">
      <c r="A19" s="1732" t="s">
        <v>1345</v>
      </c>
      <c r="B19" s="1739"/>
      <c r="C19" s="1739"/>
      <c r="D19" s="1739"/>
      <c r="E19" s="1734" t="e">
        <f t="shared" si="0"/>
        <v>#DIV/0!</v>
      </c>
      <c r="F19" s="1734" t="e">
        <f t="shared" si="1"/>
        <v>#DIV/0!</v>
      </c>
      <c r="G19" s="1739"/>
      <c r="H19" s="1739"/>
      <c r="I19" s="1739"/>
    </row>
    <row r="20" spans="1:9" ht="16.5">
      <c r="A20" s="1732" t="s">
        <v>1344</v>
      </c>
      <c r="B20" s="1739"/>
      <c r="C20" s="1739"/>
      <c r="D20" s="1739"/>
      <c r="E20" s="1734" t="e">
        <f t="shared" si="0"/>
        <v>#DIV/0!</v>
      </c>
      <c r="F20" s="1734" t="e">
        <f t="shared" si="1"/>
        <v>#DIV/0!</v>
      </c>
      <c r="G20" s="1739"/>
      <c r="H20" s="1739"/>
      <c r="I20" s="1739"/>
    </row>
    <row r="21" spans="1:9" ht="16.5">
      <c r="A21" s="1732" t="s">
        <v>1343</v>
      </c>
      <c r="B21" s="1739"/>
      <c r="C21" s="1739"/>
      <c r="D21" s="1739"/>
      <c r="E21" s="1734" t="e">
        <f t="shared" si="0"/>
        <v>#DIV/0!</v>
      </c>
      <c r="F21" s="1734" t="e">
        <f t="shared" si="1"/>
        <v>#DIV/0!</v>
      </c>
      <c r="G21" s="1739"/>
      <c r="H21" s="1739"/>
      <c r="I21" s="1739"/>
    </row>
    <row r="22" spans="1:9" ht="16.5">
      <c r="A22" s="1732" t="s">
        <v>1342</v>
      </c>
      <c r="B22" s="1739"/>
      <c r="C22" s="1739"/>
      <c r="D22" s="1739"/>
      <c r="E22" s="1734" t="e">
        <f t="shared" si="0"/>
        <v>#DIV/0!</v>
      </c>
      <c r="F22" s="1734" t="e">
        <f t="shared" si="1"/>
        <v>#DIV/0!</v>
      </c>
      <c r="G22" s="1739"/>
      <c r="H22" s="1739"/>
      <c r="I22" s="1739"/>
    </row>
    <row r="23" spans="1:9" ht="16.5">
      <c r="A23" s="1732" t="s">
        <v>1341</v>
      </c>
      <c r="B23" s="1739"/>
      <c r="C23" s="1739"/>
      <c r="D23" s="1739"/>
      <c r="E23" s="1736" t="e">
        <f t="shared" si="0"/>
        <v>#DIV/0!</v>
      </c>
      <c r="F23" s="1736" t="e">
        <f t="shared" si="1"/>
        <v>#DIV/0!</v>
      </c>
      <c r="G23" s="1739"/>
      <c r="H23" s="1739"/>
      <c r="I23" s="173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37" sqref="C37"/>
    </sheetView>
  </sheetViews>
  <sheetFormatPr defaultColWidth="12.625" defaultRowHeight="21.75" customHeight="1"/>
  <cols>
    <col min="1" max="2" width="12.625" style="2406"/>
    <col min="3" max="4" width="12.625" style="2406" customWidth="1"/>
    <col min="5" max="9" width="12.625" style="2406"/>
    <col min="10" max="11" width="12.625" style="793" customWidth="1"/>
    <col min="12" max="12" width="12.625" style="793"/>
    <col min="13" max="13" width="14.125" style="793" bestFit="1" customWidth="1"/>
    <col min="14" max="26" width="12.625" style="793"/>
    <col min="27" max="35" width="12.625" style="2405"/>
    <col min="36" max="16384" width="12.625" style="2406"/>
  </cols>
  <sheetData>
    <row r="1" spans="1:12" ht="21.75" customHeight="1" thickBot="1">
      <c r="A1" s="2211" t="s">
        <v>2105</v>
      </c>
      <c r="B1" s="2400"/>
      <c r="C1" s="2401"/>
      <c r="D1" s="2400"/>
      <c r="E1" s="2400"/>
      <c r="F1" s="2402" t="s">
        <v>2106</v>
      </c>
      <c r="G1" s="2058" t="s">
        <v>3035</v>
      </c>
      <c r="H1" s="2403" t="str">
        <f>IF(G1="现房","——","估价对象范围")</f>
        <v>——</v>
      </c>
      <c r="I1" s="2404"/>
    </row>
    <row r="2" spans="1:12" ht="21.75" customHeight="1" thickBot="1">
      <c r="A2" s="3138" t="str">
        <f>项目基本情况!S2</f>
        <v>河北省廊坊开发区全兴路50号3幢、4幢工业用房房地产</v>
      </c>
      <c r="B2" s="3139"/>
      <c r="C2" s="3139"/>
      <c r="D2" s="3139"/>
      <c r="E2" s="3139"/>
      <c r="F2" s="3139"/>
      <c r="G2" s="3139"/>
      <c r="H2" s="3139"/>
      <c r="I2" s="3140"/>
    </row>
    <row r="3" spans="1:12" ht="12.75">
      <c r="A3" s="3142" t="s">
        <v>2107</v>
      </c>
      <c r="B3" s="3143"/>
      <c r="C3" s="3143"/>
      <c r="D3" s="3143"/>
      <c r="E3" s="3143"/>
      <c r="F3" s="3143"/>
      <c r="G3" s="3143"/>
      <c r="H3" s="3143"/>
      <c r="I3" s="3143"/>
    </row>
    <row r="4" spans="1:12" ht="14.25">
      <c r="A4" s="2407" t="s">
        <v>2108</v>
      </c>
      <c r="B4" s="2408" t="s">
        <v>2109</v>
      </c>
      <c r="C4" s="2409" t="s">
        <v>3126</v>
      </c>
      <c r="D4" s="2409" t="s">
        <v>3315</v>
      </c>
      <c r="E4" s="3135" t="s">
        <v>2110</v>
      </c>
      <c r="F4" s="3136"/>
      <c r="G4" s="3136"/>
      <c r="H4" s="3136"/>
      <c r="I4" s="3144"/>
      <c r="K4" s="2410" t="str">
        <f>IF(ISNUMBER(FIND("比较法",结果表!C4)),"比较法",IF(ISNUMBER(FIND("成本法",结果表!C4)),"成本法",IF(ISNUMBER(FIND("假设开发法",结果表!C4)),"假设开发法",IF(ISNUMBER(FIND("收益法",结果表!C4)),"收益法","基准地价系数修正法"))))</f>
        <v>成本法</v>
      </c>
      <c r="L4" s="2410" t="str">
        <f>IF(ISNUMBER(FIND("比较法",结果表!D4)),"比较法",IF(ISNUMBER(FIND("成本法",结果表!D4)),"成本法",IF(ISNUMBER(FIND("假设开发法",结果表!D4)),"假设开发法",IF(ISNUMBER(FIND("收益法",结果表!D4)),"收益法","基准地价系数修正法"))))</f>
        <v>收益法</v>
      </c>
    </row>
    <row r="5" spans="1:12" ht="12.75">
      <c r="A5" s="3118" t="s">
        <v>2111</v>
      </c>
      <c r="B5" s="3056">
        <v>25</v>
      </c>
      <c r="C5" s="3121"/>
      <c r="D5" s="3141"/>
      <c r="E5" s="139" t="s">
        <v>2112</v>
      </c>
      <c r="F5" s="2411"/>
      <c r="G5" s="2411"/>
      <c r="H5" s="2411"/>
      <c r="I5" s="1824"/>
    </row>
    <row r="6" spans="1:12" ht="12.75">
      <c r="A6" s="3118"/>
      <c r="B6" s="3056"/>
      <c r="C6" s="3122"/>
      <c r="D6" s="3141"/>
      <c r="E6" s="139" t="s">
        <v>2113</v>
      </c>
      <c r="F6" s="2411"/>
      <c r="G6" s="2411"/>
      <c r="H6" s="2411"/>
      <c r="I6" s="1824"/>
    </row>
    <row r="7" spans="1:12" ht="12.75">
      <c r="A7" s="3118"/>
      <c r="B7" s="3056"/>
      <c r="C7" s="3123"/>
      <c r="D7" s="3141"/>
      <c r="E7" s="139" t="s">
        <v>2114</v>
      </c>
      <c r="F7" s="2411"/>
      <c r="G7" s="2411"/>
      <c r="H7" s="2411"/>
      <c r="I7" s="1824"/>
    </row>
    <row r="8" spans="1:12" ht="12.75">
      <c r="A8" s="3118" t="s">
        <v>2115</v>
      </c>
      <c r="B8" s="3056">
        <v>15</v>
      </c>
      <c r="C8" s="3121"/>
      <c r="D8" s="3141"/>
      <c r="E8" s="139" t="s">
        <v>2116</v>
      </c>
      <c r="F8" s="2411"/>
      <c r="G8" s="2411"/>
      <c r="H8" s="2411"/>
      <c r="I8" s="1824"/>
    </row>
    <row r="9" spans="1:12" ht="12.75">
      <c r="A9" s="3118"/>
      <c r="B9" s="3056"/>
      <c r="C9" s="3123"/>
      <c r="D9" s="3141"/>
      <c r="E9" s="139" t="s">
        <v>2117</v>
      </c>
      <c r="F9" s="2411"/>
      <c r="G9" s="2411"/>
      <c r="H9" s="2411"/>
      <c r="I9" s="1824"/>
    </row>
    <row r="10" spans="1:12" ht="12.75">
      <c r="A10" s="3118" t="s">
        <v>2118</v>
      </c>
      <c r="B10" s="3056">
        <v>15</v>
      </c>
      <c r="C10" s="3121"/>
      <c r="D10" s="3141"/>
      <c r="E10" s="139" t="s">
        <v>2119</v>
      </c>
      <c r="F10" s="2411"/>
      <c r="G10" s="2411"/>
      <c r="H10" s="2411"/>
      <c r="I10" s="1824"/>
    </row>
    <row r="11" spans="1:12" ht="12.75">
      <c r="A11" s="3118"/>
      <c r="B11" s="3056"/>
      <c r="C11" s="3123"/>
      <c r="D11" s="3141"/>
      <c r="E11" s="139" t="s">
        <v>2120</v>
      </c>
      <c r="F11" s="2411"/>
      <c r="G11" s="2411"/>
      <c r="H11" s="2411"/>
      <c r="I11" s="1824"/>
    </row>
    <row r="12" spans="1:12" ht="12.75">
      <c r="A12" s="3118" t="s">
        <v>2121</v>
      </c>
      <c r="B12" s="3056">
        <v>15</v>
      </c>
      <c r="C12" s="3121"/>
      <c r="D12" s="3141"/>
      <c r="E12" s="139" t="s">
        <v>2122</v>
      </c>
      <c r="F12" s="2411"/>
      <c r="G12" s="2411"/>
      <c r="H12" s="2411"/>
      <c r="I12" s="1824"/>
    </row>
    <row r="13" spans="1:12" ht="12.75">
      <c r="A13" s="3118"/>
      <c r="B13" s="3056"/>
      <c r="C13" s="3123"/>
      <c r="D13" s="3141"/>
      <c r="E13" s="139" t="s">
        <v>2123</v>
      </c>
      <c r="F13" s="2411"/>
      <c r="G13" s="2411"/>
      <c r="H13" s="2411"/>
      <c r="I13" s="1824"/>
    </row>
    <row r="14" spans="1:12" ht="12.75">
      <c r="A14" s="3118" t="s">
        <v>2124</v>
      </c>
      <c r="B14" s="3056">
        <v>30</v>
      </c>
      <c r="C14" s="3121">
        <v>3</v>
      </c>
      <c r="D14" s="3141">
        <v>7</v>
      </c>
      <c r="E14" s="139" t="s">
        <v>2125</v>
      </c>
      <c r="F14" s="2411"/>
      <c r="G14" s="2411"/>
      <c r="H14" s="2411"/>
      <c r="I14" s="1824"/>
    </row>
    <row r="15" spans="1:12" ht="12.75">
      <c r="A15" s="3118"/>
      <c r="B15" s="3056"/>
      <c r="C15" s="3122"/>
      <c r="D15" s="3141"/>
      <c r="E15" s="139" t="s">
        <v>2126</v>
      </c>
      <c r="F15" s="2411"/>
      <c r="G15" s="2411"/>
      <c r="H15" s="2411"/>
      <c r="I15" s="1824"/>
    </row>
    <row r="16" spans="1:12" ht="12.75">
      <c r="A16" s="3118"/>
      <c r="B16" s="3056"/>
      <c r="C16" s="3123"/>
      <c r="D16" s="3141"/>
      <c r="E16" s="139" t="s">
        <v>2127</v>
      </c>
      <c r="F16" s="2411"/>
      <c r="G16" s="2411"/>
      <c r="H16" s="2411"/>
      <c r="I16" s="1824"/>
    </row>
    <row r="17" spans="1:35" ht="15">
      <c r="A17" s="2412" t="s">
        <v>2128</v>
      </c>
      <c r="B17" s="64"/>
      <c r="C17" s="140">
        <f>SUM(C5:C16)</f>
        <v>3</v>
      </c>
      <c r="D17" s="140">
        <f>SUM(D5:D16)</f>
        <v>7</v>
      </c>
      <c r="E17" s="137"/>
      <c r="F17" s="137"/>
      <c r="G17" s="137"/>
      <c r="H17" s="137"/>
      <c r="I17" s="137"/>
      <c r="K17" s="2410"/>
      <c r="L17" s="2413" t="s">
        <v>2129</v>
      </c>
      <c r="M17" s="2413" t="s">
        <v>2130</v>
      </c>
    </row>
    <row r="18" spans="1:35" ht="15.75" thickBot="1">
      <c r="A18" s="2414" t="s">
        <v>2131</v>
      </c>
      <c r="B18" s="2415"/>
      <c r="C18" s="141">
        <f>ROUND(C17/SUM(C17:D17),2)</f>
        <v>0.3</v>
      </c>
      <c r="D18" s="141">
        <f>1-C18</f>
        <v>0.7</v>
      </c>
      <c r="E18" s="137"/>
      <c r="F18" s="137"/>
      <c r="G18" s="137"/>
      <c r="H18" s="137"/>
      <c r="I18" s="137"/>
      <c r="K18" s="2410" t="s">
        <v>2132</v>
      </c>
      <c r="L18" s="2410">
        <f>IF(C1="",'数据-汇总表'!E3,SUMIF(项目类型,C1,'数据-汇总表'!E17:E26)+SUMIF(项目类型,C1,'数据-汇总表'!I17:I26))</f>
        <v>8377.9700000000012</v>
      </c>
      <c r="M18" s="2410">
        <f>IF(C1="",'数据-汇总表'!E3,SUMIF(项目类型,C1,'数据-汇总表'!E17:E26))</f>
        <v>8377.9700000000012</v>
      </c>
    </row>
    <row r="19" spans="1:35" ht="15.75" thickBot="1">
      <c r="A19" s="2416" t="s">
        <v>2133</v>
      </c>
      <c r="B19" s="2417" t="s">
        <v>2134</v>
      </c>
      <c r="C19" s="142">
        <f ca="1">SUMIF(INDIRECT("'"&amp;C4&amp;"'"&amp;"!A:A"),结果表!B19,INDIRECT("'"&amp;C4&amp;"'"&amp;"!B:B"))</f>
        <v>3725</v>
      </c>
      <c r="D19" s="143">
        <f ca="1">SUMIF(INDIRECT("'"&amp;D4&amp;"'"&amp;"!A:A"),结果表!B19,INDIRECT("'"&amp;D4&amp;"'"&amp;"!B:B"))</f>
        <v>9131</v>
      </c>
      <c r="E19" s="2416" t="s">
        <v>2135</v>
      </c>
      <c r="F19" s="2417" t="s">
        <v>2134</v>
      </c>
      <c r="G19" s="144">
        <f ca="1">ROUND(C19*$C$18+D19*$D$18,0)</f>
        <v>7509</v>
      </c>
      <c r="H19" s="2418" t="s">
        <v>2136</v>
      </c>
      <c r="I19" s="137"/>
      <c r="K19" s="2410" t="s">
        <v>2137</v>
      </c>
      <c r="L19" s="2410">
        <f>IF(C1="",'数据-汇总表'!D3,SUMIF(项目类型,C1,'数据-汇总表'!D17:D26)+SUMIF(项目类型,C1,'数据-汇总表'!H17:H27))</f>
        <v>39950.5</v>
      </c>
      <c r="M19" s="2410">
        <f>IF(C1="",'数据-汇总表'!D3,SUMIF(项目类型,C1,'数据-汇总表'!D17:D26))</f>
        <v>39950.5</v>
      </c>
    </row>
    <row r="20" spans="1:35" ht="15.75" thickBot="1">
      <c r="A20" s="2419"/>
      <c r="B20" s="1242" t="s">
        <v>2138</v>
      </c>
      <c r="C20" s="145">
        <f ca="1">SUMIF(INDIRECT("'"&amp;C4&amp;"'"&amp;"!A:A"),结果表!B20,INDIRECT("'"&amp;C4&amp;"'"&amp;"!B:B"))</f>
        <v>4446</v>
      </c>
      <c r="D20" s="146">
        <f ca="1">SUMIF(INDIRECT("'"&amp;D4&amp;"'"&amp;"!A:A"),结果表!B20,INDIRECT("'"&amp;D4&amp;"'"&amp;"!B:B"))</f>
        <v>10899</v>
      </c>
      <c r="E20" s="2419"/>
      <c r="F20" s="1242" t="s">
        <v>2138</v>
      </c>
      <c r="G20" s="147">
        <f ca="1">ROUND(C20*$C$18+D20*$D$18,0)</f>
        <v>8963</v>
      </c>
      <c r="H20" s="976" t="s">
        <v>2139</v>
      </c>
      <c r="I20" s="137"/>
      <c r="J20" s="2995">
        <f ca="1">G21*666.67/10000</f>
        <v>125.33395999999999</v>
      </c>
      <c r="K20" s="2956"/>
    </row>
    <row r="21" spans="1:35" ht="15" customHeight="1" thickBot="1">
      <c r="A21" s="996"/>
      <c r="B21" s="2420" t="s">
        <v>2140</v>
      </c>
      <c r="C21" s="787">
        <f ca="1">ROUND(C19*10000/L19,0)</f>
        <v>932</v>
      </c>
      <c r="D21" s="788">
        <f ca="1">ROUND(D19*10000/L19,0)</f>
        <v>2286</v>
      </c>
      <c r="E21" s="996"/>
      <c r="F21" s="2420" t="s">
        <v>2140</v>
      </c>
      <c r="G21" s="148">
        <f ca="1">ROUND(G19*10000/L19,0)</f>
        <v>1880</v>
      </c>
      <c r="H21" s="2421" t="s">
        <v>2139</v>
      </c>
      <c r="I21" s="137"/>
      <c r="J21" s="2954"/>
      <c r="K21" s="2954"/>
      <c r="L21" s="2954"/>
    </row>
    <row r="22" spans="1:35" ht="15" thickBot="1">
      <c r="A22" s="2266" t="s">
        <v>2141</v>
      </c>
      <c r="B22" s="2422"/>
      <c r="C22" s="2423"/>
      <c r="D22" s="789">
        <f ca="1">IF(C19&lt;D19,D19/C19-1,C19/D19-1)</f>
        <v>1.4512751677852349</v>
      </c>
      <c r="E22" s="137"/>
      <c r="F22" s="137"/>
      <c r="G22" s="137"/>
      <c r="H22" s="137"/>
      <c r="I22" s="137"/>
      <c r="J22" s="2954"/>
      <c r="K22" s="2954"/>
      <c r="L22" s="2954"/>
    </row>
    <row r="23" spans="1:35" ht="13.5" thickBot="1">
      <c r="A23" s="2400"/>
      <c r="B23" s="2400"/>
      <c r="C23" s="2400"/>
      <c r="D23" s="2400"/>
      <c r="E23" s="137"/>
      <c r="F23" s="137"/>
      <c r="G23" s="137"/>
      <c r="H23" s="137"/>
      <c r="I23" s="137"/>
      <c r="J23" s="2954"/>
      <c r="K23" s="2954"/>
      <c r="L23" s="2954"/>
    </row>
    <row r="24" spans="1:35" ht="14.25">
      <c r="A24" s="3112" t="s">
        <v>2142</v>
      </c>
      <c r="B24" s="2417" t="s">
        <v>2134</v>
      </c>
      <c r="C24" s="144">
        <f>IF(B30=0,0,D30)</f>
        <v>0</v>
      </c>
      <c r="D24" s="2424"/>
      <c r="E24" s="137"/>
      <c r="F24" s="137"/>
      <c r="G24" s="137"/>
      <c r="H24" s="137"/>
      <c r="I24" s="137"/>
      <c r="J24" s="2954"/>
      <c r="K24" s="2954"/>
      <c r="L24" s="2954"/>
    </row>
    <row r="25" spans="1:35" ht="14.25">
      <c r="A25" s="3113"/>
      <c r="B25" s="1242" t="s">
        <v>2138</v>
      </c>
      <c r="C25" s="149">
        <f>IF(B30=0,0,C30)</f>
        <v>0</v>
      </c>
      <c r="D25" s="2425"/>
      <c r="E25" s="137"/>
      <c r="F25" s="137"/>
      <c r="G25" s="137"/>
      <c r="H25" s="137"/>
      <c r="I25" s="137"/>
    </row>
    <row r="26" spans="1:35" ht="13.5" customHeight="1">
      <c r="A26" s="2426"/>
      <c r="B26" s="150"/>
      <c r="C26" s="150"/>
      <c r="D26" s="151"/>
      <c r="E26" s="137"/>
      <c r="F26" s="137"/>
      <c r="G26" s="137"/>
      <c r="H26" s="137"/>
      <c r="I26" s="137"/>
    </row>
    <row r="27" spans="1:35" ht="14.25">
      <c r="A27" s="2974"/>
      <c r="B27" s="150"/>
      <c r="C27" s="150"/>
      <c r="D27" s="151"/>
      <c r="E27" s="137"/>
      <c r="F27" s="137"/>
      <c r="G27" s="137"/>
      <c r="H27" s="137"/>
      <c r="I27" s="137"/>
    </row>
    <row r="28" spans="1:35" ht="14.25">
      <c r="A28" s="2974"/>
      <c r="B28" s="150"/>
      <c r="C28" s="150"/>
      <c r="D28" s="151"/>
      <c r="E28" s="137"/>
      <c r="F28" s="137"/>
      <c r="G28" s="137"/>
      <c r="H28" s="137"/>
      <c r="I28" s="137"/>
    </row>
    <row r="29" spans="1:35" ht="14.25">
      <c r="A29" s="2975"/>
      <c r="B29" s="150"/>
      <c r="C29" s="150"/>
      <c r="D29" s="151"/>
      <c r="E29" s="137"/>
      <c r="F29" s="137"/>
      <c r="G29" s="137"/>
      <c r="H29" s="137"/>
      <c r="I29" s="137"/>
    </row>
    <row r="30" spans="1:35" ht="14.25">
      <c r="A30" s="2975"/>
      <c r="B30" s="150"/>
      <c r="C30" s="150"/>
      <c r="D30" s="150"/>
      <c r="E30" s="2908" t="s">
        <v>3016</v>
      </c>
      <c r="F30" s="137"/>
      <c r="G30" s="137"/>
      <c r="H30" s="137"/>
      <c r="I30" s="137"/>
    </row>
    <row r="31" spans="1:35" s="2428" customFormat="1" ht="15" thickBot="1">
      <c r="A31" s="2427"/>
      <c r="B31" s="2427"/>
      <c r="C31" s="2427"/>
      <c r="D31" s="2427"/>
      <c r="E31" s="137"/>
      <c r="F31" s="137"/>
      <c r="G31" s="137"/>
      <c r="H31" s="137"/>
      <c r="I31" s="137"/>
      <c r="J31" s="793"/>
      <c r="K31" s="793"/>
      <c r="L31" s="793"/>
      <c r="M31" s="793"/>
      <c r="N31" s="793"/>
      <c r="O31" s="793"/>
      <c r="P31" s="793"/>
      <c r="Q31" s="793"/>
      <c r="R31" s="793"/>
      <c r="S31" s="793"/>
      <c r="T31" s="793"/>
      <c r="U31" s="793"/>
      <c r="V31" s="793"/>
      <c r="W31" s="793"/>
      <c r="X31" s="793"/>
      <c r="Y31" s="793"/>
      <c r="Z31" s="793"/>
      <c r="AA31" s="2405"/>
      <c r="AB31" s="2405"/>
      <c r="AC31" s="2405"/>
      <c r="AD31" s="2405"/>
      <c r="AE31" s="2405"/>
      <c r="AF31" s="2405"/>
      <c r="AG31" s="2405"/>
      <c r="AH31" s="2405"/>
      <c r="AI31" s="2405"/>
    </row>
    <row r="32" spans="1:35" ht="15.75" thickBot="1">
      <c r="A32" s="2429" t="s">
        <v>2143</v>
      </c>
      <c r="B32" s="2430"/>
      <c r="C32" s="152">
        <f ca="1">IF(D32="总价",G19-C24,G20-C25)</f>
        <v>7509</v>
      </c>
      <c r="D32" s="2431" t="s">
        <v>2144</v>
      </c>
      <c r="E32" s="137"/>
      <c r="F32" s="137"/>
      <c r="G32" s="137"/>
      <c r="H32" s="137"/>
      <c r="I32" s="137"/>
    </row>
    <row r="33" spans="1:15" ht="15">
      <c r="A33" s="953" t="s">
        <v>2145</v>
      </c>
      <c r="B33" s="2432"/>
      <c r="C33" s="2433" t="s">
        <v>3237</v>
      </c>
      <c r="D33" s="2434" t="s">
        <v>3126</v>
      </c>
      <c r="E33" s="2435" t="s">
        <v>2146</v>
      </c>
      <c r="F33" s="2436" t="str">
        <f>IF(D32="楼面单价","取值（单价）","取值（总价）")</f>
        <v>取值（总价）</v>
      </c>
      <c r="G33" s="137"/>
      <c r="H33" s="137"/>
      <c r="I33" s="137"/>
    </row>
    <row r="34" spans="1:15" ht="15">
      <c r="A34" s="2437"/>
      <c r="B34" s="2438" t="s">
        <v>2147</v>
      </c>
      <c r="C34" s="156">
        <f ca="1">IF(C33="自定义",F34,C32-C35)</f>
        <v>4701</v>
      </c>
      <c r="D34" s="1050">
        <f ca="1">IF(C33="自定义",ROUND(C34/C32,3),IF(C33="收益比率",SUMIF(INDIRECT("'"&amp;D33&amp;"'"&amp;"!b:b"),"土地收益比率",INDIRECT("'"&amp;D33&amp;"'"&amp;"!c:c")),SUMIF(INDIRECT("'"&amp;D33&amp;"'"&amp;"!b:b"),"土地成本比率",INDIRECT("'"&amp;D33&amp;"'"&amp;"!c:c"))))</f>
        <v>0.626</v>
      </c>
      <c r="E34" s="2439" t="s">
        <v>2148</v>
      </c>
      <c r="F34" s="1729"/>
      <c r="G34" s="137"/>
      <c r="H34" s="137"/>
      <c r="I34" s="137"/>
    </row>
    <row r="35" spans="1:15" ht="15.75" thickBot="1">
      <c r="A35" s="2440"/>
      <c r="B35" s="2441" t="s">
        <v>2149</v>
      </c>
      <c r="C35" s="1436">
        <f ca="1">IF(C33="自定义",F35,ROUND(C32*D35,0))</f>
        <v>2808</v>
      </c>
      <c r="D35" s="1437">
        <f ca="1">IF(C33="自定义",ROUND(C35/C32,3),IF(C33="收益比率",SUMIF(INDIRECT("'"&amp;D33&amp;"'"&amp;"!b:b"),"建筑物收益比率",INDIRECT("'"&amp;D33&amp;"'"&amp;"!c:c")),SUMIF(INDIRECT("'"&amp;D33&amp;"'"&amp;"!b:b"),"建筑物成本比率",INDIRECT("'"&amp;D33&amp;"'"&amp;"!c:c"))))</f>
        <v>0.374</v>
      </c>
      <c r="E35" s="2442" t="s">
        <v>2150</v>
      </c>
      <c r="F35" s="162"/>
      <c r="G35" s="137"/>
      <c r="H35" s="137"/>
      <c r="I35" s="137"/>
    </row>
    <row r="36" spans="1:15" ht="15.75" thickBot="1">
      <c r="A36" s="3130" t="s">
        <v>2151</v>
      </c>
      <c r="B36" s="2443" t="s">
        <v>2152</v>
      </c>
      <c r="C36" s="153"/>
      <c r="D36" s="2444"/>
      <c r="E36" s="2445"/>
      <c r="F36" s="2446"/>
      <c r="G36" s="137"/>
      <c r="H36" s="137"/>
      <c r="I36" s="137"/>
    </row>
    <row r="37" spans="1:15" ht="15.75" thickBot="1">
      <c r="A37" s="3131"/>
      <c r="B37" s="2252" t="s">
        <v>2153</v>
      </c>
      <c r="C37" s="155"/>
      <c r="D37" s="1387"/>
      <c r="E37" s="1387"/>
      <c r="F37" s="2446"/>
      <c r="G37" s="137"/>
      <c r="H37" s="137"/>
      <c r="I37" s="137"/>
    </row>
    <row r="38" spans="1:15" ht="15.75" thickBot="1">
      <c r="A38" s="3132"/>
      <c r="B38" s="2447" t="s">
        <v>2154</v>
      </c>
      <c r="C38" s="725"/>
      <c r="D38" s="2448" t="s">
        <v>2155</v>
      </c>
      <c r="E38" s="1387"/>
      <c r="F38" s="2446"/>
      <c r="G38" s="137"/>
      <c r="H38" s="137"/>
      <c r="I38" s="137"/>
    </row>
    <row r="39" spans="1:15" ht="15">
      <c r="A39" s="2419" t="s">
        <v>2156</v>
      </c>
      <c r="B39" s="2449" t="s">
        <v>2157</v>
      </c>
      <c r="C39" s="2450" t="s">
        <v>2158</v>
      </c>
      <c r="D39" s="2450" t="s">
        <v>2159</v>
      </c>
      <c r="E39" s="2451" t="s">
        <v>2160</v>
      </c>
      <c r="F39" s="2446"/>
      <c r="G39" s="137"/>
      <c r="H39" s="137"/>
      <c r="I39" s="137"/>
    </row>
    <row r="40" spans="1:15" ht="14.25">
      <c r="A40" s="2452" t="s">
        <v>2161</v>
      </c>
      <c r="B40" s="157"/>
      <c r="C40" s="158"/>
      <c r="D40" s="158"/>
      <c r="E40" s="159"/>
      <c r="F40" s="2446"/>
      <c r="G40" s="137"/>
      <c r="H40" s="137"/>
      <c r="I40" s="137"/>
    </row>
    <row r="41" spans="1:15" ht="14.25">
      <c r="A41" s="2452" t="s">
        <v>2162</v>
      </c>
      <c r="B41" s="157"/>
      <c r="C41" s="158"/>
      <c r="D41" s="158"/>
      <c r="E41" s="159"/>
      <c r="F41" s="2446"/>
      <c r="G41" s="137"/>
      <c r="H41" s="137"/>
      <c r="I41" s="137"/>
    </row>
    <row r="42" spans="1:15" ht="15" thickBot="1">
      <c r="A42" s="2453"/>
      <c r="B42" s="160"/>
      <c r="C42" s="161"/>
      <c r="D42" s="161"/>
      <c r="E42" s="162"/>
      <c r="F42" s="2446"/>
      <c r="G42" s="137"/>
      <c r="H42" s="137"/>
      <c r="I42" s="137"/>
    </row>
    <row r="43" spans="1:15" ht="12.75">
      <c r="A43" s="2151"/>
      <c r="B43" s="2151"/>
      <c r="C43" s="2151"/>
      <c r="D43" s="2151"/>
      <c r="E43" s="2151"/>
      <c r="F43" s="2454"/>
      <c r="G43" s="2454"/>
      <c r="H43" s="2454"/>
      <c r="I43" s="2455"/>
    </row>
    <row r="44" spans="1:15" ht="18.75" hidden="1">
      <c r="A44" s="2456" t="s">
        <v>2163</v>
      </c>
      <c r="B44" s="2457"/>
      <c r="C44" s="2457"/>
      <c r="D44" s="2458"/>
      <c r="E44" s="2458"/>
      <c r="F44" s="2459"/>
      <c r="G44" s="2459"/>
      <c r="H44" s="2459"/>
      <c r="I44" s="2459"/>
      <c r="J44" s="2460" t="s">
        <v>2164</v>
      </c>
      <c r="K44" s="2461"/>
      <c r="L44" s="2461"/>
      <c r="M44" s="2461"/>
      <c r="N44" s="2461"/>
      <c r="O44" s="2461"/>
    </row>
    <row r="45" spans="1:15" ht="14.25" hidden="1" customHeight="1" thickBot="1">
      <c r="A45" s="3109" t="s">
        <v>2165</v>
      </c>
      <c r="B45" s="3110"/>
      <c r="C45" s="3111"/>
      <c r="D45" s="163">
        <f ca="1">ROUND(H101*F45,0)</f>
        <v>7509</v>
      </c>
      <c r="E45" s="164" t="s">
        <v>2166</v>
      </c>
      <c r="F45" s="165">
        <v>1</v>
      </c>
      <c r="G45" s="166" t="s">
        <v>2167</v>
      </c>
      <c r="H45" s="137"/>
      <c r="I45" s="137"/>
      <c r="J45" s="3169" t="s">
        <v>2168</v>
      </c>
      <c r="K45" s="3169"/>
      <c r="L45" s="3169"/>
      <c r="M45" s="3169"/>
      <c r="N45" s="3169"/>
      <c r="O45" s="3169"/>
    </row>
    <row r="46" spans="1:15" ht="14.25" hidden="1" customHeight="1">
      <c r="A46" s="3106" t="s">
        <v>2169</v>
      </c>
      <c r="B46" s="3107"/>
      <c r="C46" s="3107"/>
      <c r="D46" s="3107"/>
      <c r="E46" s="3107"/>
      <c r="F46" s="3107"/>
      <c r="G46" s="3108"/>
      <c r="H46" s="2462"/>
      <c r="I46" s="167"/>
      <c r="J46" s="1802">
        <v>1</v>
      </c>
      <c r="K46" s="3169" t="s">
        <v>2170</v>
      </c>
      <c r="L46" s="3169"/>
      <c r="M46" s="3189"/>
      <c r="N46" s="3189"/>
      <c r="O46" s="3189"/>
    </row>
    <row r="47" spans="1:15" ht="12" hidden="1" customHeight="1">
      <c r="A47" s="168" t="s">
        <v>2171</v>
      </c>
      <c r="B47" s="169"/>
      <c r="C47" s="170"/>
      <c r="D47" s="171" t="s">
        <v>2172</v>
      </c>
      <c r="E47" s="24" t="s">
        <v>2173</v>
      </c>
      <c r="F47" s="172" t="s">
        <v>2174</v>
      </c>
      <c r="G47" s="173" t="s">
        <v>2175</v>
      </c>
      <c r="H47" s="2462"/>
      <c r="I47" s="167"/>
      <c r="J47" s="1802">
        <v>2</v>
      </c>
      <c r="K47" s="3169" t="s">
        <v>2176</v>
      </c>
      <c r="L47" s="3169"/>
      <c r="M47" s="3190">
        <f>'数据-取费表'!B2</f>
        <v>43216</v>
      </c>
      <c r="N47" s="3190"/>
      <c r="O47" s="3190"/>
    </row>
    <row r="48" spans="1:15" ht="25.5" hidden="1">
      <c r="A48" s="3137" t="s">
        <v>2177</v>
      </c>
      <c r="B48" s="3120"/>
      <c r="C48" s="3120"/>
      <c r="D48" s="139">
        <f>IF(H48="情况1",0,IF(H48="情况2",D52,IF(H48="情况3",D53,IF(H48="情况4",D54))))</f>
        <v>0</v>
      </c>
      <c r="E48" s="1791" t="str">
        <f>IF(H48="情况4","(销售额-原购置价)×税（费）率","销售额×税（费）率")</f>
        <v>销售额×税（费）率</v>
      </c>
      <c r="F48" s="174" t="str">
        <f>IF(H48="情况1","免征",'数据-取费表'!B41)</f>
        <v>免征</v>
      </c>
      <c r="G48" s="2463" t="s">
        <v>2178</v>
      </c>
      <c r="H48" s="2464" t="s">
        <v>2179</v>
      </c>
      <c r="I48" s="2462"/>
      <c r="J48" s="1802">
        <v>3</v>
      </c>
      <c r="K48" s="3169" t="s">
        <v>2180</v>
      </c>
      <c r="L48" s="3169"/>
      <c r="M48" s="3191">
        <f ca="1">H101</f>
        <v>7509</v>
      </c>
      <c r="N48" s="3191"/>
      <c r="O48" s="3191"/>
    </row>
    <row r="49" spans="1:35" ht="25.5" hidden="1" customHeight="1">
      <c r="A49" s="175" t="s">
        <v>2181</v>
      </c>
      <c r="B49" s="3105" t="s">
        <v>2182</v>
      </c>
      <c r="C49" s="3105"/>
      <c r="D49" s="176">
        <v>0</v>
      </c>
      <c r="E49" s="23" t="s">
        <v>2183</v>
      </c>
      <c r="F49" s="28" t="s">
        <v>34</v>
      </c>
      <c r="G49" s="3175"/>
      <c r="H49" s="137"/>
      <c r="I49" s="2465"/>
      <c r="J49" s="1802">
        <v>4</v>
      </c>
      <c r="K49" s="3169" t="str">
        <f>IF(项目基本情况!E8="房地产抵押价值","房地产抵押价值","抵押担保权已注销时的房地产抵押价值")</f>
        <v>抵押担保权已注销时的房地产抵押价值</v>
      </c>
      <c r="L49" s="3169"/>
      <c r="M49" s="3191">
        <f ca="1">IF(项目基本情况!E8="房地产抵押价值",H107,H109)</f>
        <v>7509</v>
      </c>
      <c r="N49" s="3191"/>
      <c r="O49" s="3191"/>
    </row>
    <row r="50" spans="1:35" ht="25.5" hidden="1" customHeight="1">
      <c r="A50" s="177"/>
      <c r="B50" s="3105" t="s">
        <v>2184</v>
      </c>
      <c r="C50" s="3105"/>
      <c r="D50" s="178"/>
      <c r="E50" s="31"/>
      <c r="F50" s="179"/>
      <c r="G50" s="3176"/>
      <c r="H50" s="137"/>
      <c r="I50" s="2465"/>
      <c r="J50" s="3169" t="s">
        <v>2185</v>
      </c>
      <c r="K50" s="3169"/>
      <c r="L50" s="3169"/>
      <c r="M50" s="3169"/>
      <c r="N50" s="3169"/>
      <c r="O50" s="3169"/>
    </row>
    <row r="51" spans="1:35" ht="12" hidden="1" customHeight="1">
      <c r="A51" s="180"/>
      <c r="B51" s="3105" t="s">
        <v>2186</v>
      </c>
      <c r="C51" s="3105"/>
      <c r="D51" s="181"/>
      <c r="E51" s="30"/>
      <c r="F51" s="179"/>
      <c r="G51" s="3177"/>
      <c r="H51" s="137"/>
      <c r="I51" s="2465"/>
      <c r="J51" s="2466" t="s">
        <v>2187</v>
      </c>
      <c r="K51" s="3169" t="s">
        <v>2188</v>
      </c>
      <c r="L51" s="3169"/>
      <c r="M51" s="2466" t="s">
        <v>2189</v>
      </c>
      <c r="N51" s="2466" t="s">
        <v>2190</v>
      </c>
      <c r="O51" s="2466" t="s">
        <v>2191</v>
      </c>
    </row>
    <row r="52" spans="1:35" ht="24" hidden="1" customHeight="1">
      <c r="A52" s="182" t="s">
        <v>2192</v>
      </c>
      <c r="B52" s="3105" t="s">
        <v>2193</v>
      </c>
      <c r="C52" s="3105"/>
      <c r="D52" s="181">
        <f ca="1">ROUND(D45*'数据-取费表'!B41/(1+'数据-取费表'!C42),0)</f>
        <v>400</v>
      </c>
      <c r="E52" s="11" t="s">
        <v>2194</v>
      </c>
      <c r="F52" s="183">
        <f>'数据-取费表'!B41</f>
        <v>5.6000000000000001E-2</v>
      </c>
      <c r="G52" s="2467"/>
      <c r="H52" s="137"/>
      <c r="I52" s="2465"/>
      <c r="J52" s="1802">
        <v>1</v>
      </c>
      <c r="K52" s="3170" t="s">
        <v>2195</v>
      </c>
      <c r="L52" s="3170"/>
      <c r="M52" s="1744">
        <f>D48</f>
        <v>0</v>
      </c>
      <c r="N52" s="1802" t="str">
        <f>E48</f>
        <v>销售额×税（费）率</v>
      </c>
      <c r="O52" s="1745" t="str">
        <f>F48</f>
        <v>免征</v>
      </c>
    </row>
    <row r="53" spans="1:35" ht="12" hidden="1" customHeight="1">
      <c r="A53" s="182" t="s">
        <v>2196</v>
      </c>
      <c r="B53" s="3128" t="s">
        <v>2197</v>
      </c>
      <c r="C53" s="3129"/>
      <c r="D53" s="181">
        <f ca="1">ROUND(D45*'数据-取费表'!B41/(1+'数据-取费表'!C42),0)</f>
        <v>400</v>
      </c>
      <c r="E53" s="11" t="s">
        <v>2194</v>
      </c>
      <c r="F53" s="183">
        <f>'数据-取费表'!B41</f>
        <v>5.6000000000000001E-2</v>
      </c>
      <c r="G53" s="2467"/>
      <c r="H53" s="137"/>
      <c r="I53" s="2465"/>
      <c r="J53" s="1802">
        <v>2</v>
      </c>
      <c r="K53" s="3170" t="s">
        <v>2198</v>
      </c>
      <c r="L53" s="3170"/>
      <c r="M53" s="1744">
        <f t="shared" ref="M53:O54" ca="1" si="0">D55</f>
        <v>4</v>
      </c>
      <c r="N53" s="1802" t="str">
        <f t="shared" si="0"/>
        <v>销售额×税（费）率</v>
      </c>
      <c r="O53" s="1745">
        <f t="shared" si="0"/>
        <v>5.0000000000000001E-4</v>
      </c>
    </row>
    <row r="54" spans="1:35" ht="12" hidden="1" customHeight="1">
      <c r="A54" s="182" t="s">
        <v>2199</v>
      </c>
      <c r="B54" s="3128" t="s">
        <v>2200</v>
      </c>
      <c r="C54" s="3129"/>
      <c r="D54" s="181">
        <f ca="1">C68</f>
        <v>400</v>
      </c>
      <c r="E54" s="30" t="s">
        <v>2201</v>
      </c>
      <c r="F54" s="183">
        <f>'数据-取费表'!B41</f>
        <v>5.6000000000000001E-2</v>
      </c>
      <c r="G54" s="2467"/>
      <c r="H54" s="2468"/>
      <c r="I54" s="2465"/>
      <c r="J54" s="1802">
        <v>3</v>
      </c>
      <c r="K54" s="3170" t="s">
        <v>2202</v>
      </c>
      <c r="L54" s="3170"/>
      <c r="M54" s="1744">
        <f t="shared" ca="1" si="0"/>
        <v>4250</v>
      </c>
      <c r="N54" s="1802" t="str">
        <f t="shared" si="0"/>
        <v>增值额×税（费）率</v>
      </c>
      <c r="O54" s="1746" t="str">
        <f t="shared" si="0"/>
        <v>——</v>
      </c>
    </row>
    <row r="55" spans="1:35" ht="24" hidden="1" customHeight="1">
      <c r="A55" s="3119" t="s">
        <v>2203</v>
      </c>
      <c r="B55" s="3120"/>
      <c r="C55" s="3120"/>
      <c r="D55" s="184">
        <f ca="1">IF(H55="个人住宅",0,ROUND(D45*I55,0))</f>
        <v>4</v>
      </c>
      <c r="E55" s="11" t="s">
        <v>2204</v>
      </c>
      <c r="F55" s="183">
        <f>IF(H55="正常",I55,"免征")</f>
        <v>5.0000000000000001E-4</v>
      </c>
      <c r="G55" s="2467"/>
      <c r="H55" s="2464" t="s">
        <v>2205</v>
      </c>
      <c r="I55" s="185">
        <f>'数据-取费表'!B49</f>
        <v>5.0000000000000001E-4</v>
      </c>
      <c r="J55" s="1802" t="str">
        <f>IF(H59="非个人房产","",4)</f>
        <v/>
      </c>
      <c r="K55" s="3170" t="str">
        <f>IF(H59="非个人房产","——","个人所得税")</f>
        <v>——</v>
      </c>
      <c r="L55" s="3170"/>
      <c r="M55" s="1747" t="str">
        <f>D59</f>
        <v>——</v>
      </c>
      <c r="N55" s="1800" t="str">
        <f>E59</f>
        <v>——</v>
      </c>
      <c r="O55" s="1748" t="str">
        <f>F59</f>
        <v>——</v>
      </c>
    </row>
    <row r="56" spans="1:35" ht="24.75" hidden="1">
      <c r="A56" s="3119" t="s">
        <v>2206</v>
      </c>
      <c r="B56" s="3120"/>
      <c r="C56" s="3120"/>
      <c r="D56" s="184">
        <f ca="1">IF(H56="个人住宅",D57,D58)</f>
        <v>4250</v>
      </c>
      <c r="E56" s="11" t="s">
        <v>2207</v>
      </c>
      <c r="F56" s="183" t="str">
        <f>IF(H56="正常",F58,"免征")</f>
        <v>——</v>
      </c>
      <c r="G56" s="2469" t="s">
        <v>2208</v>
      </c>
      <c r="H56" s="2470" t="s">
        <v>2205</v>
      </c>
      <c r="I56" s="2471"/>
      <c r="J56" s="1802" t="str">
        <f>IF(项目基本情况!K6="上海银行",IF(J55="",4,J55+1),"")</f>
        <v/>
      </c>
      <c r="K56" s="3193" t="str">
        <f>IF(项目基本情况!K6="上海银行","其他处置费用","")</f>
        <v/>
      </c>
      <c r="L56" s="3194"/>
      <c r="M56" s="1744" t="str">
        <f>IF(项目基本情况!K6="上海银行",M69,"")</f>
        <v/>
      </c>
      <c r="N56" s="3196" t="str">
        <f>IF(项目基本情况!K6="上海银行","包含处置中涉及的律师、诉讼、拍卖、评估等费用","")</f>
        <v/>
      </c>
      <c r="O56" s="3197"/>
    </row>
    <row r="57" spans="1:35" ht="12.75" hidden="1">
      <c r="A57" s="182" t="s">
        <v>2181</v>
      </c>
      <c r="B57" s="3135" t="s">
        <v>2209</v>
      </c>
      <c r="C57" s="3144"/>
      <c r="D57" s="186">
        <v>0</v>
      </c>
      <c r="E57" s="23" t="s">
        <v>2183</v>
      </c>
      <c r="F57" s="154"/>
      <c r="G57" s="2467"/>
      <c r="H57" s="2471"/>
      <c r="I57" s="2471"/>
      <c r="J57" s="3170">
        <f>IF(AND(J55="",J56=""),4,IF(项目基本情况!K6="上海银行",结果表!J56+1,结果表!J55+1))</f>
        <v>4</v>
      </c>
      <c r="K57" s="3170" t="s">
        <v>2210</v>
      </c>
      <c r="L57" s="2472" t="s">
        <v>2211</v>
      </c>
      <c r="M57" s="1749"/>
      <c r="N57" s="1750">
        <f ca="1">SUMIF(M52:M56,"&lt;9e307")</f>
        <v>4254</v>
      </c>
      <c r="O57" s="2473"/>
      <c r="P57" s="1743">
        <f ca="1">N57/M49</f>
        <v>0.56652017578905312</v>
      </c>
    </row>
    <row r="58" spans="1:35" ht="24.75" hidden="1">
      <c r="A58" s="182" t="s">
        <v>2192</v>
      </c>
      <c r="B58" s="3135" t="s">
        <v>2212</v>
      </c>
      <c r="C58" s="3136"/>
      <c r="D58" s="184">
        <f ca="1">IF(H58="转让取得",C81,C97)</f>
        <v>4250</v>
      </c>
      <c r="E58" s="11" t="s">
        <v>2207</v>
      </c>
      <c r="F58" s="24" t="s">
        <v>34</v>
      </c>
      <c r="G58" s="2467"/>
      <c r="H58" s="2470" t="s">
        <v>2213</v>
      </c>
      <c r="I58" s="2471"/>
      <c r="J58" s="3170"/>
      <c r="K58" s="3170"/>
      <c r="L58" s="2472" t="s">
        <v>2214</v>
      </c>
      <c r="M58" s="1751"/>
      <c r="N58" s="2474" t="str">
        <f ca="1">NUMBERSTRING(INT(N57*10000),2)&amp;"元整"</f>
        <v>肆仟贰佰伍拾肆万元整</v>
      </c>
      <c r="O58" s="2475"/>
    </row>
    <row r="59" spans="1:35" ht="24.75" hidden="1" thickBot="1">
      <c r="A59" s="3173" t="s">
        <v>2215</v>
      </c>
      <c r="B59" s="3174"/>
      <c r="C59" s="3174"/>
      <c r="D59" s="187" t="str">
        <f>IF(H59="非个人房产","——",IF(H59="个人住宅",0,ROUND(D45*I59,0)))</f>
        <v>——</v>
      </c>
      <c r="E59" s="188" t="str">
        <f>IF(H59="非个人房产","——","销售额×税（费）率")</f>
        <v>——</v>
      </c>
      <c r="F59" s="189" t="str">
        <f>IF(H59="非个人房产","——",IF(H59="个人住宅","免征",I59))</f>
        <v>——</v>
      </c>
      <c r="G59" s="2476" t="s">
        <v>2208</v>
      </c>
      <c r="H59" s="2470" t="s">
        <v>2216</v>
      </c>
      <c r="I59" s="190">
        <v>0.01</v>
      </c>
      <c r="J59" s="3171">
        <f>J57+1</f>
        <v>5</v>
      </c>
      <c r="K59" s="3170" t="s">
        <v>2217</v>
      </c>
      <c r="L59" s="1802" t="s">
        <v>2211</v>
      </c>
      <c r="M59" s="1752"/>
      <c r="N59" s="1753">
        <f ca="1">M49-N57</f>
        <v>3255</v>
      </c>
      <c r="O59" s="2477"/>
    </row>
    <row r="60" spans="1:35" ht="12" hidden="1" customHeight="1">
      <c r="A60" s="2478"/>
      <c r="B60" s="2400"/>
      <c r="C60" s="2400"/>
      <c r="D60" s="2400"/>
      <c r="E60" s="2152"/>
      <c r="F60" s="2471"/>
      <c r="G60" s="2471"/>
      <c r="H60" s="2479"/>
      <c r="I60" s="137"/>
      <c r="J60" s="3172"/>
      <c r="K60" s="3170"/>
      <c r="L60" s="2472" t="s">
        <v>2214</v>
      </c>
      <c r="M60" s="1751"/>
      <c r="N60" s="2474" t="str">
        <f ca="1">NUMBERSTRING(INT(N59*10000),2)&amp;"元整"</f>
        <v>叁仟贰佰伍拾伍万元整</v>
      </c>
      <c r="O60" s="2475"/>
    </row>
    <row r="61" spans="1:35" ht="13.5" hidden="1" thickBot="1">
      <c r="A61" s="3117" t="s">
        <v>2218</v>
      </c>
      <c r="B61" s="3117"/>
      <c r="C61" s="3117"/>
      <c r="D61" s="3117"/>
      <c r="E61" s="3117"/>
      <c r="F61" s="2471"/>
      <c r="G61" s="2471"/>
      <c r="H61" s="2479"/>
      <c r="I61" s="137"/>
      <c r="J61" s="1802">
        <f>J59+1</f>
        <v>6</v>
      </c>
      <c r="K61" s="3170" t="s">
        <v>2219</v>
      </c>
      <c r="L61" s="3170"/>
      <c r="M61" s="1754"/>
      <c r="N61" s="1755">
        <f ca="1">ROUND(N59*10000/'数据-汇总表'!E3,0)</f>
        <v>3885</v>
      </c>
      <c r="O61" s="2480"/>
    </row>
    <row r="62" spans="1:35" ht="12.75" hidden="1">
      <c r="A62" s="3133" t="s">
        <v>2220</v>
      </c>
      <c r="B62" s="3134"/>
      <c r="C62" s="1794"/>
      <c r="D62" s="1794" t="s">
        <v>2221</v>
      </c>
      <c r="E62" s="191" t="s">
        <v>2222</v>
      </c>
      <c r="F62" s="2471"/>
      <c r="G62" s="2471"/>
      <c r="H62" s="2479"/>
      <c r="I62" s="137"/>
    </row>
    <row r="63" spans="1:35" ht="12.75" hidden="1">
      <c r="A63" s="202" t="s">
        <v>775</v>
      </c>
      <c r="B63" s="192" t="s">
        <v>2223</v>
      </c>
      <c r="C63" s="193">
        <f ca="1">ROUND((C64+C65)/(1+'数据-取费表'!C42),0)</f>
        <v>7151</v>
      </c>
      <c r="D63" s="194"/>
      <c r="E63" s="195"/>
      <c r="F63" s="2471"/>
      <c r="G63" s="2471"/>
      <c r="H63" s="2479"/>
      <c r="I63" s="137"/>
      <c r="J63" s="3195" t="s">
        <v>2224</v>
      </c>
      <c r="K63" s="2481" t="s">
        <v>2225</v>
      </c>
      <c r="L63" s="1742">
        <f ca="1">IF(M49&gt;10000,M49*0.5%,IF(AND(M49&gt;1000,M49&lt;=10000),M49*1%,IF(AND(M49&gt;100,M49&lt;=1000),M49*3%,IF(AND(M49&gt;10,M49&lt;=100),M49*5%,M49*8%))))</f>
        <v>75.09</v>
      </c>
      <c r="M63" s="24">
        <f ca="1">ROUND(L63,1)</f>
        <v>75.099999999999994</v>
      </c>
      <c r="Z63" s="2405"/>
      <c r="AI63" s="2406"/>
    </row>
    <row r="64" spans="1:35" ht="14.25" hidden="1" customHeight="1">
      <c r="A64" s="196" t="s">
        <v>770</v>
      </c>
      <c r="B64" s="197" t="s">
        <v>2226</v>
      </c>
      <c r="C64" s="198">
        <f ca="1">D45</f>
        <v>7509</v>
      </c>
      <c r="D64" s="199" t="s">
        <v>32</v>
      </c>
      <c r="E64" s="200"/>
      <c r="F64" s="2471"/>
      <c r="G64" s="2471"/>
      <c r="H64" s="2479"/>
      <c r="I64" s="137"/>
      <c r="J64" s="3195"/>
      <c r="K64" s="2481" t="s">
        <v>2227</v>
      </c>
      <c r="L64" s="1742">
        <f ca="1">IF(M49&gt;2000,M49*0.5%,IF(AND(M49&gt;1000,M49&lt;=2000),M49*0.6%,IF(AND(M49&gt;500,M49&lt;=1000),M49*0.7%,IF(AND(M49&gt;200,M49&lt;=500),M49*0.8%,IF(AND(M49&gt;100,M49&lt;=200),M49*0.9%,IF(AND(M49&gt;50,M49&lt;=100),M49*1%,IF(AND(M49&gt;20,M49&lt;=50),M49*1.5%,IF(AND(M49&gt;10,M49&lt;=20),M49*2%,IF(AND(M49&gt;1,M49&lt;=10),M49*2.5%)))))))))</f>
        <v>37.545000000000002</v>
      </c>
      <c r="M64" s="24">
        <f t="shared" ref="M64:M65" ca="1" si="1">ROUND(L64,1)</f>
        <v>37.5</v>
      </c>
      <c r="N64" s="137" t="s">
        <v>2228</v>
      </c>
      <c r="Z64" s="2405"/>
      <c r="AI64" s="2406"/>
    </row>
    <row r="65" spans="1:35" ht="14.25" hidden="1" customHeight="1">
      <c r="A65" s="196" t="s">
        <v>771</v>
      </c>
      <c r="B65" s="197" t="s">
        <v>2229</v>
      </c>
      <c r="C65" s="201"/>
      <c r="D65" s="199"/>
      <c r="E65" s="200"/>
      <c r="F65" s="2471"/>
      <c r="G65" s="2471"/>
      <c r="H65" s="2479"/>
      <c r="I65" s="137"/>
      <c r="J65" s="3195"/>
      <c r="K65" s="2481" t="s">
        <v>2230</v>
      </c>
      <c r="L65" s="1742">
        <f ca="1">IF(M49&gt;1000,M49*0.1%,IF(AND(M49&gt;500,M49&lt;=1000),M49*0.5%,IF(AND(M49&gt;50,M49&lt;=500),M49*1%,IF(AND(M49&gt;1,M49&lt;=50),M49*1.5%))))</f>
        <v>7.5090000000000003</v>
      </c>
      <c r="M65" s="24">
        <f t="shared" ca="1" si="1"/>
        <v>7.5</v>
      </c>
      <c r="N65" s="137" t="s">
        <v>2228</v>
      </c>
      <c r="Z65" s="2405"/>
      <c r="AI65" s="2406"/>
    </row>
    <row r="66" spans="1:35" ht="14.25" hidden="1" customHeight="1">
      <c r="A66" s="202" t="s">
        <v>772</v>
      </c>
      <c r="B66" s="203" t="s">
        <v>2231</v>
      </c>
      <c r="C66" s="204"/>
      <c r="D66" s="205" t="s">
        <v>32</v>
      </c>
      <c r="E66" s="1766" t="s">
        <v>1371</v>
      </c>
      <c r="F66" s="2471"/>
      <c r="G66" s="2471"/>
      <c r="H66" s="2479"/>
      <c r="I66" s="137"/>
      <c r="J66" s="3195"/>
      <c r="K66" s="2481" t="s">
        <v>2232</v>
      </c>
      <c r="L66" s="1742">
        <f ca="1">M49*0.5%</f>
        <v>37.545000000000002</v>
      </c>
      <c r="M66" s="24">
        <f ca="1">IF(L66&gt;0.5,0.5,ROUND(L66,0))</f>
        <v>0.5</v>
      </c>
      <c r="N66" s="137" t="s">
        <v>2233</v>
      </c>
      <c r="Z66" s="2405"/>
      <c r="AI66" s="2406"/>
    </row>
    <row r="67" spans="1:35" ht="14.25" hidden="1" customHeight="1">
      <c r="A67" s="202" t="s">
        <v>773</v>
      </c>
      <c r="B67" s="203" t="s">
        <v>2234</v>
      </c>
      <c r="C67" s="206">
        <f ca="1">C63-C66</f>
        <v>7151</v>
      </c>
      <c r="D67" s="199" t="s">
        <v>32</v>
      </c>
      <c r="E67" s="200"/>
      <c r="F67" s="2471"/>
      <c r="G67" s="2471"/>
      <c r="H67" s="2479"/>
      <c r="I67" s="137"/>
      <c r="J67" s="3195"/>
      <c r="K67" s="2481" t="s">
        <v>2235</v>
      </c>
      <c r="L67" s="1742">
        <f ca="1">IF(M49&gt;=10000,(8.25+(M49-10000)*0.01%),IF(AND(M49&gt;=8000,M49&lt;10000),(7.85+(M49-8000)*0.02%),IF(AND(M49&gt;=5000,M49&lt;8000),(6.65+(M49-5000)*0.04%),IF(AND(M49&gt;=2000,M49&lt;5000),(4.25+(PM49-2000)*0.08%),IF(AND(M49&gt;=1000,M49&lt;2000),(2.75+(M49-1000)*0.15%),IF(AND(M49&gt;=100,M49&lt;1000),(0.5+(M49-100)*0.25%),IF(AND(M49&gt;0,M49&lt;100),M49*0.5%)))))))</f>
        <v>7.6536000000000008</v>
      </c>
      <c r="M67" s="24">
        <f ca="1">ROUND(L67*0.9,1)</f>
        <v>6.9</v>
      </c>
      <c r="Z67" s="2405"/>
      <c r="AI67" s="2406"/>
    </row>
    <row r="68" spans="1:35" ht="14.25" hidden="1" customHeight="1" thickBot="1">
      <c r="A68" s="207" t="s">
        <v>774</v>
      </c>
      <c r="B68" s="208" t="s">
        <v>2236</v>
      </c>
      <c r="C68" s="209">
        <f ca="1">IF(C67&lt;=0,0,ROUND(C67*D68,0))</f>
        <v>400</v>
      </c>
      <c r="D68" s="210">
        <f>'数据-取费表'!B41</f>
        <v>5.6000000000000001E-2</v>
      </c>
      <c r="E68" s="211"/>
      <c r="F68" s="2471"/>
      <c r="G68" s="2471"/>
      <c r="H68" s="2479"/>
      <c r="I68" s="137"/>
      <c r="J68" s="3195"/>
      <c r="K68" s="2481" t="s">
        <v>2237</v>
      </c>
      <c r="L68" s="1742">
        <f ca="1">IF(M49&gt;10000,M49*0.5%,IF(AND(M49&gt;5000,M49&lt;=10000),M49*1%,IF(AND(M49&gt;1000,M49&lt;=5000),M49*2%,IF(AND(M49&gt;200,M49&lt;=1000),M49*3%,M49*5%))))</f>
        <v>75.09</v>
      </c>
      <c r="M68" s="24">
        <f ca="1">ROUND(L68,1)</f>
        <v>75.099999999999994</v>
      </c>
      <c r="Z68" s="2405"/>
      <c r="AI68" s="2406"/>
    </row>
    <row r="69" spans="1:35" s="2428" customFormat="1" ht="16.5" hidden="1" customHeight="1">
      <c r="A69" s="2482"/>
      <c r="B69" s="2483"/>
      <c r="C69" s="2484"/>
      <c r="D69" s="2485"/>
      <c r="E69" s="2486"/>
      <c r="F69" s="2152"/>
      <c r="G69" s="2152"/>
      <c r="H69" s="2151"/>
      <c r="I69" s="2400"/>
      <c r="J69" s="3195"/>
      <c r="K69" s="2481" t="s">
        <v>2238</v>
      </c>
      <c r="L69" s="2487"/>
      <c r="M69" s="24">
        <f ca="1">ROUND(SUM(M63:M68),0)</f>
        <v>203</v>
      </c>
      <c r="N69" s="1743">
        <f ca="1">M69/M49</f>
        <v>2.7034225595951526E-2</v>
      </c>
      <c r="O69" s="793"/>
      <c r="P69" s="793"/>
      <c r="Q69" s="793"/>
      <c r="R69" s="793"/>
      <c r="S69" s="793"/>
      <c r="T69" s="793"/>
      <c r="U69" s="793"/>
      <c r="V69" s="793"/>
      <c r="W69" s="793"/>
      <c r="X69" s="793"/>
      <c r="Y69" s="793"/>
      <c r="Z69" s="2405"/>
      <c r="AA69" s="2405"/>
      <c r="AB69" s="2405"/>
      <c r="AC69" s="2405"/>
      <c r="AD69" s="2405"/>
      <c r="AE69" s="2405"/>
      <c r="AF69" s="2405"/>
      <c r="AG69" s="2405"/>
      <c r="AH69" s="2405"/>
    </row>
    <row r="70" spans="1:35" s="2489" customFormat="1" ht="15" hidden="1" thickBot="1">
      <c r="A70" s="3154" t="s">
        <v>2239</v>
      </c>
      <c r="B70" s="3155"/>
      <c r="C70" s="3155"/>
      <c r="D70" s="3155"/>
      <c r="E70" s="3155"/>
      <c r="F70" s="3155"/>
      <c r="G70" s="3155"/>
      <c r="H70" s="3155"/>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hidden="1">
      <c r="A71" s="3133" t="s">
        <v>2220</v>
      </c>
      <c r="B71" s="3134"/>
      <c r="C71" s="1794"/>
      <c r="D71" s="1794" t="s">
        <v>2221</v>
      </c>
      <c r="E71" s="212" t="s">
        <v>2222</v>
      </c>
      <c r="F71" s="213"/>
      <c r="G71" s="213"/>
      <c r="H71" s="214"/>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hidden="1">
      <c r="A72" s="202" t="s">
        <v>775</v>
      </c>
      <c r="B72" s="203" t="s">
        <v>2240</v>
      </c>
      <c r="C72" s="206">
        <f ca="1">ROUND(D45/(1+'数据-取费表'!C42),0)</f>
        <v>7151</v>
      </c>
      <c r="D72" s="199" t="s">
        <v>32</v>
      </c>
      <c r="E72" s="1793"/>
      <c r="F72" s="1787"/>
      <c r="G72" s="1787"/>
      <c r="H72" s="215"/>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hidden="1">
      <c r="A73" s="202" t="s">
        <v>772</v>
      </c>
      <c r="B73" s="172" t="s">
        <v>2241</v>
      </c>
      <c r="C73" s="206">
        <f ca="1">C74+C78</f>
        <v>43</v>
      </c>
      <c r="D73" s="199" t="s">
        <v>32</v>
      </c>
      <c r="E73" s="1793"/>
      <c r="F73" s="1787"/>
      <c r="G73" s="1787"/>
      <c r="H73" s="215"/>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hidden="1">
      <c r="A74" s="216" t="s">
        <v>770</v>
      </c>
      <c r="B74" s="197" t="s">
        <v>2242</v>
      </c>
      <c r="C74" s="199">
        <f>ROUND(IF(G77="2016年5月1日后购买",C75/(1+'数据-取费表'!C42)+C76+C77,C75+C76+C77),0)</f>
        <v>0</v>
      </c>
      <c r="D74" s="199" t="s">
        <v>32</v>
      </c>
      <c r="E74" s="1793"/>
      <c r="F74" s="1787"/>
      <c r="G74" s="1787"/>
      <c r="H74" s="215"/>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hidden="1">
      <c r="A75" s="216" t="s">
        <v>776</v>
      </c>
      <c r="B75" s="197" t="s">
        <v>2243</v>
      </c>
      <c r="C75" s="217"/>
      <c r="D75" s="199" t="s">
        <v>32</v>
      </c>
      <c r="E75" s="218" t="s">
        <v>2244</v>
      </c>
      <c r="F75" s="2493" t="s">
        <v>2245</v>
      </c>
      <c r="G75" s="218" t="s">
        <v>2246</v>
      </c>
      <c r="H75" s="219"/>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hidden="1" customHeight="1">
      <c r="A76" s="216" t="s">
        <v>777</v>
      </c>
      <c r="B76" s="220" t="s">
        <v>2247</v>
      </c>
      <c r="C76" s="199">
        <f>IF(F75="购房发票",ROUND(C75*H75*D76,0),0)</f>
        <v>0</v>
      </c>
      <c r="D76" s="221">
        <v>0.05</v>
      </c>
      <c r="E76" s="3128" t="s">
        <v>2248</v>
      </c>
      <c r="F76" s="3105"/>
      <c r="G76" s="3105"/>
      <c r="H76" s="3153"/>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hidden="1" customHeight="1">
      <c r="A77" s="216" t="s">
        <v>778</v>
      </c>
      <c r="B77" s="197" t="s">
        <v>2249</v>
      </c>
      <c r="C77" s="199">
        <f>ROUND(IF(G77="个人住宅",0,IF(G77="2016年5月1日前购买",C75*D77,C75*D77/(1+'数据-取费表'!C42))),0)</f>
        <v>0</v>
      </c>
      <c r="D77" s="222">
        <f>'数据-取费表'!B48+'数据-取费表'!B49</f>
        <v>3.0499999999999999E-2</v>
      </c>
      <c r="E77" s="15" t="s">
        <v>2250</v>
      </c>
      <c r="F77" s="223"/>
      <c r="G77" s="2495" t="s">
        <v>2251</v>
      </c>
      <c r="H77" s="1798"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hidden="1" customHeight="1">
      <c r="A78" s="216" t="s">
        <v>771</v>
      </c>
      <c r="B78" s="197" t="s">
        <v>2252</v>
      </c>
      <c r="C78" s="224">
        <f ca="1">ROUND(D45*D78/(1+'数据-取费表'!C42),0)</f>
        <v>43</v>
      </c>
      <c r="D78" s="225">
        <f>'数据-取费表'!B43</f>
        <v>6.000000000000001E-3</v>
      </c>
      <c r="E78" s="3114" t="s">
        <v>2253</v>
      </c>
      <c r="F78" s="3115"/>
      <c r="G78" s="3115"/>
      <c r="H78" s="3124"/>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hidden="1">
      <c r="A79" s="2497" t="s">
        <v>779</v>
      </c>
      <c r="B79" s="203" t="s">
        <v>2254</v>
      </c>
      <c r="C79" s="206">
        <f ca="1">C72-C73</f>
        <v>7108</v>
      </c>
      <c r="D79" s="199" t="s">
        <v>32</v>
      </c>
      <c r="E79" s="1793"/>
      <c r="F79" s="1787"/>
      <c r="G79" s="1787"/>
      <c r="H79" s="215"/>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hidden="1">
      <c r="A80" s="2497" t="s">
        <v>780</v>
      </c>
      <c r="B80" s="203" t="s">
        <v>2255</v>
      </c>
      <c r="C80" s="226">
        <f ca="1">IF(C79&lt;=0,0,C79/C73)</f>
        <v>165.30232558139534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5"/>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hidden="1" thickBot="1">
      <c r="A81" s="2498" t="s">
        <v>781</v>
      </c>
      <c r="B81" s="208" t="s">
        <v>2256</v>
      </c>
      <c r="C81" s="227">
        <f ca="1">ROUND(IF(C79&lt;=0,0,IF(C80&gt;=200%,C79*60%-C73*35%,IF(C80&gt;=100%,C79*50%-C73*15%,IF(C80&gt;=50%,C79*40%-C73*5%,IF(C80&lt;50%,C79*30%,0))))),0)</f>
        <v>4250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hidden="1" customHeight="1">
      <c r="A82" s="731"/>
      <c r="B82" s="732"/>
      <c r="C82" s="7"/>
      <c r="D82" s="7"/>
      <c r="E82" s="732"/>
      <c r="F82" s="732"/>
      <c r="G82" s="732"/>
      <c r="H82" s="733"/>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hidden="1" thickBot="1">
      <c r="A83" s="3154" t="s">
        <v>2257</v>
      </c>
      <c r="B83" s="3155"/>
      <c r="C83" s="3155"/>
      <c r="D83" s="3155"/>
      <c r="E83" s="3155"/>
      <c r="F83" s="3155"/>
      <c r="G83" s="3155"/>
      <c r="H83" s="3155"/>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hidden="1">
      <c r="A84" s="3133" t="s">
        <v>2220</v>
      </c>
      <c r="B84" s="3134"/>
      <c r="C84" s="1794"/>
      <c r="D84" s="1794" t="s">
        <v>2221</v>
      </c>
      <c r="E84" s="212" t="s">
        <v>2222</v>
      </c>
      <c r="F84" s="213"/>
      <c r="G84" s="213"/>
      <c r="H84" s="232"/>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hidden="1">
      <c r="A85" s="202" t="s">
        <v>775</v>
      </c>
      <c r="B85" s="203" t="s">
        <v>2240</v>
      </c>
      <c r="C85" s="206">
        <f ca="1">ROUND(D45/(1+'数据-取费表'!C42),0)</f>
        <v>7151</v>
      </c>
      <c r="D85" s="199" t="s">
        <v>32</v>
      </c>
      <c r="E85" s="1793"/>
      <c r="F85" s="1787"/>
      <c r="G85" s="1787"/>
      <c r="H85" s="233"/>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hidden="1">
      <c r="A86" s="202" t="s">
        <v>772</v>
      </c>
      <c r="B86" s="172" t="s">
        <v>2241</v>
      </c>
      <c r="C86" s="206">
        <f ca="1">IF(H88="仅含出让金",C87+C90+C91+C92+C93+C94,C87+C91+C92+C93+C94)</f>
        <v>43</v>
      </c>
      <c r="D86" s="234"/>
      <c r="E86" s="1793"/>
      <c r="F86" s="1787"/>
      <c r="G86" s="1787"/>
      <c r="H86" s="233"/>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hidden="1">
      <c r="A87" s="216" t="s">
        <v>770</v>
      </c>
      <c r="B87" s="197" t="s">
        <v>2258</v>
      </c>
      <c r="C87" s="224">
        <f>C88+C89</f>
        <v>0</v>
      </c>
      <c r="D87" s="225"/>
      <c r="E87" s="1789"/>
      <c r="F87" s="1790"/>
      <c r="G87" s="1790"/>
      <c r="H87" s="1792"/>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hidden="1">
      <c r="A88" s="216" t="s">
        <v>776</v>
      </c>
      <c r="B88" s="197" t="s">
        <v>2259</v>
      </c>
      <c r="C88" s="235"/>
      <c r="D88" s="225"/>
      <c r="E88" s="236" t="s">
        <v>2260</v>
      </c>
      <c r="F88" s="1790"/>
      <c r="G88" s="237" t="s">
        <v>2261</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hidden="1">
      <c r="A89" s="216" t="s">
        <v>777</v>
      </c>
      <c r="B89" s="197" t="s">
        <v>2249</v>
      </c>
      <c r="C89" s="224">
        <f>ROUND(C88*D89,0)</f>
        <v>0</v>
      </c>
      <c r="D89" s="225">
        <f>'数据-取费表'!B48+'数据-取费表'!B49</f>
        <v>3.0499999999999999E-2</v>
      </c>
      <c r="E89" s="236" t="s">
        <v>2262</v>
      </c>
      <c r="F89" s="1790"/>
      <c r="G89" s="1790"/>
      <c r="H89" s="1792"/>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hidden="1">
      <c r="A90" s="216" t="s">
        <v>771</v>
      </c>
      <c r="B90" s="197" t="s">
        <v>2263</v>
      </c>
      <c r="C90" s="235"/>
      <c r="D90" s="225"/>
      <c r="E90" s="236" t="str">
        <f>IF(H88="-","土地取得成本中已包含该笔费用"," ")</f>
        <v xml:space="preserve"> </v>
      </c>
      <c r="F90" s="1790"/>
      <c r="G90" s="1790"/>
      <c r="H90" s="1792"/>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hidden="1" customHeight="1">
      <c r="A91" s="216" t="s">
        <v>2264</v>
      </c>
      <c r="B91" s="197" t="s">
        <v>2265</v>
      </c>
      <c r="C91" s="224">
        <f>IF(H91="——",成本法!C33,I91)</f>
        <v>0</v>
      </c>
      <c r="D91" s="225"/>
      <c r="E91" s="3114" t="s">
        <v>2266</v>
      </c>
      <c r="F91" s="3115"/>
      <c r="G91" s="3115"/>
      <c r="H91" s="2500" t="s">
        <v>2267</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hidden="1" customHeight="1">
      <c r="A92" s="216" t="s">
        <v>2268</v>
      </c>
      <c r="B92" s="197" t="s">
        <v>2269</v>
      </c>
      <c r="C92" s="224">
        <f>ROUND((C87+C90+C91)*D92,0)</f>
        <v>0</v>
      </c>
      <c r="D92" s="225">
        <v>0.1</v>
      </c>
      <c r="E92" s="3114" t="s">
        <v>2270</v>
      </c>
      <c r="F92" s="3115"/>
      <c r="G92" s="3115"/>
      <c r="H92" s="3124"/>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hidden="1" customHeight="1">
      <c r="A93" s="216" t="s">
        <v>2271</v>
      </c>
      <c r="B93" s="197" t="s">
        <v>2252</v>
      </c>
      <c r="C93" s="224">
        <f ca="1">ROUND(D45*D93/(1+'数据-取费表'!C42),0)</f>
        <v>43</v>
      </c>
      <c r="D93" s="225">
        <f>'数据-取费表'!B43</f>
        <v>6.000000000000001E-3</v>
      </c>
      <c r="E93" s="3114" t="s">
        <v>2253</v>
      </c>
      <c r="F93" s="3115"/>
      <c r="G93" s="3115"/>
      <c r="H93" s="3124"/>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hidden="1" customHeight="1">
      <c r="A94" s="216" t="s">
        <v>2272</v>
      </c>
      <c r="B94" s="197" t="s">
        <v>2273</v>
      </c>
      <c r="C94" s="235">
        <f>ROUND((C87+C90+C91)*D94,0)</f>
        <v>0</v>
      </c>
      <c r="D94" s="225">
        <v>0.2</v>
      </c>
      <c r="E94" s="3125" t="s">
        <v>2274</v>
      </c>
      <c r="F94" s="3126"/>
      <c r="G94" s="3126"/>
      <c r="H94" s="3127"/>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hidden="1">
      <c r="A95" s="2497" t="s">
        <v>779</v>
      </c>
      <c r="B95" s="203" t="s">
        <v>2254</v>
      </c>
      <c r="C95" s="206">
        <f ca="1">ROUND(C85-C86,0)</f>
        <v>7108</v>
      </c>
      <c r="D95" s="199" t="s">
        <v>32</v>
      </c>
      <c r="E95" s="1793"/>
      <c r="F95" s="1787"/>
      <c r="G95" s="1787"/>
      <c r="H95" s="233"/>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hidden="1">
      <c r="A96" s="2497" t="s">
        <v>780</v>
      </c>
      <c r="B96" s="203" t="s">
        <v>2255</v>
      </c>
      <c r="C96" s="226">
        <f ca="1">IF(C95&lt;=0,0,C95/C86)</f>
        <v>165.30232558139534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3"/>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hidden="1" thickBot="1">
      <c r="A97" s="2498" t="s">
        <v>781</v>
      </c>
      <c r="B97" s="208" t="s">
        <v>2256</v>
      </c>
      <c r="C97" s="227">
        <f ca="1">ROUND(IF(C95&lt;=0,0,IF(C96&gt;=200%,C95*60%-C86*35%,IF(C96&gt;=100%,C95*50%-C86*15%,IF(C96&gt;=50%,C95*40%-C86*5%,IF(C96&lt;50%,C95*30%,0))))),0)</f>
        <v>4250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hidden="1" customHeight="1">
      <c r="A98" s="2478"/>
      <c r="B98" s="2400"/>
      <c r="C98" s="2400"/>
      <c r="D98" s="2400"/>
      <c r="E98" s="2152"/>
      <c r="F98" s="2152"/>
      <c r="G98" s="2152"/>
      <c r="H98" s="2151"/>
      <c r="I98" s="137"/>
    </row>
    <row r="99" spans="1:35" ht="21.75" customHeight="1" thickBot="1">
      <c r="A99" s="2456" t="s">
        <v>2275</v>
      </c>
      <c r="B99" s="2400"/>
      <c r="C99" s="2400"/>
      <c r="D99" s="2400"/>
      <c r="E99" s="2152"/>
      <c r="F99" s="2152"/>
      <c r="G99" s="2152"/>
      <c r="H99" s="2151"/>
      <c r="I99" s="137"/>
    </row>
    <row r="100" spans="1:35" ht="18.75" customHeight="1">
      <c r="A100" s="3099" t="s">
        <v>2276</v>
      </c>
      <c r="B100" s="3100"/>
      <c r="C100" s="3100"/>
      <c r="D100" s="3116"/>
      <c r="E100" s="3100" t="s">
        <v>2277</v>
      </c>
      <c r="F100" s="3100"/>
      <c r="G100" s="3100"/>
      <c r="H100" s="3116"/>
      <c r="I100" s="137"/>
    </row>
    <row r="101" spans="1:35" ht="18.75" customHeight="1">
      <c r="A101" s="3178" t="s">
        <v>2278</v>
      </c>
      <c r="B101" s="3179"/>
      <c r="C101" s="734" t="str">
        <f>C4</f>
        <v>成本法</v>
      </c>
      <c r="D101" s="735" t="str">
        <f>D4</f>
        <v>收益法（汇总）</v>
      </c>
      <c r="E101" s="3192" t="s">
        <v>2279</v>
      </c>
      <c r="F101" s="3146"/>
      <c r="G101" s="2502" t="s">
        <v>2280</v>
      </c>
      <c r="H101" s="1040">
        <f ca="1">H118</f>
        <v>7509</v>
      </c>
      <c r="I101" s="137"/>
    </row>
    <row r="102" spans="1:35" ht="18.75" customHeight="1">
      <c r="A102" s="3148" t="s">
        <v>2281</v>
      </c>
      <c r="B102" s="2502" t="s">
        <v>2280</v>
      </c>
      <c r="C102" s="734">
        <f ca="1">C19</f>
        <v>3725</v>
      </c>
      <c r="D102" s="735">
        <f ca="1">D19</f>
        <v>9131</v>
      </c>
      <c r="E102" s="3192"/>
      <c r="F102" s="3146"/>
      <c r="G102" s="2502" t="s">
        <v>2282</v>
      </c>
      <c r="H102" s="370">
        <f ca="1">I118</f>
        <v>8963</v>
      </c>
      <c r="I102" s="137"/>
    </row>
    <row r="103" spans="1:35" ht="42.75" customHeight="1">
      <c r="A103" s="3148"/>
      <c r="B103" s="2502" t="s">
        <v>2282</v>
      </c>
      <c r="C103" s="736">
        <f ca="1">C20</f>
        <v>4446</v>
      </c>
      <c r="D103" s="737">
        <f ca="1">D20</f>
        <v>10899</v>
      </c>
      <c r="E103" s="3187" t="s">
        <v>2283</v>
      </c>
      <c r="F103" s="3188"/>
      <c r="G103" s="2503" t="s">
        <v>2284</v>
      </c>
      <c r="H103" s="1040">
        <f>IF(D36="正常操作",H104+H105+H106,H105+H106)</f>
        <v>0</v>
      </c>
      <c r="I103" s="137"/>
    </row>
    <row r="104" spans="1:35" ht="18.75" customHeight="1">
      <c r="A104" s="3148" t="s">
        <v>2285</v>
      </c>
      <c r="B104" s="2504" t="s">
        <v>2280</v>
      </c>
      <c r="C104" s="738">
        <f ca="1">H118</f>
        <v>7509</v>
      </c>
      <c r="D104" s="739"/>
      <c r="E104" s="2252" t="s">
        <v>2286</v>
      </c>
      <c r="F104" s="2244"/>
      <c r="G104" s="2503" t="s">
        <v>2284</v>
      </c>
      <c r="H104" s="1041">
        <f>IF(D36="同一抵押权人同一抵押物续贷",C36&amp;"（未扣减，详见特别提示）",C36)</f>
        <v>0</v>
      </c>
      <c r="I104" s="137"/>
    </row>
    <row r="105" spans="1:35" ht="18.75" customHeight="1" thickBot="1">
      <c r="A105" s="3149"/>
      <c r="B105" s="2505" t="s">
        <v>2282</v>
      </c>
      <c r="C105" s="740">
        <f ca="1">I118</f>
        <v>8963</v>
      </c>
      <c r="D105" s="741"/>
      <c r="E105" s="2252" t="s">
        <v>2287</v>
      </c>
      <c r="F105" s="2244"/>
      <c r="G105" s="2503" t="s">
        <v>2284</v>
      </c>
      <c r="H105" s="1041">
        <f>C37</f>
        <v>0</v>
      </c>
      <c r="I105" s="137"/>
    </row>
    <row r="106" spans="1:35" ht="18.75" customHeight="1">
      <c r="A106" s="2400" t="s">
        <v>2288</v>
      </c>
      <c r="B106" s="2400"/>
      <c r="C106" s="2400"/>
      <c r="D106" s="2400"/>
      <c r="E106" s="2506" t="s">
        <v>2289</v>
      </c>
      <c r="F106" s="2244"/>
      <c r="G106" s="2503" t="s">
        <v>2284</v>
      </c>
      <c r="H106" s="1041">
        <f>C38</f>
        <v>0</v>
      </c>
      <c r="I106" s="137"/>
    </row>
    <row r="107" spans="1:35" ht="18.75" customHeight="1">
      <c r="A107" s="137"/>
      <c r="B107" s="137"/>
      <c r="C107" s="137"/>
      <c r="D107" s="137"/>
      <c r="E107" s="3145" t="str">
        <f>IF(项目基本情况!E8="已注销","——","3.房地产抵押价值")</f>
        <v>——</v>
      </c>
      <c r="F107" s="3146"/>
      <c r="G107" s="2502" t="s">
        <v>2280</v>
      </c>
      <c r="H107" s="1040" t="str">
        <f>IF(E107="——","——",H101-H103)</f>
        <v>——</v>
      </c>
      <c r="I107" s="137"/>
    </row>
    <row r="108" spans="1:35" ht="18.75" customHeight="1">
      <c r="A108" s="137"/>
      <c r="B108" s="137"/>
      <c r="C108" s="137"/>
      <c r="D108" s="137"/>
      <c r="E108" s="3145"/>
      <c r="F108" s="3146"/>
      <c r="G108" s="2502" t="s">
        <v>2282</v>
      </c>
      <c r="H108" s="370" t="e">
        <f>ROUND(H107*10000/'数据-汇总表'!E3,0)</f>
        <v>#VALUE!</v>
      </c>
      <c r="I108" s="137"/>
    </row>
    <row r="109" spans="1:35" ht="18.75" customHeight="1">
      <c r="A109" s="137"/>
      <c r="B109" s="137"/>
      <c r="C109" s="137"/>
      <c r="D109" s="137"/>
      <c r="E109" s="3145" t="str">
        <f>IF(项目基本情况!E8="已注销及未注销","4.抵押担保权已注销时的房地产抵押价值",IF(项目基本情况!E8="已注销","3.抵押担保权已注销时的房地产抵押价值","——"))</f>
        <v>3.抵押担保权已注销时的房地产抵押价值</v>
      </c>
      <c r="F109" s="3146"/>
      <c r="G109" s="2502" t="s">
        <v>2280</v>
      </c>
      <c r="H109" s="347">
        <f ca="1">IF(E109="——","——",H101-H105-H106)</f>
        <v>7509</v>
      </c>
      <c r="I109" s="137"/>
    </row>
    <row r="110" spans="1:35" ht="18.75" customHeight="1">
      <c r="A110" s="137"/>
      <c r="B110" s="137"/>
      <c r="C110" s="137"/>
      <c r="D110" s="137"/>
      <c r="E110" s="3145"/>
      <c r="F110" s="3146"/>
      <c r="G110" s="2502" t="s">
        <v>2282</v>
      </c>
      <c r="H110" s="370">
        <f ca="1">IF(H109="——","——",ROUND(H109*10000/'数据-汇总表'!E3,0))</f>
        <v>8963</v>
      </c>
      <c r="I110" s="137"/>
    </row>
    <row r="111" spans="1:35" ht="18.75" customHeight="1">
      <c r="A111" s="137"/>
      <c r="B111" s="137"/>
      <c r="C111" s="137"/>
      <c r="D111" s="137"/>
      <c r="E111" s="3180" t="str">
        <f>IF(项目基本情况!E9="抵押净值",IF(OR(项目基本情况!E8="已注销",项目基本情况!E8="房地产抵押价值"),"4.抵押净值","5.抵押净值"),"——")</f>
        <v>——</v>
      </c>
      <c r="F111" s="3181"/>
      <c r="G111" s="2502" t="s">
        <v>2280</v>
      </c>
      <c r="H111" s="1040" t="str">
        <f>IF(E111="——","——",N59)</f>
        <v>——</v>
      </c>
      <c r="I111" s="137"/>
    </row>
    <row r="112" spans="1:35" ht="18.75" customHeight="1" thickBot="1">
      <c r="A112" s="137"/>
      <c r="B112" s="137"/>
      <c r="C112" s="137"/>
      <c r="D112" s="137"/>
      <c r="E112" s="3182"/>
      <c r="F112" s="3183"/>
      <c r="G112" s="2507" t="s">
        <v>2282</v>
      </c>
      <c r="H112" s="788" t="str">
        <f>IF(E111="——","——",N61)</f>
        <v>——</v>
      </c>
      <c r="I112" s="137"/>
    </row>
    <row r="113" spans="1:11" ht="18.75" customHeight="1">
      <c r="A113" s="137"/>
      <c r="B113" s="137"/>
      <c r="C113" s="137"/>
      <c r="D113" s="137"/>
      <c r="E113" s="3150" t="s">
        <v>2288</v>
      </c>
      <c r="F113" s="3150"/>
      <c r="G113" s="3150"/>
      <c r="H113" s="3150"/>
      <c r="I113" s="137"/>
    </row>
    <row r="114" spans="1:11" ht="3.75" customHeight="1">
      <c r="A114" s="2400"/>
      <c r="B114" s="2400"/>
      <c r="C114" s="2400"/>
      <c r="D114" s="2400"/>
      <c r="E114" s="2478"/>
      <c r="F114" s="2478"/>
      <c r="G114" s="2478"/>
      <c r="H114" s="2478"/>
      <c r="I114" s="2400"/>
    </row>
    <row r="115" spans="1:11" ht="18.75" customHeight="1">
      <c r="A115" s="3163" t="s">
        <v>2290</v>
      </c>
      <c r="B115" s="3164"/>
      <c r="C115" s="3164"/>
      <c r="D115" s="3164"/>
      <c r="E115" s="3164"/>
      <c r="F115" s="3164"/>
      <c r="G115" s="3164"/>
      <c r="H115" s="3164"/>
      <c r="I115" s="3165"/>
    </row>
    <row r="116" spans="1:11" ht="27" customHeight="1">
      <c r="A116" s="3056" t="s">
        <v>2291</v>
      </c>
      <c r="B116" s="3151" t="s">
        <v>3239</v>
      </c>
      <c r="C116" s="3151" t="s">
        <v>3240</v>
      </c>
      <c r="D116" s="3167" t="s">
        <v>2292</v>
      </c>
      <c r="E116" s="3168"/>
      <c r="F116" s="3159" t="s">
        <v>3238</v>
      </c>
      <c r="G116" s="3159"/>
      <c r="H116" s="3056" t="s">
        <v>2293</v>
      </c>
      <c r="I116" s="3056"/>
    </row>
    <row r="117" spans="1:11" ht="18.75" customHeight="1">
      <c r="A117" s="3056"/>
      <c r="B117" s="3152"/>
      <c r="C117" s="3152"/>
      <c r="D117" s="1788" t="s">
        <v>2294</v>
      </c>
      <c r="E117" s="1788" t="s">
        <v>2295</v>
      </c>
      <c r="F117" s="1788" t="s">
        <v>2294</v>
      </c>
      <c r="G117" s="1788" t="s">
        <v>2296</v>
      </c>
      <c r="H117" s="1788" t="s">
        <v>2294</v>
      </c>
      <c r="I117" s="1788" t="s">
        <v>2296</v>
      </c>
    </row>
    <row r="118" spans="1:11" ht="24.75" customHeight="1">
      <c r="A118" s="2508" t="str">
        <f>项目基本情况!S2</f>
        <v>河北省廊坊开发区全兴路50号3幢、4幢工业用房房地产</v>
      </c>
      <c r="B118" s="1788">
        <f>M18</f>
        <v>8377.9700000000012</v>
      </c>
      <c r="C118" s="1788">
        <f>M19</f>
        <v>39950.5</v>
      </c>
      <c r="D118" s="1788">
        <f ca="1">ROUND(IF(D32="总价",C34,E118*B118/10000),0)</f>
        <v>4701</v>
      </c>
      <c r="E118" s="1788">
        <f ca="1">ROUND(IF(C33="自定义",IF(D32="楼面单价",C34,D118*10000/B118),I118-G118),0)</f>
        <v>5611</v>
      </c>
      <c r="F118" s="1788">
        <f ca="1">ROUND(IF(D32="总价",C35,G118*B118/10000),0)</f>
        <v>2808</v>
      </c>
      <c r="G118" s="1788">
        <f ca="1">ROUND(IF(D32="楼面单价",C35,F118*10000/B118),0)</f>
        <v>3352</v>
      </c>
      <c r="H118" s="1788">
        <f ca="1">ROUND(IF(D32="总价",C32,I118*B118/10000),0)</f>
        <v>7509</v>
      </c>
      <c r="I118" s="1788">
        <f ca="1">ROUND(IF(D32="楼面单价",C32,H118*10000/B118),0)</f>
        <v>8963</v>
      </c>
    </row>
    <row r="119" spans="1:11" ht="18.75" customHeight="1">
      <c r="A119" s="3056" t="s">
        <v>2297</v>
      </c>
      <c r="B119" s="3056"/>
      <c r="C119" s="3056"/>
      <c r="D119" s="3156" t="str">
        <f ca="1">NUMBERSTRING(INT(D118*10000),2)&amp;"元整"</f>
        <v>肆仟柒佰零壹万元整</v>
      </c>
      <c r="E119" s="3158"/>
      <c r="F119" s="3156" t="str">
        <f ca="1">NUMBERSTRING(INT(F118*10000),2)&amp;"元整"</f>
        <v>贰仟捌佰零捌万元整</v>
      </c>
      <c r="G119" s="3158"/>
      <c r="H119" s="3156" t="str">
        <f ca="1">NUMBERSTRING(INT(H118*10000),2)&amp;"元整"</f>
        <v>柒仟伍佰零玖万元整</v>
      </c>
      <c r="I119" s="3158"/>
    </row>
    <row r="120" spans="1:11" ht="18.75" customHeight="1">
      <c r="A120" s="3184" t="str">
        <f>IF(项目基本情况!B9="房地产市场价值","",MID(E103,3,LEN(E103)-2))</f>
        <v>估价师知悉的法定优先受偿款</v>
      </c>
      <c r="B120" s="3185"/>
      <c r="C120" s="3186"/>
      <c r="D120" s="3184">
        <f>H103</f>
        <v>0</v>
      </c>
      <c r="E120" s="3185"/>
      <c r="F120" s="3185"/>
      <c r="G120" s="3185"/>
      <c r="H120" s="3185"/>
      <c r="I120" s="3186"/>
      <c r="K120" s="2405" t="str">
        <f>IF(D120=0,"故，本次评估不存在"&amp;A120,"故，本次评估"&amp;A120&amp;"为人民币"&amp;D120&amp;"万元整。")</f>
        <v>故，本次评估不存在估价师知悉的法定优先受偿款</v>
      </c>
    </row>
    <row r="121" spans="1:11" ht="18.75" customHeight="1">
      <c r="A121" s="3160" t="s">
        <v>2297</v>
      </c>
      <c r="B121" s="3161"/>
      <c r="C121" s="3162"/>
      <c r="D121" s="3156" t="str">
        <f>IF(D120=0,"零元整",NUMBERSTRING(INT(D120*10000),2)&amp;"元整")</f>
        <v>零元整</v>
      </c>
      <c r="E121" s="3157"/>
      <c r="F121" s="3157"/>
      <c r="G121" s="3157"/>
      <c r="H121" s="3157"/>
      <c r="I121" s="3158"/>
    </row>
    <row r="122" spans="1:11" ht="18.75" customHeight="1">
      <c r="A122" s="3147" t="str">
        <f>IF(项目基本情况!B9="房地产市场价值","",MID(E107,3,LEN(E107)-2))</f>
        <v/>
      </c>
      <c r="B122" s="3147"/>
      <c r="C122" s="3147"/>
      <c r="D122" s="3184" t="str">
        <f>H107</f>
        <v>——</v>
      </c>
      <c r="E122" s="3185"/>
      <c r="F122" s="3185"/>
      <c r="G122" s="3185"/>
      <c r="H122" s="3185"/>
      <c r="I122" s="3186"/>
    </row>
    <row r="123" spans="1:11" ht="18.75" customHeight="1">
      <c r="A123" s="3056" t="s">
        <v>2297</v>
      </c>
      <c r="B123" s="3056"/>
      <c r="C123" s="3056"/>
      <c r="D123" s="3156" t="e">
        <f>NUMBERSTRING(INT(D122*10000),2)&amp;"元整"</f>
        <v>#VALUE!</v>
      </c>
      <c r="E123" s="3157"/>
      <c r="F123" s="3157"/>
      <c r="G123" s="3157"/>
      <c r="H123" s="3157"/>
      <c r="I123" s="3158"/>
    </row>
    <row r="124" spans="1:11" ht="18.75" customHeight="1">
      <c r="A124" s="3147" t="str">
        <f>IF(项目基本情况!B9="房地产市场价值","",MID(E109,3,LEN(E109)-2))</f>
        <v>抵押担保权已注销时的房地产抵押价值</v>
      </c>
      <c r="B124" s="3147"/>
      <c r="C124" s="3147"/>
      <c r="D124" s="3184">
        <f ca="1">H109</f>
        <v>7509</v>
      </c>
      <c r="E124" s="3185"/>
      <c r="F124" s="3185"/>
      <c r="G124" s="3185"/>
      <c r="H124" s="3185"/>
      <c r="I124" s="3186"/>
    </row>
    <row r="125" spans="1:11" ht="18.75" customHeight="1">
      <c r="A125" s="3056" t="s">
        <v>2297</v>
      </c>
      <c r="B125" s="3056"/>
      <c r="C125" s="3056"/>
      <c r="D125" s="3156" t="str">
        <f ca="1">NUMBERSTRING(INT(D124*10000),2)&amp;"元整"</f>
        <v>柒仟伍佰零玖万元整</v>
      </c>
      <c r="E125" s="3157"/>
      <c r="F125" s="3157"/>
      <c r="G125" s="3157"/>
      <c r="H125" s="3157"/>
      <c r="I125" s="3158"/>
    </row>
    <row r="126" spans="1:11" ht="18.75" customHeight="1">
      <c r="A126" s="3147" t="str">
        <f>IF(项目基本情况!B9="房地产市场价值","",MID(E111,3,LEN(E111)-2))</f>
        <v/>
      </c>
      <c r="B126" s="3147"/>
      <c r="C126" s="3147"/>
      <c r="D126" s="3184" t="str">
        <f>H111</f>
        <v>——</v>
      </c>
      <c r="E126" s="3185"/>
      <c r="F126" s="3185"/>
      <c r="G126" s="3185"/>
      <c r="H126" s="3185"/>
      <c r="I126" s="3186"/>
    </row>
    <row r="127" spans="1:11" ht="18.75" customHeight="1">
      <c r="A127" s="3056" t="s">
        <v>2297</v>
      </c>
      <c r="B127" s="3056"/>
      <c r="C127" s="3056"/>
      <c r="D127" s="3156" t="e">
        <f>NUMBERSTRING(INT(D126*10000),2)&amp;"元整"</f>
        <v>#VALUE!</v>
      </c>
      <c r="E127" s="3157"/>
      <c r="F127" s="3157"/>
      <c r="G127" s="3157"/>
      <c r="H127" s="3157"/>
      <c r="I127" s="3158"/>
    </row>
    <row r="128" spans="1:11" ht="21.75" customHeight="1">
      <c r="A128" s="3166" t="s">
        <v>2298</v>
      </c>
      <c r="B128" s="3166"/>
      <c r="C128" s="3166"/>
      <c r="D128" s="3166"/>
      <c r="E128" s="3166"/>
      <c r="F128" s="3166"/>
      <c r="G128" s="3166"/>
      <c r="H128" s="3166"/>
      <c r="I128" s="3166"/>
    </row>
    <row r="129" spans="1:35" ht="21.75" customHeight="1">
      <c r="A129" s="2509" t="s">
        <v>2299</v>
      </c>
      <c r="B129" s="2510"/>
      <c r="C129" s="2511" t="s">
        <v>2300</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3"/>
    </row>
    <row r="135" spans="1:35" ht="21.75" customHeight="1">
      <c r="A135" s="793"/>
      <c r="B135" s="793"/>
      <c r="C135" s="793"/>
      <c r="D135" s="793"/>
      <c r="E135" s="793"/>
      <c r="F135" s="2525" t="s">
        <v>2301</v>
      </c>
      <c r="G135" s="2526"/>
      <c r="H135" s="2526"/>
      <c r="I135" s="2527" t="s">
        <v>2302</v>
      </c>
    </row>
    <row r="136" spans="1:35" ht="21.75" customHeight="1">
      <c r="A136" s="793"/>
      <c r="B136" s="2528" t="s">
        <v>2303</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6"/>
      <c r="C138" s="2526"/>
      <c r="D138" s="2526"/>
      <c r="E138" s="2526"/>
      <c r="F138" s="2526"/>
      <c r="G138" s="2526"/>
      <c r="H138" s="2526"/>
      <c r="I138" s="2527" t="s">
        <v>2304</v>
      </c>
    </row>
    <row r="139" spans="1:35" ht="21.75" customHeight="1">
      <c r="A139" s="793"/>
      <c r="B139" s="2528" t="s">
        <v>2305</v>
      </c>
      <c r="C139" s="793"/>
      <c r="D139" s="793"/>
      <c r="E139" s="793"/>
      <c r="F139" s="793"/>
      <c r="G139" s="793"/>
      <c r="H139" s="793"/>
      <c r="I139" s="793"/>
    </row>
    <row r="140" spans="1:35" ht="21.75" customHeight="1">
      <c r="A140" s="793"/>
      <c r="B140" s="2528"/>
      <c r="C140" s="793"/>
      <c r="D140" s="793"/>
      <c r="E140" s="793"/>
      <c r="F140" s="793"/>
      <c r="G140" s="793"/>
      <c r="H140" s="793"/>
      <c r="I140" s="793"/>
    </row>
    <row r="141" spans="1:35" ht="21.75" customHeight="1">
      <c r="A141" s="793"/>
      <c r="B141" s="2526"/>
      <c r="C141" s="2526"/>
      <c r="D141" s="2526"/>
      <c r="E141" s="2526"/>
      <c r="F141" s="2526"/>
      <c r="G141" s="2526"/>
      <c r="H141" s="2526"/>
      <c r="I141" s="2527" t="s">
        <v>2304</v>
      </c>
    </row>
    <row r="142" spans="1:35" ht="21.75" customHeight="1">
      <c r="A142" s="793"/>
      <c r="B142" s="2528"/>
      <c r="C142" s="2529"/>
      <c r="D142" s="2530"/>
      <c r="E142" s="2530"/>
      <c r="F142" s="2326"/>
      <c r="G142" s="793"/>
      <c r="H142" s="793"/>
      <c r="I142" s="793"/>
    </row>
    <row r="143" spans="1:35" s="138" customFormat="1" ht="21.75" customHeight="1">
      <c r="A143" s="793"/>
      <c r="B143" s="2528"/>
      <c r="C143" s="2529"/>
      <c r="D143" s="2530"/>
      <c r="E143" s="2530"/>
      <c r="F143" s="232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4" zoomScale="80" zoomScaleNormal="80" workbookViewId="0">
      <selection activeCell="M36" sqref="M3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2724</v>
      </c>
      <c r="B1" s="394"/>
      <c r="C1" s="395" t="s">
        <v>2775</v>
      </c>
      <c r="D1" s="753"/>
      <c r="E1" s="753"/>
      <c r="F1" s="752" t="s">
        <v>2623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2307</v>
      </c>
      <c r="B2" s="669">
        <f>F61</f>
        <v>1670</v>
      </c>
      <c r="C2" s="1120"/>
      <c r="D2" s="1120"/>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7" customFormat="1" ht="28.5" customHeight="1" thickBot="1">
      <c r="A3" s="246" t="s">
        <v>2309</v>
      </c>
      <c r="B3" s="608">
        <f>ROUND(IF(D3="",B2*10000/'数据-汇总表'!E3,B2*10000/D3),0)</f>
        <v>1993</v>
      </c>
      <c r="C3" s="246" t="s">
        <v>2726</v>
      </c>
      <c r="D3" s="1576"/>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0" t="s">
        <v>2625</v>
      </c>
      <c r="B4" s="401"/>
      <c r="C4" s="3198" t="s">
        <v>2626</v>
      </c>
      <c r="D4" s="3225"/>
      <c r="E4" s="3226" t="s">
        <v>2627</v>
      </c>
      <c r="F4" s="3227"/>
      <c r="G4" s="3198" t="s">
        <v>2628</v>
      </c>
      <c r="H4" s="3225"/>
      <c r="I4" s="3198" t="s">
        <v>2629</v>
      </c>
      <c r="J4" s="3225"/>
      <c r="K4" s="609" t="s">
        <v>2630</v>
      </c>
      <c r="L4" s="1125"/>
      <c r="M4" s="1126"/>
      <c r="N4" s="1126"/>
      <c r="O4" s="1126"/>
      <c r="P4" s="3228" t="s">
        <v>2631</v>
      </c>
      <c r="Q4" s="3229"/>
      <c r="R4" s="3205" t="s">
        <v>2627</v>
      </c>
      <c r="S4" s="3206"/>
      <c r="T4" s="3205" t="s">
        <v>2628</v>
      </c>
      <c r="U4" s="3206"/>
      <c r="V4" s="3218" t="s">
        <v>2629</v>
      </c>
      <c r="W4" s="3218"/>
      <c r="X4" s="1806"/>
      <c r="Y4" s="3205" t="s">
        <v>2631</v>
      </c>
      <c r="Z4" s="3206"/>
      <c r="AA4" s="3222" t="s">
        <v>2627</v>
      </c>
      <c r="AB4" s="3223" t="s">
        <v>2628</v>
      </c>
      <c r="AC4" s="3222" t="s">
        <v>2629</v>
      </c>
    </row>
    <row r="5" spans="1:29" ht="15">
      <c r="A5" s="403"/>
      <c r="B5" s="404"/>
      <c r="C5" s="3209" t="s">
        <v>2522</v>
      </c>
      <c r="D5" s="3210"/>
      <c r="E5" s="3234" t="str">
        <f>'土地案例+位置图'!A2</f>
        <v>龙德道以南、春和路以东</v>
      </c>
      <c r="F5" s="3235"/>
      <c r="G5" s="3209" t="str">
        <f>'土地案例+位置图'!A3</f>
        <v>春和路以西、龙德道以南</v>
      </c>
      <c r="H5" s="3210"/>
      <c r="I5" s="3209" t="str">
        <f>'土地案例+位置图'!A4</f>
        <v>春和路以西、龙德道以南</v>
      </c>
      <c r="J5" s="3210"/>
      <c r="K5" s="609"/>
      <c r="L5" s="1125"/>
      <c r="M5" s="1126"/>
      <c r="N5" s="1126"/>
      <c r="O5" s="1126"/>
      <c r="P5" s="3230"/>
      <c r="Q5" s="3231"/>
      <c r="R5" s="3207"/>
      <c r="S5" s="3208"/>
      <c r="T5" s="3207"/>
      <c r="U5" s="3208"/>
      <c r="V5" s="3218"/>
      <c r="W5" s="3218"/>
      <c r="X5" s="1806"/>
      <c r="Y5" s="3207"/>
      <c r="Z5" s="3208"/>
      <c r="AA5" s="3223"/>
      <c r="AB5" s="3223"/>
      <c r="AC5" s="3223"/>
    </row>
    <row r="6" spans="1:29" ht="15.75" thickBot="1">
      <c r="A6" s="405"/>
      <c r="B6" s="406"/>
      <c r="C6" s="3211" t="s">
        <v>2776</v>
      </c>
      <c r="D6" s="3212"/>
      <c r="E6" s="3214" t="str">
        <f>'土地案例+位置图'!D2</f>
        <v>安次区</v>
      </c>
      <c r="F6" s="3215"/>
      <c r="G6" s="3211" t="str">
        <f>'土地案例+位置图'!D3</f>
        <v>安次区</v>
      </c>
      <c r="H6" s="3212"/>
      <c r="I6" s="3211" t="str">
        <f>'土地案例+位置图'!D4</f>
        <v>安次区</v>
      </c>
      <c r="J6" s="3212"/>
      <c r="K6" s="609" t="s">
        <v>2527</v>
      </c>
      <c r="L6" s="1125"/>
      <c r="M6" s="1126"/>
      <c r="N6" s="1126"/>
      <c r="O6" s="1126"/>
      <c r="P6" s="3232"/>
      <c r="Q6" s="3233"/>
      <c r="R6" s="3207"/>
      <c r="S6" s="3208"/>
      <c r="T6" s="3216"/>
      <c r="U6" s="3217"/>
      <c r="V6" s="3218"/>
      <c r="W6" s="3218"/>
      <c r="X6" s="1806"/>
      <c r="Y6" s="3216"/>
      <c r="Z6" s="3217"/>
      <c r="AA6" s="3224"/>
      <c r="AB6" s="3224"/>
      <c r="AC6" s="3224"/>
    </row>
    <row r="7" spans="1:29" s="117" customFormat="1" ht="15.75" thickBot="1">
      <c r="A7" s="407" t="s">
        <v>2528</v>
      </c>
      <c r="B7" s="408"/>
      <c r="C7" s="409">
        <f>'数据-取费表'!B2</f>
        <v>43216</v>
      </c>
      <c r="D7" s="410">
        <v>100</v>
      </c>
      <c r="E7" s="411" t="str">
        <f>'土地案例+位置图'!AA2</f>
        <v>2017-12-27</v>
      </c>
      <c r="F7" s="412">
        <f>SUMIF(65:65,YEAR(E7)&amp;"-"&amp;INT((MONTH(E7)+2)/3),66:66)</f>
        <v>98</v>
      </c>
      <c r="G7" s="2680" t="str">
        <f>'土地案例+位置图'!AA3</f>
        <v>2017-12-27</v>
      </c>
      <c r="H7" s="410">
        <f>SUMIF(65:65,YEAR(G7)&amp;"-"&amp;INT((MONTH(G7)+2)/3),66:66)</f>
        <v>98</v>
      </c>
      <c r="I7" s="2680" t="str">
        <f>'土地案例+位置图'!AA4</f>
        <v>2017-12-27</v>
      </c>
      <c r="J7" s="410">
        <f>SUMIF(65:65,YEAR(I7)&amp;"-"&amp;INT((MONTH(I7)+2)/3),66:66)</f>
        <v>98</v>
      </c>
      <c r="K7" s="610"/>
      <c r="L7" s="1127"/>
      <c r="M7" s="1128"/>
      <c r="N7" s="1128"/>
      <c r="O7" s="1128"/>
      <c r="P7" s="3203" t="s">
        <v>2529</v>
      </c>
      <c r="Q7" s="3213"/>
      <c r="R7" s="768" t="s">
        <v>17</v>
      </c>
      <c r="S7" s="769">
        <f t="shared" ref="S7:S15" si="0">F7</f>
        <v>98</v>
      </c>
      <c r="T7" s="768" t="s">
        <v>17</v>
      </c>
      <c r="U7" s="769">
        <f t="shared" ref="U7:U15" si="1">H7</f>
        <v>98</v>
      </c>
      <c r="V7" s="768" t="s">
        <v>17</v>
      </c>
      <c r="W7" s="769">
        <f t="shared" ref="W7:W15" si="2">J7</f>
        <v>98</v>
      </c>
      <c r="X7" s="770"/>
      <c r="Y7" s="3203" t="s">
        <v>2529</v>
      </c>
      <c r="Z7" s="3204"/>
      <c r="AA7" s="771">
        <f>D7/F7</f>
        <v>1.0204081632653061</v>
      </c>
      <c r="AB7" s="771">
        <f>D7/H7</f>
        <v>1.0204081632653061</v>
      </c>
      <c r="AC7" s="771">
        <f>D7/J7</f>
        <v>1.0204081632653061</v>
      </c>
    </row>
    <row r="8" spans="1:29" s="117" customFormat="1" ht="15.75" thickBot="1">
      <c r="A8" s="407" t="s">
        <v>2530</v>
      </c>
      <c r="B8" s="408"/>
      <c r="C8" s="413" t="s">
        <v>3297</v>
      </c>
      <c r="D8" s="410">
        <v>100</v>
      </c>
      <c r="E8" s="413" t="s">
        <v>2531</v>
      </c>
      <c r="F8" s="412">
        <f>SUMIF(68:68,E8,69:69)-SUMIF(68:68,C8,69:69)+100</f>
        <v>100</v>
      </c>
      <c r="G8" s="413" t="s">
        <v>2531</v>
      </c>
      <c r="H8" s="410">
        <f>SUMIF(68:68,G8,69:69)-SUMIF(68:68,C8,69:69)+100</f>
        <v>100</v>
      </c>
      <c r="I8" s="413" t="s">
        <v>2531</v>
      </c>
      <c r="J8" s="410">
        <f>SUMIF(68:68,I8,69:69)-SUMIF(68:68,C8,69:69)+100</f>
        <v>100</v>
      </c>
      <c r="K8" s="610"/>
      <c r="L8" s="1127"/>
      <c r="M8" s="1128"/>
      <c r="N8" s="1128"/>
      <c r="O8" s="1128"/>
      <c r="P8" s="3203" t="s">
        <v>2532</v>
      </c>
      <c r="Q8" s="3204"/>
      <c r="R8" s="768" t="s">
        <v>17</v>
      </c>
      <c r="S8" s="769">
        <f t="shared" si="0"/>
        <v>100</v>
      </c>
      <c r="T8" s="768" t="s">
        <v>17</v>
      </c>
      <c r="U8" s="769">
        <f t="shared" si="1"/>
        <v>100</v>
      </c>
      <c r="V8" s="768" t="s">
        <v>17</v>
      </c>
      <c r="W8" s="769">
        <f t="shared" si="2"/>
        <v>100</v>
      </c>
      <c r="X8" s="770"/>
      <c r="Y8" s="3203" t="s">
        <v>2532</v>
      </c>
      <c r="Z8" s="3204"/>
      <c r="AA8" s="771">
        <f t="shared" ref="AA8:AA40" si="3">D8/F8</f>
        <v>1</v>
      </c>
      <c r="AB8" s="771">
        <f t="shared" ref="AB8:AB40" si="4">D8/H8</f>
        <v>1</v>
      </c>
      <c r="AC8" s="771">
        <f t="shared" ref="AC8:AC40" si="5">D8/J8</f>
        <v>1</v>
      </c>
    </row>
    <row r="9" spans="1:29" s="117" customFormat="1">
      <c r="A9" s="414" t="s">
        <v>2533</v>
      </c>
      <c r="B9" s="71" t="s">
        <v>2534</v>
      </c>
      <c r="C9" s="2683" t="s">
        <v>6</v>
      </c>
      <c r="D9" s="134">
        <v>100</v>
      </c>
      <c r="E9" s="2683" t="s">
        <v>6</v>
      </c>
      <c r="F9" s="134">
        <f>SUMIF(70:70,E9,71:71)-SUMIF(70:70,C9,71:71)+100</f>
        <v>100</v>
      </c>
      <c r="G9" s="2683" t="s">
        <v>6</v>
      </c>
      <c r="H9" s="134">
        <f>SUMIF(70:70,G9,71:71)-SUMIF(70:70,C9,71:71)+100</f>
        <v>100</v>
      </c>
      <c r="I9" s="2683" t="s">
        <v>6</v>
      </c>
      <c r="J9" s="134">
        <f>SUMIF(70:70,I9,71:71)-SUMIF(70:70,C9,71:71)+100</f>
        <v>100</v>
      </c>
      <c r="K9" s="610"/>
      <c r="L9" s="1127"/>
      <c r="M9" s="1128"/>
      <c r="N9" s="1128"/>
      <c r="O9" s="1129"/>
      <c r="P9" s="3201" t="s">
        <v>2535</v>
      </c>
      <c r="Q9" s="1788" t="str">
        <f t="shared" ref="Q9:Q15" si="6">B9</f>
        <v>用途</v>
      </c>
      <c r="R9" s="768" t="s">
        <v>17</v>
      </c>
      <c r="S9" s="769">
        <f t="shared" si="0"/>
        <v>100</v>
      </c>
      <c r="T9" s="768" t="s">
        <v>17</v>
      </c>
      <c r="U9" s="769">
        <f t="shared" si="1"/>
        <v>100</v>
      </c>
      <c r="V9" s="768" t="s">
        <v>17</v>
      </c>
      <c r="W9" s="769">
        <f t="shared" si="2"/>
        <v>100</v>
      </c>
      <c r="X9" s="770"/>
      <c r="Y9" s="3056" t="s">
        <v>2536</v>
      </c>
      <c r="Z9" s="55" t="str">
        <f t="shared" ref="Z9:Z15" si="7">Q9</f>
        <v>用途</v>
      </c>
      <c r="AA9" s="771">
        <f t="shared" si="3"/>
        <v>1</v>
      </c>
      <c r="AB9" s="771">
        <f t="shared" si="4"/>
        <v>1</v>
      </c>
      <c r="AC9" s="771">
        <f t="shared" si="5"/>
        <v>1</v>
      </c>
    </row>
    <row r="10" spans="1:29" s="426" customFormat="1" ht="27">
      <c r="A10" s="420"/>
      <c r="B10" s="421" t="s">
        <v>2537</v>
      </c>
      <c r="C10" s="431">
        <f>'数据-取费表'!F6</f>
        <v>27</v>
      </c>
      <c r="D10" s="135">
        <v>100</v>
      </c>
      <c r="E10" s="431">
        <v>50</v>
      </c>
      <c r="F10" s="135">
        <f>ROUND(100/'数据-取费表'!G16,0)</f>
        <v>134</v>
      </c>
      <c r="G10" s="431">
        <v>50</v>
      </c>
      <c r="H10" s="135">
        <f>ROUND(100/'数据-取费表'!G16,0)</f>
        <v>134</v>
      </c>
      <c r="I10" s="431">
        <v>50</v>
      </c>
      <c r="J10" s="135">
        <f>ROUND(100/'数据-取费表'!G16,0)</f>
        <v>134</v>
      </c>
      <c r="K10" s="670"/>
      <c r="L10" s="1130"/>
      <c r="M10" s="1131"/>
      <c r="N10" s="1131"/>
      <c r="O10" s="1132"/>
      <c r="P10" s="3201"/>
      <c r="Q10" s="1788" t="str">
        <f t="shared" si="6"/>
        <v>土地使用年限（年）</v>
      </c>
      <c r="R10" s="768" t="s">
        <v>17</v>
      </c>
      <c r="S10" s="769">
        <f t="shared" si="0"/>
        <v>134</v>
      </c>
      <c r="T10" s="768" t="s">
        <v>17</v>
      </c>
      <c r="U10" s="769">
        <f t="shared" si="1"/>
        <v>134</v>
      </c>
      <c r="V10" s="768" t="s">
        <v>17</v>
      </c>
      <c r="W10" s="769">
        <f t="shared" si="2"/>
        <v>134</v>
      </c>
      <c r="X10" s="770"/>
      <c r="Y10" s="3056"/>
      <c r="Z10" s="55" t="str">
        <f t="shared" si="7"/>
        <v>土地使用年限（年）</v>
      </c>
      <c r="AA10" s="771">
        <f t="shared" si="3"/>
        <v>0.74626865671641796</v>
      </c>
      <c r="AB10" s="771">
        <f t="shared" si="4"/>
        <v>0.74626865671641796</v>
      </c>
      <c r="AC10" s="771">
        <f t="shared" si="5"/>
        <v>0.74626865671641796</v>
      </c>
    </row>
    <row r="11" spans="1:29" ht="15">
      <c r="A11" s="427"/>
      <c r="B11" s="421" t="s">
        <v>2538</v>
      </c>
      <c r="C11" s="428">
        <f>'数据-汇总表'!I3</f>
        <v>0.21</v>
      </c>
      <c r="D11" s="135">
        <v>100</v>
      </c>
      <c r="E11" s="428">
        <f>'土地案例+位置图'!L2</f>
        <v>2</v>
      </c>
      <c r="F11" s="135">
        <f>LOOKUP(E11,75:75,76:76)-LOOKUP(C11,75:75,76:76)+100</f>
        <v>104</v>
      </c>
      <c r="G11" s="429">
        <f>'土地案例+位置图'!L3</f>
        <v>2</v>
      </c>
      <c r="H11" s="135">
        <f>LOOKUP(G11,75:75,76:76)-LOOKUP(C11,75:75,76:76)+100</f>
        <v>104</v>
      </c>
      <c r="I11" s="428">
        <f>'土地案例+位置图'!L4</f>
        <v>2</v>
      </c>
      <c r="J11" s="135">
        <f>LOOKUP(I11,75:75,76:76)-LOOKUP(C11,75:75,76:76)+100</f>
        <v>104</v>
      </c>
      <c r="K11" s="671">
        <v>2</v>
      </c>
      <c r="L11" s="1133"/>
      <c r="M11" s="1126"/>
      <c r="N11" s="1126"/>
      <c r="O11" s="1134"/>
      <c r="P11" s="3201"/>
      <c r="Q11" s="1788" t="str">
        <f t="shared" si="6"/>
        <v>容积率</v>
      </c>
      <c r="R11" s="768" t="s">
        <v>17</v>
      </c>
      <c r="S11" s="769">
        <f t="shared" si="0"/>
        <v>104</v>
      </c>
      <c r="T11" s="768" t="s">
        <v>17</v>
      </c>
      <c r="U11" s="769">
        <f t="shared" si="1"/>
        <v>104</v>
      </c>
      <c r="V11" s="768" t="s">
        <v>17</v>
      </c>
      <c r="W11" s="769">
        <f t="shared" si="2"/>
        <v>104</v>
      </c>
      <c r="X11" s="770"/>
      <c r="Y11" s="3056"/>
      <c r="Z11" s="55" t="str">
        <f t="shared" si="7"/>
        <v>容积率</v>
      </c>
      <c r="AA11" s="771">
        <f t="shared" si="3"/>
        <v>0.96153846153846156</v>
      </c>
      <c r="AB11" s="771">
        <f t="shared" si="4"/>
        <v>0.96153846153846156</v>
      </c>
      <c r="AC11" s="771">
        <f t="shared" si="5"/>
        <v>0.96153846153846156</v>
      </c>
    </row>
    <row r="12" spans="1:29" s="117" customFormat="1" ht="15.75" thickBot="1">
      <c r="A12" s="430"/>
      <c r="B12" s="3010" t="s">
        <v>3299</v>
      </c>
      <c r="C12" s="431"/>
      <c r="D12" s="432">
        <v>100</v>
      </c>
      <c r="E12" s="548"/>
      <c r="F12" s="135">
        <f>SUMIF(77:77,E12,78:78)-SUMIF(77:77,C12,78:78)+100</f>
        <v>100</v>
      </c>
      <c r="G12" s="672"/>
      <c r="H12" s="135">
        <f>SUMIF(77:77,G12,78:78)-SUMIF(77:77,C12,78:78)+100</f>
        <v>100</v>
      </c>
      <c r="I12" s="548"/>
      <c r="J12" s="135">
        <f>SUMIF(77:77,I12,78:78)-SUMIF(77:77,C12,78:78)+100</f>
        <v>100</v>
      </c>
      <c r="K12" s="670"/>
      <c r="L12" s="1127"/>
      <c r="M12" s="1128"/>
      <c r="N12" s="1128"/>
      <c r="O12" s="1129"/>
      <c r="P12" s="3201"/>
      <c r="Q12" s="1788" t="str">
        <f t="shared" si="6"/>
        <v>取得方式</v>
      </c>
      <c r="R12" s="768" t="s">
        <v>17</v>
      </c>
      <c r="S12" s="769">
        <f t="shared" si="0"/>
        <v>100</v>
      </c>
      <c r="T12" s="768" t="s">
        <v>17</v>
      </c>
      <c r="U12" s="769">
        <f t="shared" si="1"/>
        <v>100</v>
      </c>
      <c r="V12" s="768" t="s">
        <v>17</v>
      </c>
      <c r="W12" s="769">
        <f t="shared" si="2"/>
        <v>100</v>
      </c>
      <c r="X12" s="770"/>
      <c r="Y12" s="3056"/>
      <c r="Z12" s="55" t="str">
        <f t="shared" si="7"/>
        <v>取得方式</v>
      </c>
      <c r="AA12" s="771">
        <f>D12/F12</f>
        <v>1</v>
      </c>
      <c r="AB12" s="771">
        <f>D12/H12</f>
        <v>1</v>
      </c>
      <c r="AC12" s="771">
        <f>D12/J12</f>
        <v>1</v>
      </c>
    </row>
    <row r="13" spans="1:29" ht="15" hidden="1">
      <c r="A13" s="427"/>
      <c r="B13" s="2584">
        <v>111</v>
      </c>
      <c r="C13" s="433"/>
      <c r="D13" s="434">
        <v>100</v>
      </c>
      <c r="E13" s="548"/>
      <c r="F13" s="135">
        <f>SUMIF(79:79,E13,80:80)-SUMIF(79:79,C13,80:80)+100</f>
        <v>100</v>
      </c>
      <c r="G13" s="672"/>
      <c r="H13" s="434">
        <f>SUMIF(79:79,G13,80:80)-SUMIF(79:79,C13,80:80)+100</f>
        <v>100</v>
      </c>
      <c r="I13" s="548"/>
      <c r="J13" s="434">
        <f>SUMIF(79:79,I13,80:80)-SUMIF(79:79,C13,80:80)+100</f>
        <v>100</v>
      </c>
      <c r="K13" s="670"/>
      <c r="L13" s="1135"/>
      <c r="M13" s="1126"/>
      <c r="N13" s="1126"/>
      <c r="O13" s="1134"/>
      <c r="P13" s="3201"/>
      <c r="Q13" s="1788">
        <f t="shared" si="6"/>
        <v>111</v>
      </c>
      <c r="R13" s="768" t="s">
        <v>17</v>
      </c>
      <c r="S13" s="769">
        <f t="shared" si="0"/>
        <v>100</v>
      </c>
      <c r="T13" s="768" t="s">
        <v>17</v>
      </c>
      <c r="U13" s="769">
        <f t="shared" si="1"/>
        <v>100</v>
      </c>
      <c r="V13" s="768" t="s">
        <v>17</v>
      </c>
      <c r="W13" s="769">
        <f t="shared" si="2"/>
        <v>100</v>
      </c>
      <c r="X13" s="770"/>
      <c r="Y13" s="3056"/>
      <c r="Z13" s="55">
        <f t="shared" si="7"/>
        <v>111</v>
      </c>
      <c r="AA13" s="771">
        <f t="shared" si="3"/>
        <v>1</v>
      </c>
      <c r="AB13" s="771">
        <f t="shared" si="4"/>
        <v>1</v>
      </c>
      <c r="AC13" s="771">
        <f t="shared" si="5"/>
        <v>1</v>
      </c>
    </row>
    <row r="14" spans="1:29" ht="15.75" hidden="1" thickBot="1">
      <c r="A14" s="435"/>
      <c r="B14" s="2586">
        <v>111</v>
      </c>
      <c r="C14" s="436"/>
      <c r="D14" s="437">
        <v>100</v>
      </c>
      <c r="E14" s="548"/>
      <c r="F14" s="437">
        <f>SUMIF(81:81,E14,82:82)-SUMIF(81:81,C14,82:82)+100</f>
        <v>100</v>
      </c>
      <c r="G14" s="672"/>
      <c r="H14" s="437">
        <f>SUMIF(81:81,G14,82:82)-SUMIF(81:81,C14,82:82)+100</f>
        <v>100</v>
      </c>
      <c r="I14" s="548"/>
      <c r="J14" s="437">
        <f>SUMIF(81:81,I14,82:82)-SUMIF(81:81,C14,82:82)+100</f>
        <v>100</v>
      </c>
      <c r="K14" s="670"/>
      <c r="L14" s="1135"/>
      <c r="M14" s="1126"/>
      <c r="N14" s="1126"/>
      <c r="O14" s="1134"/>
      <c r="P14" s="3201"/>
      <c r="Q14" s="1788">
        <f t="shared" si="6"/>
        <v>111</v>
      </c>
      <c r="R14" s="768" t="s">
        <v>17</v>
      </c>
      <c r="S14" s="769">
        <f t="shared" si="0"/>
        <v>100</v>
      </c>
      <c r="T14" s="768" t="s">
        <v>17</v>
      </c>
      <c r="U14" s="769">
        <f t="shared" si="1"/>
        <v>100</v>
      </c>
      <c r="V14" s="768" t="s">
        <v>17</v>
      </c>
      <c r="W14" s="769">
        <f t="shared" si="2"/>
        <v>100</v>
      </c>
      <c r="X14" s="770"/>
      <c r="Y14" s="3056"/>
      <c r="Z14" s="55">
        <f t="shared" si="7"/>
        <v>111</v>
      </c>
      <c r="AA14" s="771">
        <f t="shared" si="3"/>
        <v>1</v>
      </c>
      <c r="AB14" s="771">
        <f t="shared" si="4"/>
        <v>1</v>
      </c>
      <c r="AC14" s="771">
        <f t="shared" si="5"/>
        <v>1</v>
      </c>
    </row>
    <row r="15" spans="1:29" ht="15">
      <c r="A15" s="439" t="s">
        <v>2539</v>
      </c>
      <c r="B15" s="627" t="s">
        <v>2777</v>
      </c>
      <c r="C15" s="2677" t="str">
        <f>估价对象房地状况!G15</f>
        <v>较好</v>
      </c>
      <c r="D15" s="440">
        <v>100</v>
      </c>
      <c r="E15" s="441"/>
      <c r="F15" s="440">
        <f>SUMIF(83:83,E16,84:84)-SUMIF(83:83,C16,84:84)+100</f>
        <v>100</v>
      </c>
      <c r="G15" s="441"/>
      <c r="H15" s="440">
        <f>SUMIF(83:83,G16,84:84)-SUMIF(83:83,C16,84:84)+100</f>
        <v>100</v>
      </c>
      <c r="I15" s="443"/>
      <c r="J15" s="440">
        <f>SUMIF(83:83,I16,84:84)-SUMIF(83:83,C16,84:84)+100</f>
        <v>100</v>
      </c>
      <c r="K15" s="671">
        <v>5</v>
      </c>
      <c r="L15" s="1135"/>
      <c r="M15" s="1126"/>
      <c r="N15" s="1126"/>
      <c r="O15" s="1134"/>
      <c r="P15" s="3219" t="s">
        <v>2540</v>
      </c>
      <c r="Q15" s="1803" t="str">
        <f t="shared" si="6"/>
        <v>产业集聚程度</v>
      </c>
      <c r="R15" s="772" t="s">
        <v>17</v>
      </c>
      <c r="S15" s="773">
        <f t="shared" si="0"/>
        <v>100</v>
      </c>
      <c r="T15" s="772" t="s">
        <v>17</v>
      </c>
      <c r="U15" s="773">
        <f t="shared" si="1"/>
        <v>100</v>
      </c>
      <c r="V15" s="772" t="s">
        <v>17</v>
      </c>
      <c r="W15" s="773">
        <f t="shared" si="2"/>
        <v>100</v>
      </c>
      <c r="X15" s="1806"/>
      <c r="Y15" s="3219" t="s">
        <v>2540</v>
      </c>
      <c r="Z15" s="1807" t="str">
        <f t="shared" si="7"/>
        <v>产业集聚程度</v>
      </c>
      <c r="AA15" s="1804">
        <f t="shared" si="3"/>
        <v>1</v>
      </c>
      <c r="AB15" s="1804">
        <f t="shared" si="4"/>
        <v>1</v>
      </c>
      <c r="AC15" s="1804">
        <f t="shared" si="5"/>
        <v>1</v>
      </c>
    </row>
    <row r="16" spans="1:29" ht="15">
      <c r="A16" s="427"/>
      <c r="B16" s="628"/>
      <c r="C16" s="446" t="s">
        <v>3049</v>
      </c>
      <c r="D16" s="447"/>
      <c r="E16" s="446" t="s">
        <v>3049</v>
      </c>
      <c r="F16" s="447"/>
      <c r="G16" s="446" t="s">
        <v>3049</v>
      </c>
      <c r="H16" s="449"/>
      <c r="I16" s="446" t="s">
        <v>3049</v>
      </c>
      <c r="J16" s="447"/>
      <c r="K16" s="670"/>
      <c r="L16" s="1135"/>
      <c r="M16" s="1126"/>
      <c r="N16" s="1126"/>
      <c r="O16" s="1134"/>
      <c r="P16" s="3220"/>
      <c r="Q16" s="1803"/>
      <c r="R16" s="772"/>
      <c r="S16" s="773"/>
      <c r="T16" s="772"/>
      <c r="U16" s="773"/>
      <c r="V16" s="772"/>
      <c r="W16" s="773"/>
      <c r="X16" s="1806"/>
      <c r="Y16" s="3220"/>
      <c r="Z16" s="1807"/>
      <c r="AA16" s="1804">
        <v>1</v>
      </c>
      <c r="AB16" s="1804">
        <v>1</v>
      </c>
      <c r="AC16" s="1804">
        <v>1</v>
      </c>
    </row>
    <row r="17" spans="1:29" ht="15">
      <c r="A17" s="427"/>
      <c r="B17" s="629" t="s">
        <v>2689</v>
      </c>
      <c r="C17" s="2591" t="str">
        <f>估价对象房地状况!G16</f>
        <v>一般</v>
      </c>
      <c r="D17" s="449">
        <v>100</v>
      </c>
      <c r="E17" s="451"/>
      <c r="F17" s="454">
        <f>SUMIF(85:85,E18,86:86)-SUMIF(85:85,C18,86:86)+100</f>
        <v>100</v>
      </c>
      <c r="G17" s="451"/>
      <c r="H17" s="454">
        <f>SUMIF(85:85,G18,86:86)-SUMIF(85:85,C18,86:86)+100</f>
        <v>100</v>
      </c>
      <c r="I17" s="453"/>
      <c r="J17" s="449">
        <f>SUMIF(85:85,I18,86:86)-SUMIF(85:85,C18,86:86)+100</f>
        <v>100</v>
      </c>
      <c r="K17" s="671">
        <v>2</v>
      </c>
      <c r="L17" s="1135"/>
      <c r="M17" s="1126"/>
      <c r="N17" s="1126"/>
      <c r="O17" s="1134"/>
      <c r="P17" s="3220"/>
      <c r="Q17" s="1803" t="str">
        <f>B17</f>
        <v>交通便捷度</v>
      </c>
      <c r="R17" s="772" t="s">
        <v>17</v>
      </c>
      <c r="S17" s="773">
        <f>F17</f>
        <v>100</v>
      </c>
      <c r="T17" s="772" t="s">
        <v>17</v>
      </c>
      <c r="U17" s="773">
        <f>H17</f>
        <v>100</v>
      </c>
      <c r="V17" s="772" t="s">
        <v>17</v>
      </c>
      <c r="W17" s="773">
        <f>J17</f>
        <v>100</v>
      </c>
      <c r="X17" s="1806"/>
      <c r="Y17" s="3220"/>
      <c r="Z17" s="1807" t="str">
        <f>Q17</f>
        <v>交通便捷度</v>
      </c>
      <c r="AA17" s="1804">
        <f t="shared" si="3"/>
        <v>1</v>
      </c>
      <c r="AB17" s="1804">
        <f t="shared" si="4"/>
        <v>1</v>
      </c>
      <c r="AC17" s="1804">
        <f t="shared" si="5"/>
        <v>1</v>
      </c>
    </row>
    <row r="18" spans="1:29" ht="15">
      <c r="A18" s="427"/>
      <c r="B18" s="630"/>
      <c r="C18" s="446" t="s">
        <v>3119</v>
      </c>
      <c r="D18" s="447"/>
      <c r="E18" s="446" t="s">
        <v>3119</v>
      </c>
      <c r="F18" s="447"/>
      <c r="G18" s="446" t="s">
        <v>3119</v>
      </c>
      <c r="H18" s="447"/>
      <c r="I18" s="446" t="s">
        <v>3119</v>
      </c>
      <c r="J18" s="447"/>
      <c r="K18" s="670"/>
      <c r="L18" s="1135"/>
      <c r="M18" s="1126"/>
      <c r="N18" s="1126"/>
      <c r="O18" s="1134"/>
      <c r="P18" s="3220"/>
      <c r="Q18" s="1803"/>
      <c r="R18" s="772"/>
      <c r="S18" s="773"/>
      <c r="T18" s="772"/>
      <c r="U18" s="773"/>
      <c r="V18" s="772"/>
      <c r="W18" s="773"/>
      <c r="X18" s="1806"/>
      <c r="Y18" s="3220"/>
      <c r="Z18" s="1807"/>
      <c r="AA18" s="1804">
        <v>1</v>
      </c>
      <c r="AB18" s="1804">
        <v>1</v>
      </c>
      <c r="AC18" s="1804">
        <v>1</v>
      </c>
    </row>
    <row r="19" spans="1:29" ht="15">
      <c r="A19" s="427"/>
      <c r="B19" s="629" t="s">
        <v>2728</v>
      </c>
      <c r="C19" s="2591" t="str">
        <f>估价对象房地状况!G17</f>
        <v>较好</v>
      </c>
      <c r="D19" s="449">
        <v>100</v>
      </c>
      <c r="E19" s="451"/>
      <c r="F19" s="454">
        <f>SUMIF(87:87,E20,88:88)-SUMIF(87:87,C20,88:88)+100</f>
        <v>100</v>
      </c>
      <c r="G19" s="451"/>
      <c r="H19" s="454">
        <f>SUMIF(87:87,G20,88:88)-SUMIF(87:87,C20,88:88)+100</f>
        <v>100</v>
      </c>
      <c r="I19" s="451"/>
      <c r="J19" s="454">
        <f>SUMIF(87:87,I20,88:88)-SUMIF(87:87,C20,88:88)+100</f>
        <v>100</v>
      </c>
      <c r="K19" s="671">
        <v>2</v>
      </c>
      <c r="L19" s="1135"/>
      <c r="M19" s="1126"/>
      <c r="N19" s="1126"/>
      <c r="O19" s="1134"/>
      <c r="P19" s="3220"/>
      <c r="Q19" s="1803" t="str">
        <f t="shared" ref="Q19:Q33" si="8">B19</f>
        <v>区域土地利用方向</v>
      </c>
      <c r="R19" s="772" t="s">
        <v>17</v>
      </c>
      <c r="S19" s="773">
        <f>F19</f>
        <v>100</v>
      </c>
      <c r="T19" s="772" t="s">
        <v>17</v>
      </c>
      <c r="U19" s="773">
        <f>H19</f>
        <v>100</v>
      </c>
      <c r="V19" s="772" t="s">
        <v>17</v>
      </c>
      <c r="W19" s="773">
        <f>J19</f>
        <v>100</v>
      </c>
      <c r="X19" s="1806"/>
      <c r="Y19" s="3220"/>
      <c r="Z19" s="1807" t="str">
        <f>Q19</f>
        <v>区域土地利用方向</v>
      </c>
      <c r="AA19" s="1804">
        <f t="shared" si="3"/>
        <v>1</v>
      </c>
      <c r="AB19" s="1804">
        <f t="shared" si="4"/>
        <v>1</v>
      </c>
      <c r="AC19" s="1804">
        <f t="shared" si="5"/>
        <v>1</v>
      </c>
    </row>
    <row r="20" spans="1:29" ht="15">
      <c r="A20" s="403"/>
      <c r="B20" s="630"/>
      <c r="C20" s="446" t="s">
        <v>3049</v>
      </c>
      <c r="D20" s="447"/>
      <c r="E20" s="446" t="s">
        <v>3049</v>
      </c>
      <c r="F20" s="447"/>
      <c r="G20" s="446" t="s">
        <v>3049</v>
      </c>
      <c r="H20" s="447"/>
      <c r="I20" s="446" t="s">
        <v>3049</v>
      </c>
      <c r="J20" s="447"/>
      <c r="K20" s="805"/>
      <c r="L20" s="1135"/>
      <c r="M20" s="1126"/>
      <c r="N20" s="1126"/>
      <c r="O20" s="1134"/>
      <c r="P20" s="3220"/>
      <c r="Q20" s="1803"/>
      <c r="R20" s="772"/>
      <c r="S20" s="773"/>
      <c r="T20" s="772"/>
      <c r="U20" s="773"/>
      <c r="V20" s="772"/>
      <c r="W20" s="773"/>
      <c r="X20" s="1806"/>
      <c r="Y20" s="3220"/>
      <c r="Z20" s="1807"/>
      <c r="AA20" s="1804"/>
      <c r="AB20" s="1804"/>
      <c r="AC20" s="1804"/>
    </row>
    <row r="21" spans="1:29" ht="15">
      <c r="A21" s="403"/>
      <c r="B21" s="629" t="s">
        <v>2778</v>
      </c>
      <c r="C21" s="2591" t="str">
        <f>估价对象房地状况!G18</f>
        <v>一般</v>
      </c>
      <c r="D21" s="449">
        <v>100</v>
      </c>
      <c r="E21" s="451"/>
      <c r="F21" s="449">
        <f>SUMIF(89:89,E22,90:90)-SUMIF(89:89,C22,90:90)+100</f>
        <v>100</v>
      </c>
      <c r="G21" s="451"/>
      <c r="H21" s="449">
        <f>SUMIF(89:89,G22,90:90)-SUMIF(89:89,C22,90:90)+100</f>
        <v>100</v>
      </c>
      <c r="I21" s="453"/>
      <c r="J21" s="449">
        <f>SUMIF(89:89,I22,90:90)-SUMIF(89:89,C22,90:90)+100</f>
        <v>100</v>
      </c>
      <c r="K21" s="671">
        <v>2</v>
      </c>
      <c r="L21" s="1135"/>
      <c r="M21" s="1126"/>
      <c r="N21" s="1126"/>
      <c r="O21" s="1134"/>
      <c r="P21" s="3220"/>
      <c r="Q21" s="1803" t="str">
        <f t="shared" si="8"/>
        <v>环境状况</v>
      </c>
      <c r="R21" s="772" t="s">
        <v>17</v>
      </c>
      <c r="S21" s="773">
        <f>F21</f>
        <v>100</v>
      </c>
      <c r="T21" s="772" t="s">
        <v>17</v>
      </c>
      <c r="U21" s="773">
        <f>H21</f>
        <v>100</v>
      </c>
      <c r="V21" s="772" t="s">
        <v>17</v>
      </c>
      <c r="W21" s="773">
        <f>J21</f>
        <v>100</v>
      </c>
      <c r="X21" s="1806"/>
      <c r="Y21" s="3220"/>
      <c r="Z21" s="1807" t="str">
        <f>Q21</f>
        <v>环境状况</v>
      </c>
      <c r="AA21" s="1804">
        <f t="shared" si="3"/>
        <v>1</v>
      </c>
      <c r="AB21" s="1804">
        <f t="shared" si="4"/>
        <v>1</v>
      </c>
      <c r="AC21" s="1804">
        <f t="shared" si="5"/>
        <v>1</v>
      </c>
    </row>
    <row r="22" spans="1:29" ht="15">
      <c r="A22" s="403"/>
      <c r="B22" s="630"/>
      <c r="C22" s="446" t="s">
        <v>3119</v>
      </c>
      <c r="D22" s="447"/>
      <c r="E22" s="446" t="s">
        <v>3119</v>
      </c>
      <c r="F22" s="447"/>
      <c r="G22" s="446" t="s">
        <v>3119</v>
      </c>
      <c r="H22" s="447"/>
      <c r="I22" s="446" t="s">
        <v>3119</v>
      </c>
      <c r="J22" s="447"/>
      <c r="K22" s="670"/>
      <c r="L22" s="1135"/>
      <c r="M22" s="1126"/>
      <c r="N22" s="1126"/>
      <c r="O22" s="1134"/>
      <c r="P22" s="3220"/>
      <c r="Q22" s="1803"/>
      <c r="R22" s="772"/>
      <c r="S22" s="773"/>
      <c r="T22" s="772"/>
      <c r="U22" s="773"/>
      <c r="V22" s="772"/>
      <c r="W22" s="773"/>
      <c r="X22" s="1806"/>
      <c r="Y22" s="3220"/>
      <c r="Z22" s="1807"/>
      <c r="AA22" s="1804">
        <v>1</v>
      </c>
      <c r="AB22" s="1804">
        <v>1</v>
      </c>
      <c r="AC22" s="1804">
        <v>1</v>
      </c>
    </row>
    <row r="23" spans="1:29" s="117" customFormat="1" ht="15">
      <c r="A23" s="647"/>
      <c r="B23" s="631" t="s">
        <v>2634</v>
      </c>
      <c r="C23" s="2591" t="str">
        <f>估价对象房地状况!G19</f>
        <v>一般</v>
      </c>
      <c r="D23" s="449">
        <v>100</v>
      </c>
      <c r="E23" s="451"/>
      <c r="F23" s="449">
        <f>SUMIF(91:91,E24,92:92)-SUMIF(91:91,C24,92:92)+100</f>
        <v>100</v>
      </c>
      <c r="G23" s="451"/>
      <c r="H23" s="449">
        <f>SUMIF(91:91,G24,92:92)-SUMIF(91:91,C24,92:92)+100</f>
        <v>100</v>
      </c>
      <c r="I23" s="453"/>
      <c r="J23" s="449">
        <f>SUMIF(91:91,I24,92:92)-SUMIF(91:91,C24,92:92)+100</f>
        <v>100</v>
      </c>
      <c r="K23" s="671">
        <v>2</v>
      </c>
      <c r="L23" s="1127"/>
      <c r="M23" s="1128"/>
      <c r="N23" s="1128"/>
      <c r="O23" s="1129"/>
      <c r="P23" s="3220"/>
      <c r="Q23" s="1788" t="str">
        <f t="shared" si="8"/>
        <v>公共配套设施</v>
      </c>
      <c r="R23" s="768" t="s">
        <v>17</v>
      </c>
      <c r="S23" s="769">
        <f>F23</f>
        <v>100</v>
      </c>
      <c r="T23" s="768" t="s">
        <v>17</v>
      </c>
      <c r="U23" s="769">
        <f>H23</f>
        <v>100</v>
      </c>
      <c r="V23" s="768" t="s">
        <v>17</v>
      </c>
      <c r="W23" s="769">
        <f>J23</f>
        <v>100</v>
      </c>
      <c r="X23" s="770"/>
      <c r="Y23" s="3220"/>
      <c r="Z23" s="55" t="str">
        <f>Q23</f>
        <v>公共配套设施</v>
      </c>
      <c r="AA23" s="1804">
        <f>D23/F23</f>
        <v>1</v>
      </c>
      <c r="AB23" s="1804">
        <f>D23/H23</f>
        <v>1</v>
      </c>
      <c r="AC23" s="1804">
        <f>D23/J23</f>
        <v>1</v>
      </c>
    </row>
    <row r="24" spans="1:29" s="117" customFormat="1" ht="15">
      <c r="A24" s="647"/>
      <c r="B24" s="630"/>
      <c r="C24" s="2684" t="s">
        <v>3119</v>
      </c>
      <c r="D24" s="447"/>
      <c r="E24" s="2684" t="s">
        <v>3119</v>
      </c>
      <c r="F24" s="447"/>
      <c r="G24" s="2684" t="s">
        <v>3119</v>
      </c>
      <c r="H24" s="447"/>
      <c r="I24" s="2684" t="s">
        <v>3119</v>
      </c>
      <c r="J24" s="447"/>
      <c r="K24" s="670"/>
      <c r="L24" s="1127"/>
      <c r="M24" s="1128"/>
      <c r="N24" s="1128"/>
      <c r="O24" s="1129"/>
      <c r="P24" s="3220"/>
      <c r="Q24" s="1788"/>
      <c r="R24" s="768"/>
      <c r="S24" s="769"/>
      <c r="T24" s="768"/>
      <c r="U24" s="769"/>
      <c r="V24" s="768"/>
      <c r="W24" s="769"/>
      <c r="X24" s="770"/>
      <c r="Y24" s="3220"/>
      <c r="Z24" s="55"/>
      <c r="AA24" s="771">
        <v>1</v>
      </c>
      <c r="AB24" s="771">
        <v>1</v>
      </c>
      <c r="AC24" s="771">
        <v>1</v>
      </c>
    </row>
    <row r="25" spans="1:29" s="117" customFormat="1" ht="15">
      <c r="A25" s="647"/>
      <c r="B25" s="631" t="s">
        <v>2635</v>
      </c>
      <c r="C25" s="2591"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1">
        <v>1</v>
      </c>
      <c r="L25" s="1127"/>
      <c r="M25" s="1128"/>
      <c r="N25" s="1128"/>
      <c r="O25" s="1129"/>
      <c r="P25" s="3220"/>
      <c r="Q25" s="1788" t="str">
        <f t="shared" ref="Q25" si="9">B25</f>
        <v>基础设施水平</v>
      </c>
      <c r="R25" s="768" t="s">
        <v>17</v>
      </c>
      <c r="S25" s="769">
        <f>F25</f>
        <v>100</v>
      </c>
      <c r="T25" s="768" t="s">
        <v>17</v>
      </c>
      <c r="U25" s="769">
        <f>H25</f>
        <v>100</v>
      </c>
      <c r="V25" s="768" t="s">
        <v>17</v>
      </c>
      <c r="W25" s="769">
        <f>J25</f>
        <v>100</v>
      </c>
      <c r="X25" s="770"/>
      <c r="Y25" s="3220"/>
      <c r="Z25" s="55" t="str">
        <f>Q25</f>
        <v>基础设施水平</v>
      </c>
      <c r="AA25" s="1804">
        <f>D25/F25</f>
        <v>1</v>
      </c>
      <c r="AB25" s="1804">
        <f>D25/H25</f>
        <v>1</v>
      </c>
      <c r="AC25" s="1804">
        <f>D25/J25</f>
        <v>1</v>
      </c>
    </row>
    <row r="26" spans="1:29" s="117" customFormat="1" ht="15">
      <c r="A26" s="647"/>
      <c r="B26" s="630"/>
      <c r="C26" s="2684" t="s">
        <v>3051</v>
      </c>
      <c r="D26" s="447"/>
      <c r="E26" s="2684" t="s">
        <v>3051</v>
      </c>
      <c r="F26" s="447"/>
      <c r="G26" s="2684" t="s">
        <v>3051</v>
      </c>
      <c r="H26" s="447"/>
      <c r="I26" s="2684" t="s">
        <v>3051</v>
      </c>
      <c r="J26" s="447"/>
      <c r="K26" s="670"/>
      <c r="L26" s="1127"/>
      <c r="M26" s="1128"/>
      <c r="N26" s="1128"/>
      <c r="O26" s="1129"/>
      <c r="P26" s="3220"/>
      <c r="Q26" s="1788"/>
      <c r="R26" s="768"/>
      <c r="S26" s="769"/>
      <c r="T26" s="768"/>
      <c r="U26" s="769"/>
      <c r="V26" s="768"/>
      <c r="W26" s="769"/>
      <c r="X26" s="770"/>
      <c r="Y26" s="3220"/>
      <c r="Z26" s="55"/>
      <c r="AA26" s="771">
        <v>1</v>
      </c>
      <c r="AB26" s="771">
        <v>1</v>
      </c>
      <c r="AC26" s="771">
        <v>1</v>
      </c>
    </row>
    <row r="27" spans="1:29" ht="15">
      <c r="A27" s="427"/>
      <c r="B27" s="630" t="s">
        <v>2636</v>
      </c>
      <c r="C27" s="615" t="s">
        <v>3219</v>
      </c>
      <c r="D27" s="434">
        <v>100</v>
      </c>
      <c r="E27" s="632" t="s">
        <v>3219</v>
      </c>
      <c r="F27" s="434">
        <f>SUMIF(95:95,E27,96:96)-SUMIF(95:95,C27,96:96)+100</f>
        <v>100</v>
      </c>
      <c r="G27" s="632" t="s">
        <v>3219</v>
      </c>
      <c r="H27" s="434">
        <f>SUMIF(95:95,G27,96:96)-SUMIF(95:95,C27,96:96)+100</f>
        <v>100</v>
      </c>
      <c r="I27" s="632" t="s">
        <v>3219</v>
      </c>
      <c r="J27" s="434">
        <f>SUMIF(95:95,I27,96:96)-SUMIF(95:95,C27,96:96)+100</f>
        <v>100</v>
      </c>
      <c r="K27" s="671">
        <v>2</v>
      </c>
      <c r="L27" s="1135"/>
      <c r="M27" s="1126"/>
      <c r="N27" s="1126"/>
      <c r="O27" s="1134"/>
      <c r="P27" s="3220"/>
      <c r="Q27" s="1803" t="str">
        <f t="shared" si="8"/>
        <v>临街状况</v>
      </c>
      <c r="R27" s="772" t="s">
        <v>17</v>
      </c>
      <c r="S27" s="773">
        <f t="shared" ref="S27:S40" si="10">F27</f>
        <v>100</v>
      </c>
      <c r="T27" s="772" t="s">
        <v>17</v>
      </c>
      <c r="U27" s="773">
        <f t="shared" ref="U27:U40" si="11">H27</f>
        <v>100</v>
      </c>
      <c r="V27" s="772" t="s">
        <v>17</v>
      </c>
      <c r="W27" s="773">
        <f t="shared" ref="W27:W40" si="12">J27</f>
        <v>100</v>
      </c>
      <c r="X27" s="1806"/>
      <c r="Y27" s="3220"/>
      <c r="Z27" s="1807" t="str">
        <f t="shared" ref="Z27:Z40" si="13">Q27</f>
        <v>临街状况</v>
      </c>
      <c r="AA27" s="1804">
        <f t="shared" si="3"/>
        <v>1</v>
      </c>
      <c r="AB27" s="1804">
        <f t="shared" si="4"/>
        <v>1</v>
      </c>
      <c r="AC27" s="1804">
        <f t="shared" si="5"/>
        <v>1</v>
      </c>
    </row>
    <row r="28" spans="1:29" ht="27">
      <c r="A28" s="427"/>
      <c r="B28" s="631" t="s">
        <v>2671</v>
      </c>
      <c r="C28" s="2696" t="str">
        <f>估价对象房地状况!G22</f>
        <v>支路</v>
      </c>
      <c r="D28" s="449">
        <v>100</v>
      </c>
      <c r="E28" s="451"/>
      <c r="F28" s="449">
        <f>SUMIF(97:97,E29,98:98)-SUMIF(97:97,C29,98:98)+100</f>
        <v>100</v>
      </c>
      <c r="G28" s="451"/>
      <c r="H28" s="449">
        <f>SUMIF(97:97,G29,98:98)-SUMIF(97:97,C29,98:98)+100</f>
        <v>100</v>
      </c>
      <c r="I28" s="453"/>
      <c r="J28" s="449">
        <f>SUMIF(97:97,I29,98:98)-SUMIF(97:97,C29,98:98)+100</f>
        <v>100</v>
      </c>
      <c r="K28" s="671">
        <v>2</v>
      </c>
      <c r="L28" s="1135"/>
      <c r="M28" s="1126"/>
      <c r="N28" s="1126"/>
      <c r="O28" s="1134"/>
      <c r="P28" s="3220"/>
      <c r="Q28" s="1803" t="str">
        <f t="shared" si="8"/>
        <v>毗邻道路的类型与等级</v>
      </c>
      <c r="R28" s="772" t="s">
        <v>17</v>
      </c>
      <c r="S28" s="773">
        <f t="shared" si="10"/>
        <v>100</v>
      </c>
      <c r="T28" s="772" t="s">
        <v>17</v>
      </c>
      <c r="U28" s="773">
        <f t="shared" si="11"/>
        <v>100</v>
      </c>
      <c r="V28" s="772" t="s">
        <v>17</v>
      </c>
      <c r="W28" s="773">
        <f t="shared" si="12"/>
        <v>100</v>
      </c>
      <c r="X28" s="1806"/>
      <c r="Y28" s="3220"/>
      <c r="Z28" s="1807" t="str">
        <f t="shared" si="13"/>
        <v>毗邻道路的类型与等级</v>
      </c>
      <c r="AA28" s="1804">
        <f t="shared" si="3"/>
        <v>1</v>
      </c>
      <c r="AB28" s="1804">
        <f t="shared" si="4"/>
        <v>1</v>
      </c>
      <c r="AC28" s="1804">
        <f t="shared" si="5"/>
        <v>1</v>
      </c>
    </row>
    <row r="29" spans="1:29" ht="15">
      <c r="A29" s="427"/>
      <c r="B29" s="630"/>
      <c r="C29" s="446" t="s">
        <v>3304</v>
      </c>
      <c r="D29" s="447"/>
      <c r="E29" s="446" t="s">
        <v>3304</v>
      </c>
      <c r="F29" s="447"/>
      <c r="G29" s="446" t="s">
        <v>3304</v>
      </c>
      <c r="H29" s="447"/>
      <c r="I29" s="446" t="s">
        <v>3304</v>
      </c>
      <c r="J29" s="447"/>
      <c r="K29" s="612"/>
      <c r="L29" s="1135"/>
      <c r="M29" s="1126"/>
      <c r="N29" s="1126"/>
      <c r="O29" s="1134"/>
      <c r="P29" s="3220"/>
      <c r="Q29" s="1803"/>
      <c r="R29" s="772"/>
      <c r="S29" s="773"/>
      <c r="T29" s="772"/>
      <c r="U29" s="773"/>
      <c r="V29" s="772"/>
      <c r="W29" s="773"/>
      <c r="X29" s="1806"/>
      <c r="Y29" s="3220"/>
      <c r="Z29" s="1807"/>
      <c r="AA29" s="1804">
        <v>1</v>
      </c>
      <c r="AB29" s="1804">
        <v>1</v>
      </c>
      <c r="AC29" s="1804">
        <v>1</v>
      </c>
    </row>
    <row r="30" spans="1:29" ht="15.75" thickBot="1">
      <c r="A30" s="427"/>
      <c r="B30" s="652" t="s">
        <v>2730</v>
      </c>
      <c r="C30" s="1384">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5"/>
      <c r="M30" s="1126"/>
      <c r="N30" s="1126"/>
      <c r="O30" s="1134"/>
      <c r="P30" s="3220"/>
      <c r="Q30" s="1803" t="str">
        <f t="shared" si="8"/>
        <v>土地级别</v>
      </c>
      <c r="R30" s="772" t="s">
        <v>17</v>
      </c>
      <c r="S30" s="773">
        <f t="shared" si="10"/>
        <v>100</v>
      </c>
      <c r="T30" s="772" t="s">
        <v>17</v>
      </c>
      <c r="U30" s="773">
        <f t="shared" si="11"/>
        <v>100</v>
      </c>
      <c r="V30" s="772" t="s">
        <v>17</v>
      </c>
      <c r="W30" s="773">
        <f t="shared" si="12"/>
        <v>100</v>
      </c>
      <c r="X30" s="1806"/>
      <c r="Y30" s="3220"/>
      <c r="Z30" s="1807" t="str">
        <f t="shared" si="13"/>
        <v>土地级别</v>
      </c>
      <c r="AA30" s="1804">
        <f t="shared" si="3"/>
        <v>1</v>
      </c>
      <c r="AB30" s="1804">
        <f t="shared" si="4"/>
        <v>1</v>
      </c>
      <c r="AC30" s="1804">
        <f t="shared" si="5"/>
        <v>1</v>
      </c>
    </row>
    <row r="31" spans="1:29" ht="15" hidden="1">
      <c r="A31" s="403"/>
      <c r="B31" s="2662">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5"/>
      <c r="M31" s="1126"/>
      <c r="N31" s="1126"/>
      <c r="O31" s="1134"/>
      <c r="P31" s="3220"/>
      <c r="Q31" s="1803">
        <f t="shared" si="8"/>
        <v>111</v>
      </c>
      <c r="R31" s="772" t="s">
        <v>17</v>
      </c>
      <c r="S31" s="773">
        <f t="shared" si="10"/>
        <v>100</v>
      </c>
      <c r="T31" s="772" t="s">
        <v>17</v>
      </c>
      <c r="U31" s="773">
        <f t="shared" si="11"/>
        <v>100</v>
      </c>
      <c r="V31" s="772" t="s">
        <v>17</v>
      </c>
      <c r="W31" s="773">
        <f t="shared" si="12"/>
        <v>100</v>
      </c>
      <c r="X31" s="1806"/>
      <c r="Y31" s="3220"/>
      <c r="Z31" s="1807">
        <f t="shared" si="13"/>
        <v>111</v>
      </c>
      <c r="AA31" s="1804">
        <f t="shared" si="3"/>
        <v>1</v>
      </c>
      <c r="AB31" s="1804">
        <f t="shared" si="4"/>
        <v>1</v>
      </c>
      <c r="AC31" s="1804">
        <f t="shared" si="5"/>
        <v>1</v>
      </c>
    </row>
    <row r="32" spans="1:29" ht="15" hidden="1">
      <c r="A32" s="673"/>
      <c r="B32" s="2697">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5"/>
      <c r="M32" s="1126"/>
      <c r="N32" s="1126"/>
      <c r="O32" s="1134"/>
      <c r="P32" s="3236" t="s">
        <v>2545</v>
      </c>
      <c r="Q32" s="1803">
        <f t="shared" si="8"/>
        <v>111</v>
      </c>
      <c r="R32" s="772" t="s">
        <v>17</v>
      </c>
      <c r="S32" s="773">
        <f t="shared" si="10"/>
        <v>100</v>
      </c>
      <c r="T32" s="772" t="s">
        <v>17</v>
      </c>
      <c r="U32" s="773">
        <f t="shared" si="11"/>
        <v>100</v>
      </c>
      <c r="V32" s="772" t="s">
        <v>17</v>
      </c>
      <c r="W32" s="773">
        <f t="shared" si="12"/>
        <v>100</v>
      </c>
      <c r="X32" s="1806"/>
      <c r="Y32" s="3221" t="s">
        <v>2545</v>
      </c>
      <c r="Z32" s="1807">
        <f t="shared" si="13"/>
        <v>111</v>
      </c>
      <c r="AA32" s="1804">
        <f t="shared" si="3"/>
        <v>1</v>
      </c>
      <c r="AB32" s="1804">
        <f t="shared" si="4"/>
        <v>1</v>
      </c>
      <c r="AC32" s="1804">
        <f t="shared" si="5"/>
        <v>1</v>
      </c>
    </row>
    <row r="33" spans="1:29" s="470" customFormat="1" ht="15.75" hidden="1" thickBot="1">
      <c r="A33" s="674"/>
      <c r="B33" s="2698">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3"/>
      <c r="M33" s="1136"/>
      <c r="N33" s="1136"/>
      <c r="O33" s="1137"/>
      <c r="P33" s="3221"/>
      <c r="Q33" s="1803">
        <f t="shared" si="8"/>
        <v>111</v>
      </c>
      <c r="R33" s="775" t="s">
        <v>17</v>
      </c>
      <c r="S33" s="776">
        <f t="shared" si="10"/>
        <v>100</v>
      </c>
      <c r="T33" s="775" t="s">
        <v>17</v>
      </c>
      <c r="U33" s="776">
        <f t="shared" si="11"/>
        <v>100</v>
      </c>
      <c r="V33" s="775" t="s">
        <v>17</v>
      </c>
      <c r="W33" s="776">
        <f t="shared" si="12"/>
        <v>100</v>
      </c>
      <c r="X33" s="777"/>
      <c r="Y33" s="3221"/>
      <c r="Z33" s="778">
        <f t="shared" si="13"/>
        <v>111</v>
      </c>
      <c r="AA33" s="1804">
        <f t="shared" si="3"/>
        <v>1</v>
      </c>
      <c r="AB33" s="1804">
        <f t="shared" si="4"/>
        <v>1</v>
      </c>
      <c r="AC33" s="1804">
        <f t="shared" si="5"/>
        <v>1</v>
      </c>
    </row>
    <row r="34" spans="1:29" ht="15">
      <c r="A34" s="439" t="s">
        <v>2543</v>
      </c>
      <c r="B34" s="455" t="s">
        <v>2731</v>
      </c>
      <c r="C34" s="677">
        <f>'数据-汇总表'!D3</f>
        <v>39950.5</v>
      </c>
      <c r="D34" s="466">
        <v>100</v>
      </c>
      <c r="E34" s="677">
        <f>'土地案例+位置图'!J2</f>
        <v>12894.05</v>
      </c>
      <c r="F34" s="466">
        <f>LOOKUP(E34,108:108,109:109)-LOOKUP(C34,108:108,109:109)+100</f>
        <v>98</v>
      </c>
      <c r="G34" s="677">
        <f>'土地案例+位置图'!J3</f>
        <v>13333.34</v>
      </c>
      <c r="H34" s="466">
        <f>LOOKUP(G34,108:108,109:109)-LOOKUP(C34,108:108,109:109)+100</f>
        <v>98</v>
      </c>
      <c r="I34" s="529">
        <f>'土地案例+位置图'!J4</f>
        <v>19846.330000000002</v>
      </c>
      <c r="J34" s="466">
        <f>LOOKUP(I34,108:108,109:109)-LOOKUP(C34,108:108,109:109)+100</f>
        <v>98</v>
      </c>
      <c r="K34" s="612"/>
      <c r="L34" s="1135"/>
      <c r="M34" s="1126"/>
      <c r="N34" s="1126"/>
      <c r="O34" s="1134"/>
      <c r="P34" s="3221"/>
      <c r="Q34" s="1803" t="str">
        <f>B34</f>
        <v>宗地面积</v>
      </c>
      <c r="R34" s="772" t="s">
        <v>17</v>
      </c>
      <c r="S34" s="773">
        <f t="shared" si="10"/>
        <v>98</v>
      </c>
      <c r="T34" s="772" t="s">
        <v>17</v>
      </c>
      <c r="U34" s="773">
        <f t="shared" si="11"/>
        <v>98</v>
      </c>
      <c r="V34" s="772" t="s">
        <v>17</v>
      </c>
      <c r="W34" s="773">
        <f t="shared" si="12"/>
        <v>98</v>
      </c>
      <c r="X34" s="1806"/>
      <c r="Y34" s="3221"/>
      <c r="Z34" s="1807" t="str">
        <f t="shared" si="13"/>
        <v>宗地面积</v>
      </c>
      <c r="AA34" s="1804">
        <f t="shared" si="3"/>
        <v>1.0204081632653061</v>
      </c>
      <c r="AB34" s="1804">
        <f t="shared" si="4"/>
        <v>1.0204081632653061</v>
      </c>
      <c r="AC34" s="1804">
        <f t="shared" si="5"/>
        <v>1.0204081632653061</v>
      </c>
    </row>
    <row r="35" spans="1:29" ht="15">
      <c r="A35" s="471"/>
      <c r="B35" s="421" t="s">
        <v>2732</v>
      </c>
      <c r="C35" s="2597" t="s">
        <v>3106</v>
      </c>
      <c r="D35" s="434">
        <v>100</v>
      </c>
      <c r="E35" s="2597" t="s">
        <v>3106</v>
      </c>
      <c r="F35" s="434">
        <f>SUMIF(110:110,E35,111:111)-SUMIF(110:110,C35,111:111)+100</f>
        <v>100</v>
      </c>
      <c r="G35" s="2597" t="s">
        <v>3106</v>
      </c>
      <c r="H35" s="434">
        <f>SUMIF(110:110,G35,111:111)-SUMIF(110:110,C35,111:111)+100</f>
        <v>100</v>
      </c>
      <c r="I35" s="2597" t="s">
        <v>3106</v>
      </c>
      <c r="J35" s="434">
        <f>SUMIF(110:110,I35,111:111)-SUMIF(110:110,C35,111:111)+100</f>
        <v>100</v>
      </c>
      <c r="K35" s="611">
        <v>2</v>
      </c>
      <c r="L35" s="1135"/>
      <c r="M35" s="1126"/>
      <c r="N35" s="1126"/>
      <c r="O35" s="1134"/>
      <c r="P35" s="3221"/>
      <c r="Q35" s="1803" t="str">
        <f t="shared" ref="Q35:Q40" si="14">B35</f>
        <v>宗地形状</v>
      </c>
      <c r="R35" s="772" t="s">
        <v>17</v>
      </c>
      <c r="S35" s="773">
        <f t="shared" si="10"/>
        <v>100</v>
      </c>
      <c r="T35" s="772" t="s">
        <v>17</v>
      </c>
      <c r="U35" s="773">
        <f t="shared" si="11"/>
        <v>100</v>
      </c>
      <c r="V35" s="772" t="s">
        <v>17</v>
      </c>
      <c r="W35" s="773">
        <f t="shared" si="12"/>
        <v>100</v>
      </c>
      <c r="X35" s="1806"/>
      <c r="Y35" s="3221"/>
      <c r="Z35" s="1807" t="str">
        <f t="shared" si="13"/>
        <v>宗地形状</v>
      </c>
      <c r="AA35" s="1804">
        <f t="shared" si="3"/>
        <v>1</v>
      </c>
      <c r="AB35" s="1804">
        <f t="shared" si="4"/>
        <v>1</v>
      </c>
      <c r="AC35" s="1804">
        <f t="shared" si="5"/>
        <v>1</v>
      </c>
    </row>
    <row r="36" spans="1:29" s="117" customFormat="1" ht="15">
      <c r="A36" s="472"/>
      <c r="B36" s="421" t="s">
        <v>2734</v>
      </c>
      <c r="C36" s="2685" t="s">
        <v>3051</v>
      </c>
      <c r="D36" s="135">
        <v>100</v>
      </c>
      <c r="E36" s="2685" t="s">
        <v>3051</v>
      </c>
      <c r="F36" s="434">
        <f>SUMIF(112:112,E36,113:113)-SUMIF(112:112,C36,113:113)+100</f>
        <v>100</v>
      </c>
      <c r="G36" s="2685" t="s">
        <v>3051</v>
      </c>
      <c r="H36" s="434">
        <f>SUMIF(112:112,G36,113:113)-SUMIF(112:112,C36,113:113)+100</f>
        <v>100</v>
      </c>
      <c r="I36" s="2685" t="s">
        <v>3051</v>
      </c>
      <c r="J36" s="434">
        <f>SUMIF(112:112,I36,113:113)-SUMIF(112:112,C36,113:113)+100</f>
        <v>100</v>
      </c>
      <c r="K36" s="611">
        <v>1</v>
      </c>
      <c r="L36" s="1127"/>
      <c r="M36" s="1128"/>
      <c r="N36" s="1128"/>
      <c r="O36" s="1129"/>
      <c r="P36" s="3221"/>
      <c r="Q36" s="1803" t="str">
        <f t="shared" si="14"/>
        <v>宗地开发程度</v>
      </c>
      <c r="R36" s="768" t="s">
        <v>17</v>
      </c>
      <c r="S36" s="769">
        <f t="shared" si="10"/>
        <v>100</v>
      </c>
      <c r="T36" s="768" t="s">
        <v>17</v>
      </c>
      <c r="U36" s="769">
        <f t="shared" si="11"/>
        <v>100</v>
      </c>
      <c r="V36" s="768" t="s">
        <v>17</v>
      </c>
      <c r="W36" s="769">
        <f t="shared" si="12"/>
        <v>100</v>
      </c>
      <c r="X36" s="770"/>
      <c r="Y36" s="3221"/>
      <c r="Z36" s="55" t="str">
        <f t="shared" si="13"/>
        <v>宗地开发程度</v>
      </c>
      <c r="AA36" s="771">
        <f t="shared" si="3"/>
        <v>1</v>
      </c>
      <c r="AB36" s="771">
        <f t="shared" si="4"/>
        <v>1</v>
      </c>
      <c r="AC36" s="771">
        <f t="shared" si="5"/>
        <v>1</v>
      </c>
    </row>
    <row r="37" spans="1:29" ht="15.75" thickBot="1">
      <c r="A37" s="471"/>
      <c r="B37" s="421" t="s">
        <v>2735</v>
      </c>
      <c r="C37" s="2597" t="s">
        <v>3049</v>
      </c>
      <c r="D37" s="434">
        <v>100</v>
      </c>
      <c r="E37" s="2597" t="s">
        <v>3049</v>
      </c>
      <c r="F37" s="434">
        <f>SUMIF(114:114,E37,115:115)-SUMIF(114:114,C37,115:115)+100</f>
        <v>100</v>
      </c>
      <c r="G37" s="2597" t="s">
        <v>3049</v>
      </c>
      <c r="H37" s="434">
        <f>SUMIF(114:114,G37,115:115)-SUMIF(114:114,C37,115:115)+100</f>
        <v>100</v>
      </c>
      <c r="I37" s="2597" t="s">
        <v>3049</v>
      </c>
      <c r="J37" s="434">
        <f>SUMIF(114:114,I37,115:115)-SUMIF(114:114,C37,115:115)+100</f>
        <v>100</v>
      </c>
      <c r="K37" s="611">
        <v>2</v>
      </c>
      <c r="L37" s="1135"/>
      <c r="M37" s="1126"/>
      <c r="N37" s="1126"/>
      <c r="O37" s="1134"/>
      <c r="P37" s="3221" t="s">
        <v>2545</v>
      </c>
      <c r="Q37" s="1803" t="str">
        <f t="shared" si="14"/>
        <v>工程地质条件</v>
      </c>
      <c r="R37" s="772" t="s">
        <v>17</v>
      </c>
      <c r="S37" s="773">
        <f t="shared" si="10"/>
        <v>100</v>
      </c>
      <c r="T37" s="772" t="s">
        <v>17</v>
      </c>
      <c r="U37" s="773">
        <f t="shared" si="11"/>
        <v>100</v>
      </c>
      <c r="V37" s="772" t="s">
        <v>17</v>
      </c>
      <c r="W37" s="773">
        <f t="shared" si="12"/>
        <v>100</v>
      </c>
      <c r="X37" s="1806"/>
      <c r="Y37" s="3221" t="s">
        <v>2545</v>
      </c>
      <c r="Z37" s="1807" t="str">
        <f t="shared" si="13"/>
        <v>工程地质条件</v>
      </c>
      <c r="AA37" s="1804">
        <f t="shared" si="3"/>
        <v>1</v>
      </c>
      <c r="AB37" s="1804">
        <f t="shared" si="4"/>
        <v>1</v>
      </c>
      <c r="AC37" s="1804">
        <f t="shared" si="5"/>
        <v>1</v>
      </c>
    </row>
    <row r="38" spans="1:29" ht="15" hidden="1">
      <c r="A38" s="471"/>
      <c r="B38" s="1382">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5"/>
      <c r="M38" s="1126"/>
      <c r="N38" s="1126"/>
      <c r="O38" s="1134"/>
      <c r="P38" s="3221"/>
      <c r="Q38" s="1803">
        <f t="shared" si="14"/>
        <v>111</v>
      </c>
      <c r="R38" s="772" t="s">
        <v>17</v>
      </c>
      <c r="S38" s="773">
        <f t="shared" si="10"/>
        <v>100</v>
      </c>
      <c r="T38" s="772" t="s">
        <v>17</v>
      </c>
      <c r="U38" s="773">
        <f t="shared" si="11"/>
        <v>100</v>
      </c>
      <c r="V38" s="772" t="s">
        <v>17</v>
      </c>
      <c r="W38" s="773">
        <f t="shared" si="12"/>
        <v>100</v>
      </c>
      <c r="X38" s="1806"/>
      <c r="Y38" s="3221"/>
      <c r="Z38" s="1807">
        <f t="shared" si="13"/>
        <v>111</v>
      </c>
      <c r="AA38" s="1804">
        <f t="shared" si="3"/>
        <v>1</v>
      </c>
      <c r="AB38" s="1804">
        <f t="shared" si="4"/>
        <v>1</v>
      </c>
      <c r="AC38" s="1804">
        <f t="shared" si="5"/>
        <v>1</v>
      </c>
    </row>
    <row r="39" spans="1:29" ht="15" hidden="1">
      <c r="A39" s="471"/>
      <c r="B39" s="1382">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5"/>
      <c r="M39" s="1126"/>
      <c r="N39" s="1126"/>
      <c r="O39" s="1134"/>
      <c r="P39" s="3221"/>
      <c r="Q39" s="1803">
        <f t="shared" si="14"/>
        <v>111</v>
      </c>
      <c r="R39" s="772" t="s">
        <v>17</v>
      </c>
      <c r="S39" s="773">
        <f t="shared" si="10"/>
        <v>100</v>
      </c>
      <c r="T39" s="772" t="s">
        <v>17</v>
      </c>
      <c r="U39" s="773">
        <f t="shared" si="11"/>
        <v>100</v>
      </c>
      <c r="V39" s="772" t="s">
        <v>17</v>
      </c>
      <c r="W39" s="773">
        <f t="shared" si="12"/>
        <v>100</v>
      </c>
      <c r="X39" s="1806"/>
      <c r="Y39" s="3221"/>
      <c r="Z39" s="1807">
        <f t="shared" si="13"/>
        <v>111</v>
      </c>
      <c r="AA39" s="1804">
        <f t="shared" si="3"/>
        <v>1</v>
      </c>
      <c r="AB39" s="1804">
        <f t="shared" si="4"/>
        <v>1</v>
      </c>
      <c r="AC39" s="1804">
        <f t="shared" si="5"/>
        <v>1</v>
      </c>
    </row>
    <row r="40" spans="1:29" s="470" customFormat="1" ht="15.75" hidden="1" thickBot="1">
      <c r="A40" s="467"/>
      <c r="B40" s="1382">
        <v>111</v>
      </c>
      <c r="C40" s="2686"/>
      <c r="D40" s="136">
        <v>100</v>
      </c>
      <c r="E40" s="672"/>
      <c r="F40" s="437">
        <f>SUMIF(120:120,E40,121:121)-SUMIF(120:120,C40,121:121)+100</f>
        <v>100</v>
      </c>
      <c r="G40" s="672"/>
      <c r="H40" s="437">
        <f>SUMIF(120:120,G40,121:121)-SUMIF(120:120,C40,121:121)+100</f>
        <v>100</v>
      </c>
      <c r="I40" s="548"/>
      <c r="J40" s="437">
        <f>SUMIF(120:120,I40,121:121)-SUMIF(120:120,C40,121:121)+100</f>
        <v>100</v>
      </c>
      <c r="K40" s="679"/>
      <c r="L40" s="1133"/>
      <c r="M40" s="1136"/>
      <c r="N40" s="1136"/>
      <c r="O40" s="1137"/>
      <c r="P40" s="3221"/>
      <c r="Q40" s="1803">
        <f t="shared" si="14"/>
        <v>111</v>
      </c>
      <c r="R40" s="775" t="s">
        <v>17</v>
      </c>
      <c r="S40" s="776">
        <f t="shared" si="10"/>
        <v>100</v>
      </c>
      <c r="T40" s="775" t="s">
        <v>17</v>
      </c>
      <c r="U40" s="776">
        <f t="shared" si="11"/>
        <v>100</v>
      </c>
      <c r="V40" s="775" t="s">
        <v>17</v>
      </c>
      <c r="W40" s="776">
        <f t="shared" si="12"/>
        <v>100</v>
      </c>
      <c r="X40" s="777"/>
      <c r="Y40" s="3221"/>
      <c r="Z40" s="778">
        <f t="shared" si="13"/>
        <v>111</v>
      </c>
      <c r="AA40" s="1804">
        <f t="shared" si="3"/>
        <v>1</v>
      </c>
      <c r="AB40" s="1804">
        <f t="shared" si="4"/>
        <v>1</v>
      </c>
      <c r="AC40" s="1804">
        <f t="shared" si="5"/>
        <v>1</v>
      </c>
    </row>
    <row r="41" spans="1:29" ht="15">
      <c r="A41" s="478" t="s">
        <v>2700</v>
      </c>
      <c r="B41" s="2687" t="s">
        <v>3161</v>
      </c>
      <c r="C41" s="680" t="s">
        <v>1</v>
      </c>
      <c r="D41" s="480"/>
      <c r="E41" s="481">
        <v>558</v>
      </c>
      <c r="F41" s="482"/>
      <c r="G41" s="481">
        <v>562</v>
      </c>
      <c r="H41" s="484"/>
      <c r="I41" s="481">
        <v>559</v>
      </c>
      <c r="J41" s="484"/>
      <c r="K41" s="781"/>
      <c r="L41" s="1138"/>
      <c r="M41" s="1126"/>
      <c r="N41" s="1126"/>
      <c r="O41" s="1139"/>
      <c r="P41" s="3201" t="str">
        <f>A41</f>
        <v>成交单价</v>
      </c>
      <c r="Q41" s="3201"/>
      <c r="R41" s="3218">
        <f>E41</f>
        <v>558</v>
      </c>
      <c r="S41" s="3218"/>
      <c r="T41" s="3218">
        <f>G41</f>
        <v>562</v>
      </c>
      <c r="U41" s="3218"/>
      <c r="V41" s="3218">
        <f>I41</f>
        <v>559</v>
      </c>
      <c r="W41" s="3218"/>
      <c r="X41" s="757"/>
      <c r="Y41" s="779"/>
      <c r="Z41" s="757"/>
      <c r="AA41" s="757"/>
      <c r="AB41" s="757"/>
      <c r="AC41" s="757"/>
    </row>
    <row r="42" spans="1:29" ht="15.75" thickBot="1">
      <c r="A42" s="485" t="s">
        <v>2649</v>
      </c>
      <c r="B42" s="681"/>
      <c r="C42" s="489">
        <f>R43</f>
        <v>418</v>
      </c>
      <c r="D42" s="488"/>
      <c r="E42" s="489">
        <f>R42</f>
        <v>417</v>
      </c>
      <c r="F42" s="490"/>
      <c r="G42" s="487">
        <f>T42</f>
        <v>420</v>
      </c>
      <c r="H42" s="488"/>
      <c r="I42" s="489">
        <f>V42</f>
        <v>418</v>
      </c>
      <c r="J42" s="488"/>
      <c r="K42" s="782"/>
      <c r="L42" s="1138"/>
      <c r="M42" s="1126"/>
      <c r="N42" s="1126"/>
      <c r="O42" s="1139"/>
      <c r="P42" s="3201" t="str">
        <f>A42</f>
        <v>比较价值（元/平方米）</v>
      </c>
      <c r="Q42" s="3201"/>
      <c r="R42" s="3240">
        <f>ROUND(PRODUCT(R41,AA7:AA40),0)</f>
        <v>417</v>
      </c>
      <c r="S42" s="3240"/>
      <c r="T42" s="3240">
        <f>ROUND(PRODUCT(T41,AB7:AB40),0)</f>
        <v>420</v>
      </c>
      <c r="U42" s="3240"/>
      <c r="V42" s="3240">
        <f>ROUND(PRODUCT(V41,AC7:AC40),0)</f>
        <v>418</v>
      </c>
      <c r="W42" s="3240"/>
      <c r="X42" s="757"/>
      <c r="Y42" s="757"/>
      <c r="Z42" s="757"/>
      <c r="AA42" s="757"/>
      <c r="AB42" s="757"/>
      <c r="AC42" s="757"/>
    </row>
    <row r="43" spans="1:29" ht="15.75" thickBot="1">
      <c r="A43" s="491" t="s">
        <v>2650</v>
      </c>
      <c r="B43" s="492"/>
      <c r="C43" s="493">
        <f>R43</f>
        <v>418</v>
      </c>
      <c r="D43" s="493"/>
      <c r="E43" s="493"/>
      <c r="F43" s="493"/>
      <c r="G43" s="493"/>
      <c r="H43" s="493"/>
      <c r="I43" s="493"/>
      <c r="J43" s="493"/>
      <c r="K43" s="783"/>
      <c r="L43" s="1138"/>
      <c r="M43" s="1126"/>
      <c r="N43" s="1126"/>
      <c r="O43" s="1139"/>
      <c r="P43" s="3237" t="str">
        <f>A43</f>
        <v>估价对象XX用房的比较价值（楼面单价，元/平方米）</v>
      </c>
      <c r="Q43" s="3238"/>
      <c r="R43" s="3239">
        <f>ROUND(AVERAGE(R42:V42),0)</f>
        <v>418</v>
      </c>
      <c r="S43" s="3239"/>
      <c r="T43" s="3239"/>
      <c r="U43" s="3239"/>
      <c r="V43" s="3239"/>
      <c r="W43" s="3239"/>
      <c r="X43" s="757"/>
      <c r="Y43" s="757"/>
      <c r="Z43" s="757"/>
      <c r="AA43" s="757"/>
      <c r="AB43" s="757"/>
      <c r="AC43" s="757"/>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6" t="s">
        <v>2651</v>
      </c>
      <c r="D46" s="497"/>
      <c r="E46" s="498">
        <f>IF(E41&lt;E42,E42/E41-1,E41/E42-1)</f>
        <v>0.33812949640287759</v>
      </c>
      <c r="F46" s="499" t="str">
        <f>IF(OR(E46&gt;=0.3,E46&lt;=-0.3),"超过30%","")</f>
        <v>超过30%</v>
      </c>
      <c r="G46" s="498">
        <f>IF(G41&lt;G42,G42/G41-1,G41/G42-1)</f>
        <v>0.338095238095238</v>
      </c>
      <c r="H46" s="499" t="str">
        <f>IF(OR(G46&gt;=0.3,G46&lt;=-0.3),"超过30%","")</f>
        <v>超过30%</v>
      </c>
      <c r="I46" s="498">
        <f>IF(I41&lt;I42,I42/I41-1,I41/I42-1)</f>
        <v>0.33732057416267947</v>
      </c>
      <c r="J46" s="499" t="str">
        <f>IF(OR(I46&gt;=0.3,I46&lt;=-0.3),"超过30%","")</f>
        <v>超过30%</v>
      </c>
      <c r="K46" s="1100"/>
      <c r="L46" s="1101"/>
      <c r="M46" s="1126"/>
      <c r="N46" s="1126"/>
      <c r="O46" s="1139"/>
    </row>
    <row r="47" spans="1:29" ht="13.5" customHeight="1">
      <c r="A47" s="1139"/>
      <c r="B47" s="1139"/>
      <c r="C47" s="496" t="s">
        <v>2652</v>
      </c>
      <c r="D47" s="500"/>
      <c r="E47" s="498">
        <f>IF(E42&lt;G42,G42/E42-1,E42/G42-1)</f>
        <v>7.194244604316502E-3</v>
      </c>
      <c r="F47" s="499" t="str">
        <f>IF(OR(E47&gt;=0.2,E47&lt;=-0.2),"超过20%","")</f>
        <v/>
      </c>
      <c r="G47" s="498">
        <f>IF(G42&lt;I42,I42/G42-1,G42/I42-1)</f>
        <v>4.7846889952152249E-3</v>
      </c>
      <c r="H47" s="499" t="str">
        <f>IF(OR(G47&gt;=0.2,G47&lt;=-0.2),"超过20%","")</f>
        <v/>
      </c>
      <c r="I47" s="498">
        <f>IF(I42&lt;E42,E42/I42-1,I42/E42-1)</f>
        <v>2.3980815347721673E-3</v>
      </c>
      <c r="J47" s="499" t="str">
        <f>IF(OR(I47&gt;=0.2,I47&lt;=-0.2),"超过20%","")</f>
        <v/>
      </c>
      <c r="K47" s="1100"/>
      <c r="L47" s="1101"/>
      <c r="M47" s="1139"/>
      <c r="N47" s="1139"/>
      <c r="O47" s="1139"/>
    </row>
    <row r="48" spans="1:29" s="501" customFormat="1" ht="13.5" customHeight="1">
      <c r="A48" s="1140"/>
      <c r="B48" s="1140"/>
      <c r="C48" s="496" t="s">
        <v>2653</v>
      </c>
      <c r="D48" s="500"/>
      <c r="E48" s="498">
        <f>IF(E41&lt;G41,G41/E41-1,E41/G41-1)</f>
        <v>7.1684587813620748E-3</v>
      </c>
      <c r="F48" s="499" t="str">
        <f>IF(OR(E48&gt;=0.3,E48&lt;=-0.3),"超过30%","")</f>
        <v/>
      </c>
      <c r="G48" s="498">
        <f>IF(G41&lt;I41,I41/G41-1,G41/I41-1)</f>
        <v>5.3667262969587792E-3</v>
      </c>
      <c r="H48" s="499" t="str">
        <f>IF(OR(G48&gt;=0.3,G48&lt;=-0.3),"超过30%","")</f>
        <v/>
      </c>
      <c r="I48" s="498">
        <f>IF(I41&lt;E41,E41/I41-1,I41/E41-1)</f>
        <v>1.7921146953405742E-3</v>
      </c>
      <c r="J48" s="499" t="str">
        <f>IF(OR(I48&gt;=0.3,I48&lt;=-0.3),"超过30%","")</f>
        <v/>
      </c>
      <c r="K48" s="1143"/>
      <c r="L48" s="1144"/>
      <c r="M48" s="1140"/>
      <c r="N48" s="1140"/>
      <c r="O48" s="1140"/>
    </row>
    <row r="49" spans="1:17" s="501" customFormat="1" ht="15" thickBot="1">
      <c r="A49" s="1140"/>
      <c r="B49" s="1141"/>
      <c r="C49" s="760"/>
      <c r="D49" s="758"/>
      <c r="E49" s="758"/>
      <c r="F49" s="758"/>
      <c r="G49" s="758"/>
      <c r="H49" s="758"/>
      <c r="I49" s="758"/>
      <c r="J49" s="758"/>
      <c r="K49" s="1143"/>
      <c r="L49" s="1144"/>
      <c r="M49" s="1140"/>
      <c r="N49" s="1140"/>
      <c r="O49" s="1140"/>
    </row>
    <row r="50" spans="1:17" ht="27">
      <c r="A50" s="682" t="s">
        <v>2737</v>
      </c>
      <c r="B50" s="683" t="s">
        <v>2738</v>
      </c>
      <c r="C50" s="2688" t="s">
        <v>2739</v>
      </c>
      <c r="D50" s="2689" t="s">
        <v>2740</v>
      </c>
      <c r="E50" s="684" t="s">
        <v>2741</v>
      </c>
      <c r="F50" s="685" t="s">
        <v>2742</v>
      </c>
      <c r="G50" s="3198" t="s">
        <v>2743</v>
      </c>
      <c r="H50" s="3199"/>
      <c r="I50" s="1807" t="s">
        <v>2779</v>
      </c>
      <c r="J50" s="1807" t="str">
        <f>项目基本情况!F35</f>
        <v>河北省</v>
      </c>
      <c r="K50" s="2691" t="s">
        <v>2745</v>
      </c>
      <c r="L50" s="1101"/>
      <c r="M50" s="1139"/>
      <c r="N50" s="1139"/>
      <c r="O50" s="1139"/>
    </row>
    <row r="51" spans="1:17" s="690" customFormat="1">
      <c r="A51" s="686" t="s">
        <v>2746</v>
      </c>
      <c r="B51" s="687">
        <f>C43</f>
        <v>418</v>
      </c>
      <c r="C51" s="688">
        <v>1</v>
      </c>
      <c r="D51" s="1158">
        <v>1</v>
      </c>
      <c r="E51" s="688">
        <f>'数据-汇总表'!E8+'数据-汇总表'!E9</f>
        <v>7581.01</v>
      </c>
      <c r="F51" s="689">
        <f t="shared" ref="F51:F60" si="15">ROUND(B51*E51/10000,0)</f>
        <v>317</v>
      </c>
      <c r="G51" s="3200"/>
      <c r="H51" s="3201"/>
      <c r="I51" s="938">
        <v>1</v>
      </c>
      <c r="J51" s="938">
        <v>1</v>
      </c>
      <c r="K51" s="1140"/>
      <c r="L51" s="937"/>
      <c r="M51" s="937"/>
      <c r="N51" s="937"/>
      <c r="O51" s="937"/>
    </row>
    <row r="52" spans="1:17" s="690" customFormat="1">
      <c r="A52" s="691" t="s">
        <v>2747</v>
      </c>
      <c r="B52" s="261">
        <f>ROUND($C$43*C52*D52,0)</f>
        <v>0</v>
      </c>
      <c r="C52" s="199">
        <f t="shared" ref="C52:C60" si="16">IF($C$50="北京市系数",I52,J52)</f>
        <v>0</v>
      </c>
      <c r="D52" s="1159">
        <v>0.25</v>
      </c>
      <c r="E52" s="692"/>
      <c r="F52" s="689">
        <f t="shared" si="15"/>
        <v>0</v>
      </c>
      <c r="G52" s="3202" t="s">
        <v>2748</v>
      </c>
      <c r="H52" s="1099">
        <f>项目基本情况!B37</f>
        <v>0</v>
      </c>
      <c r="I52" s="938">
        <f>SUMIF(修正!A45:A56,H52,修正!B45:B56)</f>
        <v>0</v>
      </c>
      <c r="J52" s="939"/>
      <c r="K52" s="1139"/>
      <c r="L52" s="937"/>
      <c r="M52" s="937"/>
      <c r="N52" s="937"/>
      <c r="O52" s="937"/>
    </row>
    <row r="53" spans="1:17" s="690" customFormat="1">
      <c r="A53" s="691" t="s">
        <v>2749</v>
      </c>
      <c r="B53" s="261">
        <f t="shared" ref="B53:B60" si="17">ROUND($C$43*C53*D53,0)</f>
        <v>0</v>
      </c>
      <c r="C53" s="199">
        <f t="shared" si="16"/>
        <v>0</v>
      </c>
      <c r="D53" s="1159">
        <v>0.25</v>
      </c>
      <c r="E53" s="692"/>
      <c r="F53" s="689">
        <f t="shared" si="15"/>
        <v>0</v>
      </c>
      <c r="G53" s="3202"/>
      <c r="H53" s="1099">
        <f>项目基本情况!B37</f>
        <v>0</v>
      </c>
      <c r="I53" s="938">
        <f>SUMIF(修正!A45:A56,H53,修正!C45:C56)</f>
        <v>0</v>
      </c>
      <c r="J53" s="939"/>
      <c r="K53" s="1140"/>
      <c r="L53" s="937"/>
      <c r="M53" s="937"/>
      <c r="N53" s="937"/>
      <c r="O53" s="937"/>
    </row>
    <row r="54" spans="1:17" s="690" customFormat="1">
      <c r="A54" s="691" t="s">
        <v>2750</v>
      </c>
      <c r="B54" s="261">
        <f t="shared" si="17"/>
        <v>0</v>
      </c>
      <c r="C54" s="199">
        <f t="shared" si="16"/>
        <v>0</v>
      </c>
      <c r="D54" s="1159">
        <v>0.25</v>
      </c>
      <c r="E54" s="692"/>
      <c r="F54" s="689">
        <f t="shared" si="15"/>
        <v>0</v>
      </c>
      <c r="G54" s="3202"/>
      <c r="H54" s="1099">
        <f>项目基本情况!B37</f>
        <v>0</v>
      </c>
      <c r="I54" s="938">
        <f>SUMIF(修正!A45:A56,H54,修正!D45:D56)</f>
        <v>0</v>
      </c>
      <c r="J54" s="939"/>
      <c r="K54" s="1139"/>
      <c r="L54" s="937"/>
      <c r="M54" s="937"/>
      <c r="N54" s="937"/>
      <c r="O54" s="937"/>
    </row>
    <row r="55" spans="1:17" s="690" customFormat="1">
      <c r="A55" s="691" t="s">
        <v>2751</v>
      </c>
      <c r="B55" s="261">
        <f t="shared" si="17"/>
        <v>0</v>
      </c>
      <c r="C55" s="199">
        <f t="shared" si="16"/>
        <v>0</v>
      </c>
      <c r="D55" s="1159">
        <v>0.25</v>
      </c>
      <c r="E55" s="692"/>
      <c r="F55" s="689">
        <f t="shared" si="15"/>
        <v>0</v>
      </c>
      <c r="G55" s="3202"/>
      <c r="H55" s="1099">
        <f>项目基本情况!B37</f>
        <v>0</v>
      </c>
      <c r="I55" s="938">
        <f>SUMIF(修正!A45:A56,H55,修正!E45:E56)</f>
        <v>0</v>
      </c>
      <c r="J55" s="939"/>
      <c r="K55" s="1140"/>
      <c r="L55" s="937"/>
      <c r="M55" s="937"/>
      <c r="N55" s="937"/>
      <c r="O55" s="937"/>
    </row>
    <row r="56" spans="1:17" s="690" customFormat="1">
      <c r="A56" s="691" t="s">
        <v>2752</v>
      </c>
      <c r="B56" s="261">
        <f t="shared" si="17"/>
        <v>0</v>
      </c>
      <c r="C56" s="199">
        <f t="shared" si="16"/>
        <v>0</v>
      </c>
      <c r="D56" s="1159">
        <v>0.25</v>
      </c>
      <c r="E56" s="260">
        <f>'数据-汇总表'!E11</f>
        <v>0</v>
      </c>
      <c r="F56" s="689">
        <f t="shared" si="15"/>
        <v>0</v>
      </c>
      <c r="G56" s="2692" t="s">
        <v>2753</v>
      </c>
      <c r="H56" s="1099">
        <f>项目基本情况!C37</f>
        <v>0</v>
      </c>
      <c r="I56" s="938">
        <f>SUMIF(修正!A45:A56,H56,修正!F45:F56)</f>
        <v>0</v>
      </c>
      <c r="J56" s="939"/>
      <c r="K56" s="1139"/>
      <c r="L56" s="937"/>
      <c r="M56" s="937"/>
      <c r="N56" s="937"/>
      <c r="O56" s="937"/>
    </row>
    <row r="57" spans="1:17" s="690" customFormat="1">
      <c r="A57" s="691" t="s">
        <v>2754</v>
      </c>
      <c r="B57" s="261">
        <f t="shared" si="17"/>
        <v>0</v>
      </c>
      <c r="C57" s="199">
        <f t="shared" si="16"/>
        <v>0</v>
      </c>
      <c r="D57" s="1159">
        <v>0.25</v>
      </c>
      <c r="E57" s="260">
        <f>'数据-汇总表'!E12</f>
        <v>0</v>
      </c>
      <c r="F57" s="689">
        <f t="shared" si="15"/>
        <v>0</v>
      </c>
      <c r="G57" s="1104" t="s">
        <v>2755</v>
      </c>
      <c r="H57" s="1099">
        <f>IF(G57="商业",项目基本情况!B37,IF(G57="办公",项目基本情况!C37,IF(G57="住宅",项目基本情况!D37,项目基本情况!E37)))</f>
        <v>0</v>
      </c>
      <c r="I57" s="938">
        <f>SUMIF(修正!A45:A56,H57,修正!G45:G56)</f>
        <v>0</v>
      </c>
      <c r="J57" s="939"/>
      <c r="K57" s="1140"/>
      <c r="L57" s="937"/>
      <c r="M57" s="937"/>
      <c r="N57" s="937"/>
      <c r="O57" s="937"/>
    </row>
    <row r="58" spans="1:17" s="690" customFormat="1">
      <c r="A58" s="691" t="s">
        <v>2756</v>
      </c>
      <c r="B58" s="261">
        <f t="shared" si="17"/>
        <v>0</v>
      </c>
      <c r="C58" s="199">
        <f t="shared" si="16"/>
        <v>0</v>
      </c>
      <c r="D58" s="1159">
        <v>0.25</v>
      </c>
      <c r="E58" s="260">
        <f>'数据-汇总表'!E13</f>
        <v>0</v>
      </c>
      <c r="F58" s="689">
        <f t="shared" si="15"/>
        <v>0</v>
      </c>
      <c r="G58" s="1104" t="s">
        <v>2757</v>
      </c>
      <c r="H58" s="1099">
        <f>IF(G58="商业",项目基本情况!B37,IF(G58="办公",项目基本情况!C37,IF(G58="住宅",项目基本情况!D37,项目基本情况!E37)))</f>
        <v>0</v>
      </c>
      <c r="I58" s="938">
        <f>SUMIF(修正!A45:A56,H58,修正!H45:H56)</f>
        <v>0</v>
      </c>
      <c r="J58" s="939"/>
      <c r="K58" s="1139"/>
      <c r="L58" s="937"/>
      <c r="M58" s="937"/>
      <c r="N58" s="937"/>
      <c r="O58" s="937"/>
    </row>
    <row r="59" spans="1:17" s="690" customFormat="1">
      <c r="A59" s="691" t="s">
        <v>2758</v>
      </c>
      <c r="B59" s="261">
        <f t="shared" si="17"/>
        <v>0</v>
      </c>
      <c r="C59" s="199">
        <f t="shared" si="16"/>
        <v>0</v>
      </c>
      <c r="D59" s="1159">
        <v>0.25</v>
      </c>
      <c r="E59" s="260">
        <f>'数据-汇总表'!E14</f>
        <v>0</v>
      </c>
      <c r="F59" s="689">
        <f t="shared" si="15"/>
        <v>0</v>
      </c>
      <c r="G59" s="2692" t="s">
        <v>2748</v>
      </c>
      <c r="H59" s="1099">
        <f>项目基本情况!B37</f>
        <v>0</v>
      </c>
      <c r="I59" s="938">
        <f>SUMIF(修正!A45:A56,H59,修正!H45:H56)</f>
        <v>0</v>
      </c>
      <c r="J59" s="939"/>
      <c r="K59" s="1140"/>
      <c r="L59" s="937"/>
      <c r="M59" s="937"/>
      <c r="N59" s="937"/>
      <c r="O59" s="937"/>
    </row>
    <row r="60" spans="1:17" s="690" customFormat="1" ht="15" thickBot="1">
      <c r="A60" s="691" t="s">
        <v>2759</v>
      </c>
      <c r="B60" s="261">
        <f t="shared" si="17"/>
        <v>0</v>
      </c>
      <c r="C60" s="199">
        <f t="shared" si="16"/>
        <v>0</v>
      </c>
      <c r="D60" s="1159">
        <v>0.25</v>
      </c>
      <c r="E60" s="260">
        <f>'数据-汇总表'!E15</f>
        <v>0</v>
      </c>
      <c r="F60" s="689">
        <f t="shared" si="15"/>
        <v>0</v>
      </c>
      <c r="G60" s="2693" t="s">
        <v>2753</v>
      </c>
      <c r="H60" s="1109">
        <f>项目基本情况!C37</f>
        <v>0</v>
      </c>
      <c r="I60" s="938">
        <f>SUMIF(修正!A45:A56,H60,修正!H45:H56)</f>
        <v>0</v>
      </c>
      <c r="J60" s="939"/>
      <c r="K60" s="1139"/>
      <c r="L60" s="937"/>
      <c r="M60" s="937"/>
      <c r="N60" s="937"/>
      <c r="O60" s="937"/>
    </row>
    <row r="61" spans="1:17" s="690" customFormat="1" ht="15" thickBot="1">
      <c r="A61" s="693" t="s">
        <v>2760</v>
      </c>
      <c r="B61" s="694" t="s">
        <v>28</v>
      </c>
      <c r="C61" s="694" t="s">
        <v>29</v>
      </c>
      <c r="D61" s="694" t="s">
        <v>1029</v>
      </c>
      <c r="E61" s="694">
        <f>IF(B41="楼面地价",SUM(E51:E60),'数据-汇总表'!D3)</f>
        <v>39950.5</v>
      </c>
      <c r="F61" s="695">
        <f>IF(B41="楼面地价",SUM(F51:F60),ROUND(C43*E61/10000,0))</f>
        <v>1670</v>
      </c>
      <c r="G61" s="1153"/>
      <c r="H61" s="1153"/>
      <c r="I61" s="1153"/>
      <c r="J61" s="1153"/>
      <c r="K61" s="1100"/>
      <c r="L61" s="937"/>
      <c r="M61" s="937"/>
      <c r="N61" s="937"/>
      <c r="O61" s="937"/>
    </row>
    <row r="62" spans="1:17">
      <c r="A62" s="1139"/>
      <c r="B62" s="1141"/>
      <c r="C62" s="1145"/>
      <c r="D62" s="1139"/>
      <c r="E62" s="1139"/>
      <c r="F62" s="1139"/>
      <c r="G62" s="1139"/>
      <c r="H62" s="1139"/>
      <c r="I62" s="1139"/>
      <c r="J62" s="1139"/>
      <c r="K62" s="1100"/>
      <c r="L62" s="1101"/>
      <c r="M62" s="1139"/>
      <c r="N62" s="1139"/>
      <c r="O62" s="1139"/>
    </row>
    <row r="63" spans="1:17">
      <c r="A63" s="1139"/>
      <c r="B63" s="1141"/>
      <c r="C63" s="759" t="str">
        <f>YEAR(C7)&amp;"-"&amp;MONTH(C7)&amp;"-1"</f>
        <v>2018-4-1</v>
      </c>
      <c r="D63" s="759">
        <f>EDATE(C63,-3)</f>
        <v>43101</v>
      </c>
      <c r="E63" s="759">
        <f>EDATE(D63,-3)</f>
        <v>43009</v>
      </c>
      <c r="F63" s="759">
        <f t="shared" ref="F63:O63" si="18">EDATE(E63,-3)</f>
        <v>42917</v>
      </c>
      <c r="G63" s="759">
        <f t="shared" si="18"/>
        <v>42826</v>
      </c>
      <c r="H63" s="759">
        <f t="shared" si="18"/>
        <v>42736</v>
      </c>
      <c r="I63" s="759">
        <f t="shared" si="18"/>
        <v>42644</v>
      </c>
      <c r="J63" s="759">
        <f t="shared" si="18"/>
        <v>42552</v>
      </c>
      <c r="K63" s="759">
        <f t="shared" si="18"/>
        <v>42461</v>
      </c>
      <c r="L63" s="759">
        <f t="shared" si="18"/>
        <v>42370</v>
      </c>
      <c r="M63" s="759">
        <f t="shared" si="18"/>
        <v>42278</v>
      </c>
      <c r="N63" s="759">
        <f t="shared" si="18"/>
        <v>42186</v>
      </c>
      <c r="O63" s="759">
        <f t="shared" si="18"/>
        <v>42095</v>
      </c>
    </row>
    <row r="64" spans="1:17" ht="21.75" thickBot="1">
      <c r="A64" s="761" t="s">
        <v>2654</v>
      </c>
      <c r="B64" s="757"/>
      <c r="C64" s="762"/>
      <c r="D64" s="762"/>
      <c r="E64" s="762"/>
      <c r="F64" s="763"/>
      <c r="G64" s="763"/>
      <c r="H64" s="762"/>
      <c r="I64" s="762"/>
      <c r="J64" s="762"/>
      <c r="K64" s="764"/>
      <c r="L64" s="765"/>
      <c r="M64" s="762"/>
      <c r="N64" s="762"/>
      <c r="O64" s="1154"/>
      <c r="P64" s="502"/>
      <c r="Q64" s="503"/>
    </row>
    <row r="65" spans="1:17" s="507" customFormat="1" ht="15">
      <c r="A65" s="2694" t="s">
        <v>2761</v>
      </c>
      <c r="B65" s="1354"/>
      <c r="C65" s="1565" t="str">
        <f>YEAR(C63)&amp;"-"&amp;ROUNDUP(MONTH(C63)/3,0)</f>
        <v>2018-2</v>
      </c>
      <c r="D65" s="1565" t="str">
        <f t="shared" ref="D65:O65" si="19">YEAR(D63)&amp;"-"&amp;ROUNDUP(MONTH(D63)/3,0)</f>
        <v>2018-1</v>
      </c>
      <c r="E65" s="1565" t="str">
        <f t="shared" si="19"/>
        <v>2017-4</v>
      </c>
      <c r="F65" s="1565" t="str">
        <f t="shared" si="19"/>
        <v>2017-3</v>
      </c>
      <c r="G65" s="1565" t="str">
        <f t="shared" si="19"/>
        <v>2017-2</v>
      </c>
      <c r="H65" s="1565" t="str">
        <f t="shared" si="19"/>
        <v>2017-1</v>
      </c>
      <c r="I65" s="1565" t="str">
        <f t="shared" si="19"/>
        <v>2016-4</v>
      </c>
      <c r="J65" s="1565" t="str">
        <f t="shared" si="19"/>
        <v>2016-3</v>
      </c>
      <c r="K65" s="1565" t="str">
        <f t="shared" si="19"/>
        <v>2016-2</v>
      </c>
      <c r="L65" s="1565" t="str">
        <f t="shared" si="19"/>
        <v>2016-1</v>
      </c>
      <c r="M65" s="1565" t="str">
        <f t="shared" si="19"/>
        <v>2015-4</v>
      </c>
      <c r="N65" s="1565" t="str">
        <f t="shared" si="19"/>
        <v>2015-3</v>
      </c>
      <c r="O65" s="1565" t="str">
        <f t="shared" si="19"/>
        <v>2015-2</v>
      </c>
      <c r="P65" s="506"/>
    </row>
    <row r="66" spans="1:17" s="117" customFormat="1" ht="30.75" customHeight="1">
      <c r="A66" s="2699" t="s">
        <v>2780</v>
      </c>
      <c r="B66" s="331" t="str">
        <f>"北京市平均增长率"&amp;TEXT(基准地价修正!P24,"0.00%")</f>
        <v>北京市平均增长率1.24%</v>
      </c>
      <c r="C66" s="602">
        <v>100</v>
      </c>
      <c r="D66" s="594">
        <f>C66-1</f>
        <v>99</v>
      </c>
      <c r="E66" s="594">
        <f t="shared" ref="E66:N66" si="20">D66-1</f>
        <v>98</v>
      </c>
      <c r="F66" s="594">
        <f t="shared" si="20"/>
        <v>97</v>
      </c>
      <c r="G66" s="594">
        <f t="shared" si="20"/>
        <v>96</v>
      </c>
      <c r="H66" s="594">
        <f t="shared" si="20"/>
        <v>95</v>
      </c>
      <c r="I66" s="594">
        <f t="shared" si="20"/>
        <v>94</v>
      </c>
      <c r="J66" s="594">
        <f t="shared" si="20"/>
        <v>93</v>
      </c>
      <c r="K66" s="594">
        <f t="shared" si="20"/>
        <v>92</v>
      </c>
      <c r="L66" s="594">
        <f t="shared" si="20"/>
        <v>91</v>
      </c>
      <c r="M66" s="594">
        <f t="shared" si="20"/>
        <v>90</v>
      </c>
      <c r="N66" s="594">
        <f t="shared" si="20"/>
        <v>89</v>
      </c>
      <c r="O66" s="1562"/>
      <c r="P66" s="503"/>
    </row>
    <row r="67" spans="1:17" s="117" customFormat="1" ht="15.75" thickBot="1">
      <c r="A67" s="514" t="s">
        <v>2565</v>
      </c>
      <c r="B67" s="515"/>
      <c r="C67" s="516"/>
      <c r="D67" s="517"/>
      <c r="E67" s="517"/>
      <c r="F67" s="517"/>
      <c r="G67" s="517"/>
      <c r="H67" s="517"/>
      <c r="I67" s="517"/>
      <c r="J67" s="517"/>
      <c r="K67" s="517"/>
      <c r="L67" s="517"/>
      <c r="M67" s="518"/>
      <c r="N67" s="518"/>
      <c r="O67" s="519"/>
      <c r="P67" s="503"/>
      <c r="Q67" s="503"/>
    </row>
    <row r="68" spans="1:17" s="117" customFormat="1" ht="15">
      <c r="A68" s="520" t="s">
        <v>2530</v>
      </c>
      <c r="B68" s="509"/>
      <c r="C68" s="521" t="s">
        <v>2632</v>
      </c>
      <c r="D68" s="3009" t="s">
        <v>3296</v>
      </c>
      <c r="E68" s="522"/>
      <c r="F68" s="522"/>
      <c r="G68" s="522"/>
      <c r="H68" s="522"/>
      <c r="I68" s="522"/>
      <c r="J68" s="522"/>
      <c r="K68" s="522"/>
      <c r="L68" s="523"/>
      <c r="M68" s="524"/>
      <c r="N68" s="1146"/>
      <c r="O68" s="1146"/>
      <c r="P68" s="525"/>
      <c r="Q68" s="503"/>
    </row>
    <row r="69" spans="1:17" s="117" customFormat="1" ht="15.75" thickBot="1">
      <c r="A69" s="520"/>
      <c r="B69" s="509"/>
      <c r="C69" s="637">
        <v>100</v>
      </c>
      <c r="D69" s="511">
        <v>120</v>
      </c>
      <c r="E69" s="511"/>
      <c r="F69" s="511"/>
      <c r="G69" s="511"/>
      <c r="H69" s="511"/>
      <c r="I69" s="511"/>
      <c r="J69" s="511"/>
      <c r="K69" s="511"/>
      <c r="L69" s="511"/>
      <c r="M69" s="513"/>
      <c r="N69" s="1146"/>
      <c r="O69" s="1146"/>
      <c r="P69" s="503"/>
      <c r="Q69" s="503"/>
    </row>
    <row r="70" spans="1:17">
      <c r="A70" s="526" t="s">
        <v>2568</v>
      </c>
      <c r="B70" s="527" t="s">
        <v>2534</v>
      </c>
      <c r="C70" s="2943" t="s">
        <v>3298</v>
      </c>
      <c r="D70" s="529"/>
      <c r="E70" s="529"/>
      <c r="F70" s="529"/>
      <c r="G70" s="529"/>
      <c r="H70" s="529"/>
      <c r="I70" s="529"/>
      <c r="J70" s="529"/>
      <c r="K70" s="530"/>
      <c r="L70" s="531"/>
      <c r="M70" s="532"/>
      <c r="N70" s="1147"/>
      <c r="O70" s="1147"/>
      <c r="P70" s="45"/>
      <c r="Q70" s="503"/>
    </row>
    <row r="71" spans="1:17" ht="15.75" thickBot="1">
      <c r="A71" s="533"/>
      <c r="B71" s="534"/>
      <c r="C71" s="535"/>
      <c r="D71" s="535"/>
      <c r="E71" s="535"/>
      <c r="F71" s="535"/>
      <c r="G71" s="535"/>
      <c r="H71" s="535"/>
      <c r="I71" s="535"/>
      <c r="J71" s="535"/>
      <c r="K71" s="535"/>
      <c r="L71" s="535"/>
      <c r="M71" s="536"/>
      <c r="N71" s="1148"/>
      <c r="O71" s="1148"/>
      <c r="P71" s="45"/>
      <c r="Q71" s="503"/>
    </row>
    <row r="72" spans="1:17" ht="27.75" thickTop="1">
      <c r="A72" s="533"/>
      <c r="B72" s="537" t="s">
        <v>2537</v>
      </c>
      <c r="C72" s="538"/>
      <c r="D72" s="538"/>
      <c r="E72" s="538"/>
      <c r="F72" s="538"/>
      <c r="G72" s="538"/>
      <c r="H72" s="538"/>
      <c r="I72" s="538"/>
      <c r="J72" s="538"/>
      <c r="K72" s="539"/>
      <c r="L72" s="540"/>
      <c r="M72" s="541"/>
      <c r="N72" s="1147"/>
      <c r="O72" s="1147"/>
      <c r="P72" s="45"/>
      <c r="Q72" s="503"/>
    </row>
    <row r="73" spans="1:17" ht="15.75" thickBot="1">
      <c r="A73" s="533"/>
      <c r="B73" s="542"/>
      <c r="C73" s="543"/>
      <c r="D73" s="543"/>
      <c r="E73" s="543"/>
      <c r="F73" s="543"/>
      <c r="G73" s="543"/>
      <c r="H73" s="543"/>
      <c r="I73" s="543"/>
      <c r="J73" s="543"/>
      <c r="K73" s="543"/>
      <c r="L73" s="543"/>
      <c r="M73" s="544"/>
      <c r="N73" s="1148"/>
      <c r="O73" s="1148"/>
      <c r="P73" s="45"/>
      <c r="Q73" s="503"/>
    </row>
    <row r="74" spans="1:17" ht="15.75" thickTop="1">
      <c r="A74" s="533"/>
      <c r="B74" s="545" t="s">
        <v>2538</v>
      </c>
      <c r="C74" s="546" t="str">
        <f>C75&amp;"（含）"&amp;"-"&amp;D75</f>
        <v>0（含）-1</v>
      </c>
      <c r="D74" s="546" t="str">
        <f t="shared" ref="D74:L74" si="21">D75&amp;"（含）"&amp;"-"&amp;E75</f>
        <v>1（含）-2</v>
      </c>
      <c r="E74" s="546" t="str">
        <f t="shared" si="21"/>
        <v>2（含）-3</v>
      </c>
      <c r="F74" s="546" t="str">
        <f t="shared" si="21"/>
        <v>3（含）-4</v>
      </c>
      <c r="G74" s="546" t="str">
        <f t="shared" si="21"/>
        <v>4（含）-5</v>
      </c>
      <c r="H74" s="546" t="str">
        <f t="shared" si="21"/>
        <v>5（含）-6</v>
      </c>
      <c r="I74" s="546" t="str">
        <f t="shared" si="21"/>
        <v>6（含）-7</v>
      </c>
      <c r="J74" s="546" t="str">
        <f t="shared" si="21"/>
        <v>7（含）-8</v>
      </c>
      <c r="K74" s="546" t="str">
        <f t="shared" si="21"/>
        <v>8（含）-9</v>
      </c>
      <c r="L74" s="546" t="str">
        <f t="shared" si="21"/>
        <v>9（含）-10</v>
      </c>
      <c r="M74" s="447" t="str">
        <f>M75&amp;"（含）"&amp;"-"&amp;P75</f>
        <v>10（含）-</v>
      </c>
      <c r="N74" s="1148"/>
      <c r="O74" s="1148"/>
      <c r="P74" s="45"/>
      <c r="Q74" s="503"/>
    </row>
    <row r="75" spans="1:17" ht="15">
      <c r="A75" s="533"/>
      <c r="B75" s="547"/>
      <c r="C75" s="548">
        <v>0</v>
      </c>
      <c r="D75" s="548">
        <v>1</v>
      </c>
      <c r="E75" s="548">
        <v>2</v>
      </c>
      <c r="F75" s="548">
        <v>3</v>
      </c>
      <c r="G75" s="548">
        <v>4</v>
      </c>
      <c r="H75" s="548">
        <v>5</v>
      </c>
      <c r="I75" s="548">
        <v>6</v>
      </c>
      <c r="J75" s="548">
        <v>7</v>
      </c>
      <c r="K75" s="549">
        <v>8</v>
      </c>
      <c r="L75" s="550">
        <v>9</v>
      </c>
      <c r="M75" s="551">
        <v>10</v>
      </c>
      <c r="N75" s="1147"/>
      <c r="O75" s="1147"/>
      <c r="P75" s="45"/>
      <c r="Q75" s="503"/>
    </row>
    <row r="76" spans="1:17" ht="15.75" thickBot="1">
      <c r="A76" s="533"/>
      <c r="B76" s="534"/>
      <c r="C76" s="543">
        <v>100</v>
      </c>
      <c r="D76" s="543">
        <f>IF($B$41="单位面积地价",C76+$K11,C76-$K11)</f>
        <v>102</v>
      </c>
      <c r="E76" s="543">
        <f t="shared" ref="E76:M76" si="22">IF($B$41="单位面积地价",D76+$K11,D76-$K11)</f>
        <v>104</v>
      </c>
      <c r="F76" s="543">
        <f t="shared" si="22"/>
        <v>106</v>
      </c>
      <c r="G76" s="543">
        <f t="shared" si="22"/>
        <v>108</v>
      </c>
      <c r="H76" s="543">
        <f t="shared" si="22"/>
        <v>110</v>
      </c>
      <c r="I76" s="543">
        <f t="shared" si="22"/>
        <v>112</v>
      </c>
      <c r="J76" s="543">
        <f t="shared" si="22"/>
        <v>114</v>
      </c>
      <c r="K76" s="543">
        <f t="shared" si="22"/>
        <v>116</v>
      </c>
      <c r="L76" s="543">
        <f t="shared" si="22"/>
        <v>118</v>
      </c>
      <c r="M76" s="543">
        <f t="shared" si="22"/>
        <v>120</v>
      </c>
      <c r="N76" s="1148"/>
      <c r="O76" s="1148"/>
      <c r="P76" s="45"/>
      <c r="Q76" s="503"/>
    </row>
    <row r="77" spans="1:17" s="470" customFormat="1" ht="15.75" thickTop="1">
      <c r="A77" s="552"/>
      <c r="B77" s="537" t="str">
        <f>B12</f>
        <v>取得方式</v>
      </c>
      <c r="C77" s="553"/>
      <c r="D77" s="553"/>
      <c r="E77" s="553"/>
      <c r="F77" s="553"/>
      <c r="G77" s="553"/>
      <c r="H77" s="554"/>
      <c r="I77" s="554"/>
      <c r="J77" s="554"/>
      <c r="K77" s="554"/>
      <c r="L77" s="555"/>
      <c r="M77" s="556"/>
      <c r="N77" s="1149"/>
      <c r="O77" s="1149"/>
      <c r="P77" s="557"/>
      <c r="Q77" s="558"/>
    </row>
    <row r="78" spans="1:17" s="470" customFormat="1" ht="15.75" thickBot="1">
      <c r="A78" s="552"/>
      <c r="B78" s="542"/>
      <c r="C78" s="559"/>
      <c r="D78" s="535"/>
      <c r="E78" s="535"/>
      <c r="F78" s="535"/>
      <c r="G78" s="535"/>
      <c r="H78" s="535"/>
      <c r="I78" s="535"/>
      <c r="J78" s="535"/>
      <c r="K78" s="535"/>
      <c r="L78" s="535"/>
      <c r="M78" s="536"/>
      <c r="N78" s="1148"/>
      <c r="O78" s="1148"/>
      <c r="P78" s="557"/>
      <c r="Q78" s="558"/>
    </row>
    <row r="79" spans="1:17" s="470" customFormat="1" ht="15.75" thickTop="1">
      <c r="A79" s="552"/>
      <c r="B79" s="537">
        <f>B13</f>
        <v>111</v>
      </c>
      <c r="C79" s="553"/>
      <c r="D79" s="553"/>
      <c r="E79" s="553"/>
      <c r="F79" s="553"/>
      <c r="G79" s="553"/>
      <c r="H79" s="554"/>
      <c r="I79" s="554"/>
      <c r="J79" s="554"/>
      <c r="K79" s="554"/>
      <c r="L79" s="555"/>
      <c r="M79" s="556"/>
      <c r="N79" s="1149"/>
      <c r="O79" s="1149"/>
      <c r="P79" s="469"/>
      <c r="Q79" s="560"/>
    </row>
    <row r="80" spans="1:17" s="470" customFormat="1" ht="15.75" thickBot="1">
      <c r="A80" s="552"/>
      <c r="B80" s="542"/>
      <c r="C80" s="559"/>
      <c r="D80" s="559"/>
      <c r="E80" s="559"/>
      <c r="F80" s="559"/>
      <c r="G80" s="559"/>
      <c r="H80" s="561"/>
      <c r="I80" s="561"/>
      <c r="J80" s="561"/>
      <c r="K80" s="561"/>
      <c r="L80" s="561"/>
      <c r="M80" s="562"/>
      <c r="N80" s="1149"/>
      <c r="O80" s="1149"/>
      <c r="P80" s="557"/>
      <c r="Q80" s="558"/>
    </row>
    <row r="81" spans="1:17" s="470" customFormat="1" ht="15.75" thickTop="1">
      <c r="A81" s="552"/>
      <c r="B81" s="545">
        <f>B14</f>
        <v>111</v>
      </c>
      <c r="C81" s="522"/>
      <c r="D81" s="522"/>
      <c r="E81" s="522"/>
      <c r="F81" s="522"/>
      <c r="G81" s="522"/>
      <c r="H81" s="563"/>
      <c r="I81" s="563"/>
      <c r="J81" s="563"/>
      <c r="K81" s="563"/>
      <c r="L81" s="564"/>
      <c r="M81" s="565"/>
      <c r="N81" s="1149"/>
      <c r="O81" s="1149"/>
      <c r="P81" s="566"/>
      <c r="Q81" s="558"/>
    </row>
    <row r="82" spans="1:17" s="470" customFormat="1" ht="15.75" thickBot="1">
      <c r="A82" s="567"/>
      <c r="B82" s="568"/>
      <c r="C82" s="569"/>
      <c r="D82" s="569"/>
      <c r="E82" s="569"/>
      <c r="F82" s="569"/>
      <c r="G82" s="569"/>
      <c r="H82" s="570"/>
      <c r="I82" s="570"/>
      <c r="J82" s="570"/>
      <c r="K82" s="570"/>
      <c r="L82" s="570"/>
      <c r="M82" s="571"/>
      <c r="N82" s="1149"/>
      <c r="O82" s="1149"/>
      <c r="P82" s="557"/>
      <c r="Q82" s="558"/>
    </row>
    <row r="83" spans="1:17">
      <c r="A83" s="526" t="s">
        <v>2539</v>
      </c>
      <c r="B83" s="527" t="s">
        <v>2685</v>
      </c>
      <c r="C83" s="572" t="s">
        <v>2577</v>
      </c>
      <c r="D83" s="572" t="s">
        <v>2578</v>
      </c>
      <c r="E83" s="572" t="s">
        <v>2579</v>
      </c>
      <c r="F83" s="572" t="s">
        <v>2580</v>
      </c>
      <c r="G83" s="572" t="s">
        <v>2581</v>
      </c>
      <c r="H83" s="528"/>
      <c r="I83" s="528"/>
      <c r="J83" s="528"/>
      <c r="K83" s="573"/>
      <c r="L83" s="574"/>
      <c r="M83" s="575"/>
      <c r="N83" s="1147"/>
      <c r="O83" s="1147"/>
      <c r="P83" s="576"/>
      <c r="Q83" s="503"/>
    </row>
    <row r="84" spans="1:17" ht="15.75" thickBot="1">
      <c r="A84" s="533"/>
      <c r="B84" s="542"/>
      <c r="C84" s="543">
        <v>100</v>
      </c>
      <c r="D84" s="543">
        <f>C84-$K15</f>
        <v>95</v>
      </c>
      <c r="E84" s="543">
        <f>D84-$K15</f>
        <v>90</v>
      </c>
      <c r="F84" s="543">
        <f>E84-$K15</f>
        <v>85</v>
      </c>
      <c r="G84" s="543">
        <f>F84-$K15</f>
        <v>80</v>
      </c>
      <c r="H84" s="543"/>
      <c r="I84" s="543"/>
      <c r="J84" s="543"/>
      <c r="K84" s="543"/>
      <c r="L84" s="543"/>
      <c r="M84" s="544"/>
      <c r="N84" s="1148"/>
      <c r="O84" s="1148"/>
      <c r="P84" s="45"/>
      <c r="Q84" s="503"/>
    </row>
    <row r="85" spans="1:17" ht="15.75" thickTop="1">
      <c r="A85" s="533"/>
      <c r="B85" s="537" t="s">
        <v>2582</v>
      </c>
      <c r="C85" s="577" t="s">
        <v>2577</v>
      </c>
      <c r="D85" s="577" t="s">
        <v>2578</v>
      </c>
      <c r="E85" s="577" t="s">
        <v>2579</v>
      </c>
      <c r="F85" s="577" t="s">
        <v>2580</v>
      </c>
      <c r="G85" s="577" t="s">
        <v>2581</v>
      </c>
      <c r="H85" s="538"/>
      <c r="I85" s="538"/>
      <c r="J85" s="538"/>
      <c r="K85" s="539"/>
      <c r="L85" s="540"/>
      <c r="M85" s="541"/>
      <c r="N85" s="1147"/>
      <c r="O85" s="1147"/>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48"/>
      <c r="O86" s="1148"/>
      <c r="P86" s="45"/>
      <c r="Q86" s="503"/>
    </row>
    <row r="87" spans="1:17" s="117" customFormat="1" ht="15.75" thickTop="1">
      <c r="A87" s="578"/>
      <c r="B87" s="537" t="s">
        <v>2764</v>
      </c>
      <c r="C87" s="572" t="s">
        <v>2577</v>
      </c>
      <c r="D87" s="572" t="s">
        <v>2578</v>
      </c>
      <c r="E87" s="572" t="s">
        <v>2579</v>
      </c>
      <c r="F87" s="572" t="s">
        <v>2580</v>
      </c>
      <c r="G87" s="572" t="s">
        <v>2581</v>
      </c>
      <c r="H87" s="577"/>
      <c r="I87" s="577"/>
      <c r="J87" s="577"/>
      <c r="K87" s="577"/>
      <c r="L87" s="696"/>
      <c r="M87" s="620"/>
      <c r="N87" s="1146"/>
      <c r="O87" s="1146"/>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48"/>
      <c r="O88" s="1148"/>
      <c r="P88" s="45"/>
      <c r="Q88" s="503"/>
    </row>
    <row r="89" spans="1:17" s="117" customFormat="1" ht="27.75" thickTop="1">
      <c r="A89" s="578"/>
      <c r="B89" s="537" t="s">
        <v>2765</v>
      </c>
      <c r="C89" s="572" t="s">
        <v>2577</v>
      </c>
      <c r="D89" s="572" t="s">
        <v>2578</v>
      </c>
      <c r="E89" s="572" t="s">
        <v>2579</v>
      </c>
      <c r="F89" s="572" t="s">
        <v>2580</v>
      </c>
      <c r="G89" s="572" t="s">
        <v>2581</v>
      </c>
      <c r="H89" s="577"/>
      <c r="I89" s="577"/>
      <c r="J89" s="577"/>
      <c r="K89" s="577"/>
      <c r="L89" s="577"/>
      <c r="M89" s="620"/>
      <c r="N89" s="1146"/>
      <c r="O89" s="1146"/>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48"/>
      <c r="O90" s="1148"/>
      <c r="P90" s="45"/>
      <c r="Q90" s="503"/>
    </row>
    <row r="91" spans="1:17" s="470" customFormat="1" ht="15.75" thickTop="1">
      <c r="A91" s="552"/>
      <c r="B91" s="537" t="s">
        <v>2634</v>
      </c>
      <c r="C91" s="572" t="s">
        <v>2577</v>
      </c>
      <c r="D91" s="572" t="s">
        <v>2578</v>
      </c>
      <c r="E91" s="572" t="s">
        <v>2579</v>
      </c>
      <c r="F91" s="572" t="s">
        <v>2580</v>
      </c>
      <c r="G91" s="572" t="s">
        <v>2581</v>
      </c>
      <c r="H91" s="599"/>
      <c r="I91" s="599"/>
      <c r="J91" s="599"/>
      <c r="K91" s="599"/>
      <c r="L91" s="600"/>
      <c r="M91" s="601"/>
      <c r="N91" s="1149"/>
      <c r="O91" s="1149"/>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49"/>
      <c r="O92" s="1149"/>
      <c r="P92" s="557"/>
      <c r="Q92" s="558"/>
    </row>
    <row r="93" spans="1:17" s="470" customFormat="1" ht="15.75" thickTop="1">
      <c r="A93" s="552"/>
      <c r="B93" s="545" t="s">
        <v>2781</v>
      </c>
      <c r="C93" s="658" t="s">
        <v>2655</v>
      </c>
      <c r="D93" s="658" t="s">
        <v>2656</v>
      </c>
      <c r="E93" s="658" t="s">
        <v>2657</v>
      </c>
      <c r="F93" s="658" t="s">
        <v>2658</v>
      </c>
      <c r="G93" s="658" t="s">
        <v>2659</v>
      </c>
      <c r="H93" s="599"/>
      <c r="I93" s="599"/>
      <c r="J93" s="599"/>
      <c r="K93" s="599"/>
      <c r="L93" s="599"/>
      <c r="M93" s="601"/>
      <c r="N93" s="1149"/>
      <c r="O93" s="1149"/>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0"/>
      <c r="N94" s="1149"/>
      <c r="O94" s="1149"/>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47"/>
      <c r="O95" s="1147"/>
      <c r="P95" s="45"/>
      <c r="Q95" s="503"/>
    </row>
    <row r="96" spans="1:17" ht="15.75" thickBot="1">
      <c r="A96" s="533"/>
      <c r="B96" s="542"/>
      <c r="C96" s="543">
        <v>100</v>
      </c>
      <c r="D96" s="543">
        <f t="shared" ref="D96:M96" si="23">C96-$K27</f>
        <v>98</v>
      </c>
      <c r="E96" s="543">
        <f t="shared" si="23"/>
        <v>96</v>
      </c>
      <c r="F96" s="543">
        <f t="shared" si="23"/>
        <v>94</v>
      </c>
      <c r="G96" s="543">
        <f t="shared" si="23"/>
        <v>92</v>
      </c>
      <c r="H96" s="543">
        <f t="shared" si="23"/>
        <v>90</v>
      </c>
      <c r="I96" s="543">
        <f t="shared" si="23"/>
        <v>88</v>
      </c>
      <c r="J96" s="543">
        <f t="shared" si="23"/>
        <v>86</v>
      </c>
      <c r="K96" s="543">
        <f t="shared" si="23"/>
        <v>84</v>
      </c>
      <c r="L96" s="543">
        <f t="shared" si="23"/>
        <v>82</v>
      </c>
      <c r="M96" s="543">
        <f t="shared" si="23"/>
        <v>80</v>
      </c>
      <c r="N96" s="1148"/>
      <c r="O96" s="1148"/>
      <c r="P96" s="45"/>
      <c r="Q96" s="503"/>
    </row>
    <row r="97" spans="1:17" ht="27.75" thickTop="1">
      <c r="A97" s="533"/>
      <c r="B97" s="537" t="s">
        <v>2671</v>
      </c>
      <c r="C97" s="2947" t="s">
        <v>3300</v>
      </c>
      <c r="D97" s="2947" t="s">
        <v>3301</v>
      </c>
      <c r="E97" s="2947" t="s">
        <v>3302</v>
      </c>
      <c r="F97" s="2947" t="s">
        <v>3303</v>
      </c>
      <c r="G97" s="2947" t="s">
        <v>3305</v>
      </c>
      <c r="H97" s="582"/>
      <c r="I97" s="582"/>
      <c r="J97" s="582"/>
      <c r="K97" s="583"/>
      <c r="L97" s="584"/>
      <c r="M97" s="585"/>
      <c r="N97" s="1147"/>
      <c r="O97" s="1147"/>
      <c r="P97" s="45"/>
      <c r="Q97" s="503"/>
    </row>
    <row r="98" spans="1:17" ht="15.75" thickBot="1">
      <c r="A98" s="533"/>
      <c r="B98" s="542"/>
      <c r="C98" s="543">
        <v>100</v>
      </c>
      <c r="D98" s="543">
        <f t="shared" ref="D98:M98" si="24">C98-$K28</f>
        <v>98</v>
      </c>
      <c r="E98" s="543">
        <f t="shared" si="24"/>
        <v>96</v>
      </c>
      <c r="F98" s="543">
        <f t="shared" si="24"/>
        <v>94</v>
      </c>
      <c r="G98" s="543">
        <f t="shared" si="24"/>
        <v>92</v>
      </c>
      <c r="H98" s="543">
        <f t="shared" si="24"/>
        <v>90</v>
      </c>
      <c r="I98" s="543">
        <f t="shared" si="24"/>
        <v>88</v>
      </c>
      <c r="J98" s="543">
        <f t="shared" si="24"/>
        <v>86</v>
      </c>
      <c r="K98" s="543">
        <f t="shared" si="24"/>
        <v>84</v>
      </c>
      <c r="L98" s="543">
        <f t="shared" si="24"/>
        <v>82</v>
      </c>
      <c r="M98" s="543">
        <f t="shared" si="24"/>
        <v>80</v>
      </c>
      <c r="N98" s="1148"/>
      <c r="O98" s="1148"/>
      <c r="P98" s="45"/>
      <c r="Q98" s="503"/>
    </row>
    <row r="99" spans="1:17" ht="15.75" thickTop="1">
      <c r="A99" s="533"/>
      <c r="B99" s="537" t="s">
        <v>2730</v>
      </c>
      <c r="C99" s="582"/>
      <c r="D99" s="582"/>
      <c r="E99" s="582"/>
      <c r="F99" s="582"/>
      <c r="G99" s="582"/>
      <c r="H99" s="582"/>
      <c r="I99" s="582"/>
      <c r="J99" s="582"/>
      <c r="K99" s="583"/>
      <c r="L99" s="584"/>
      <c r="M99" s="585"/>
      <c r="N99" s="1147"/>
      <c r="O99" s="1147"/>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48"/>
      <c r="O100" s="1148"/>
      <c r="P100" s="45"/>
      <c r="Q100" s="503"/>
    </row>
    <row r="101" spans="1:17" ht="15.75" thickTop="1">
      <c r="A101" s="533"/>
      <c r="B101" s="545">
        <f>B31</f>
        <v>111</v>
      </c>
      <c r="C101" s="553"/>
      <c r="D101" s="553"/>
      <c r="E101" s="553"/>
      <c r="F101" s="553"/>
      <c r="G101" s="586"/>
      <c r="H101" s="586"/>
      <c r="I101" s="586"/>
      <c r="J101" s="586"/>
      <c r="K101" s="587"/>
      <c r="L101" s="588"/>
      <c r="M101" s="589"/>
      <c r="N101" s="1147"/>
      <c r="O101" s="1147"/>
      <c r="P101" s="45"/>
      <c r="Q101" s="503"/>
    </row>
    <row r="102" spans="1:17" ht="15.75" thickBot="1">
      <c r="A102" s="533"/>
      <c r="B102" s="568"/>
      <c r="C102" s="559"/>
      <c r="D102" s="535"/>
      <c r="E102" s="535"/>
      <c r="F102" s="535"/>
      <c r="G102" s="590"/>
      <c r="H102" s="590"/>
      <c r="I102" s="590"/>
      <c r="J102" s="590"/>
      <c r="K102" s="590"/>
      <c r="L102" s="590"/>
      <c r="M102" s="591"/>
      <c r="N102" s="1148"/>
      <c r="O102" s="1148"/>
      <c r="P102" s="45"/>
      <c r="Q102" s="503"/>
    </row>
    <row r="103" spans="1:17" ht="15" thickTop="1">
      <c r="A103" s="673"/>
      <c r="B103" s="537">
        <f>B32</f>
        <v>111</v>
      </c>
      <c r="C103" s="553"/>
      <c r="D103" s="553"/>
      <c r="E103" s="553"/>
      <c r="F103" s="553"/>
      <c r="G103" s="582"/>
      <c r="H103" s="582"/>
      <c r="I103" s="582"/>
      <c r="J103" s="582"/>
      <c r="K103" s="583"/>
      <c r="L103" s="584"/>
      <c r="M103" s="585"/>
      <c r="N103" s="1147"/>
      <c r="O103" s="1147"/>
      <c r="P103" s="45"/>
      <c r="Q103" s="503"/>
    </row>
    <row r="104" spans="1:17" ht="15.75" thickBot="1">
      <c r="A104" s="533"/>
      <c r="B104" s="542"/>
      <c r="C104" s="559"/>
      <c r="D104" s="559"/>
      <c r="E104" s="559"/>
      <c r="F104" s="559"/>
      <c r="G104" s="535"/>
      <c r="H104" s="535"/>
      <c r="I104" s="535"/>
      <c r="J104" s="535"/>
      <c r="K104" s="535"/>
      <c r="L104" s="535"/>
      <c r="M104" s="536"/>
      <c r="N104" s="1148"/>
      <c r="O104" s="1148"/>
      <c r="P104" s="45"/>
      <c r="Q104" s="503"/>
    </row>
    <row r="105" spans="1:17" s="470" customFormat="1" ht="15" thickTop="1">
      <c r="A105" s="592"/>
      <c r="B105" s="593">
        <f>B33</f>
        <v>111</v>
      </c>
      <c r="C105" s="522"/>
      <c r="D105" s="522"/>
      <c r="E105" s="522"/>
      <c r="F105" s="522"/>
      <c r="G105" s="594"/>
      <c r="H105" s="594"/>
      <c r="I105" s="594"/>
      <c r="J105" s="595"/>
      <c r="K105" s="595"/>
      <c r="L105" s="596"/>
      <c r="M105" s="597"/>
      <c r="N105" s="1149"/>
      <c r="O105" s="1149"/>
      <c r="P105" s="557"/>
      <c r="Q105" s="558"/>
    </row>
    <row r="106" spans="1:17" s="470" customFormat="1" ht="15.75" thickBot="1">
      <c r="A106" s="552"/>
      <c r="B106" s="545"/>
      <c r="C106" s="569"/>
      <c r="D106" s="569"/>
      <c r="E106" s="569"/>
      <c r="F106" s="569"/>
      <c r="G106" s="675"/>
      <c r="H106" s="675"/>
      <c r="I106" s="675"/>
      <c r="J106" s="675"/>
      <c r="K106" s="675"/>
      <c r="L106" s="675"/>
      <c r="M106" s="697"/>
      <c r="N106" s="1148"/>
      <c r="O106" s="1148"/>
      <c r="P106" s="557"/>
      <c r="Q106" s="558"/>
    </row>
    <row r="107" spans="1:17" ht="28.5">
      <c r="A107" s="526" t="s">
        <v>2543</v>
      </c>
      <c r="B107" s="527" t="s">
        <v>2770</v>
      </c>
      <c r="C107" s="528" t="str">
        <f t="shared" ref="C107:L107" si="26">C108&amp;"(含)"&amp;"-"&amp;D108</f>
        <v>0(含)-10000</v>
      </c>
      <c r="D107" s="528" t="str">
        <f t="shared" si="26"/>
        <v>10000(含)-20000</v>
      </c>
      <c r="E107" s="528" t="str">
        <f t="shared" si="26"/>
        <v>20000(含)-50000</v>
      </c>
      <c r="F107" s="528" t="str">
        <f t="shared" si="26"/>
        <v>50000(含)-100000</v>
      </c>
      <c r="G107" s="528" t="str">
        <f t="shared" si="26"/>
        <v>100000(含)-200000</v>
      </c>
      <c r="H107" s="528" t="str">
        <f t="shared" si="26"/>
        <v>200000(含)-500000</v>
      </c>
      <c r="I107" s="528" t="str">
        <f t="shared" si="26"/>
        <v>500000(含)-1000000</v>
      </c>
      <c r="J107" s="528" t="str">
        <f t="shared" si="26"/>
        <v>1000000(含)-</v>
      </c>
      <c r="K107" s="1759" t="str">
        <f t="shared" si="26"/>
        <v>(含)-</v>
      </c>
      <c r="L107" s="1759" t="str">
        <f t="shared" si="26"/>
        <v>(含)-</v>
      </c>
      <c r="M107" s="1760" t="str">
        <f>M108&amp;"(含)"&amp;"-"&amp;P108</f>
        <v>(含)-</v>
      </c>
      <c r="N107" s="1147"/>
      <c r="O107" s="1147"/>
      <c r="P107" s="45"/>
      <c r="Q107" s="503"/>
    </row>
    <row r="108" spans="1:17" ht="15">
      <c r="A108" s="533"/>
      <c r="B108" s="545"/>
      <c r="C108" s="594">
        <v>0</v>
      </c>
      <c r="D108" s="594">
        <v>10000</v>
      </c>
      <c r="E108" s="594">
        <v>20000</v>
      </c>
      <c r="F108" s="594">
        <v>50000</v>
      </c>
      <c r="G108" s="594">
        <v>100000</v>
      </c>
      <c r="H108" s="594">
        <v>200000</v>
      </c>
      <c r="I108" s="594">
        <v>500000</v>
      </c>
      <c r="J108" s="595">
        <v>1000000</v>
      </c>
      <c r="K108" s="595"/>
      <c r="L108" s="596"/>
      <c r="M108" s="597"/>
      <c r="N108" s="1147"/>
      <c r="O108" s="1147"/>
      <c r="P108" s="45"/>
      <c r="Q108" s="503"/>
    </row>
    <row r="109" spans="1:17" ht="15.75" thickBot="1">
      <c r="A109" s="533"/>
      <c r="B109" s="542"/>
      <c r="C109" s="569">
        <v>100</v>
      </c>
      <c r="D109" s="590">
        <f>C109+2</f>
        <v>102</v>
      </c>
      <c r="E109" s="590">
        <f t="shared" ref="E109:J109" si="27">D109+2</f>
        <v>104</v>
      </c>
      <c r="F109" s="590">
        <f t="shared" si="27"/>
        <v>106</v>
      </c>
      <c r="G109" s="590">
        <f t="shared" si="27"/>
        <v>108</v>
      </c>
      <c r="H109" s="590">
        <f t="shared" si="27"/>
        <v>110</v>
      </c>
      <c r="I109" s="590">
        <f t="shared" si="27"/>
        <v>112</v>
      </c>
      <c r="J109" s="590">
        <f t="shared" si="27"/>
        <v>114</v>
      </c>
      <c r="K109" s="590"/>
      <c r="L109" s="590"/>
      <c r="M109" s="591"/>
      <c r="N109" s="1148"/>
      <c r="O109" s="1148"/>
      <c r="P109" s="45"/>
      <c r="Q109" s="503"/>
    </row>
    <row r="110" spans="1:17" ht="15" thickTop="1">
      <c r="A110" s="598"/>
      <c r="B110" s="537" t="s">
        <v>2771</v>
      </c>
      <c r="C110" s="2946" t="s">
        <v>3306</v>
      </c>
      <c r="D110" s="2946" t="s">
        <v>3307</v>
      </c>
      <c r="E110" s="2946" t="s">
        <v>3308</v>
      </c>
      <c r="F110" s="2946" t="s">
        <v>3309</v>
      </c>
      <c r="G110" s="582"/>
      <c r="H110" s="582"/>
      <c r="I110" s="582"/>
      <c r="J110" s="582"/>
      <c r="K110" s="583"/>
      <c r="L110" s="584"/>
      <c r="M110" s="585"/>
      <c r="N110" s="1147"/>
      <c r="O110" s="1147"/>
      <c r="P110" s="45"/>
      <c r="Q110" s="503"/>
    </row>
    <row r="111" spans="1:17" ht="15.75" thickBot="1">
      <c r="A111" s="533"/>
      <c r="B111" s="542"/>
      <c r="C111" s="543">
        <v>100</v>
      </c>
      <c r="D111" s="543">
        <f t="shared" ref="D111:M111" si="28">C111-$K35</f>
        <v>98</v>
      </c>
      <c r="E111" s="543">
        <f t="shared" si="28"/>
        <v>96</v>
      </c>
      <c r="F111" s="543">
        <f t="shared" si="28"/>
        <v>94</v>
      </c>
      <c r="G111" s="543">
        <f t="shared" si="28"/>
        <v>92</v>
      </c>
      <c r="H111" s="543">
        <f t="shared" si="28"/>
        <v>90</v>
      </c>
      <c r="I111" s="543">
        <f t="shared" si="28"/>
        <v>88</v>
      </c>
      <c r="J111" s="543">
        <f t="shared" si="28"/>
        <v>86</v>
      </c>
      <c r="K111" s="543">
        <f t="shared" si="28"/>
        <v>84</v>
      </c>
      <c r="L111" s="543">
        <f t="shared" si="28"/>
        <v>82</v>
      </c>
      <c r="M111" s="544">
        <f t="shared" si="28"/>
        <v>80</v>
      </c>
      <c r="N111" s="1148"/>
      <c r="O111" s="1148"/>
      <c r="P111" s="45"/>
      <c r="Q111" s="503"/>
    </row>
    <row r="112" spans="1:17" s="470" customFormat="1" ht="15" thickTop="1">
      <c r="A112" s="592"/>
      <c r="B112" s="537" t="s">
        <v>2773</v>
      </c>
      <c r="C112" s="553" t="s">
        <v>3051</v>
      </c>
      <c r="D112" s="553" t="s">
        <v>3115</v>
      </c>
      <c r="E112" s="553" t="s">
        <v>3116</v>
      </c>
      <c r="F112" s="553" t="s">
        <v>3117</v>
      </c>
      <c r="G112" s="553" t="s">
        <v>3118</v>
      </c>
      <c r="H112" s="582"/>
      <c r="I112" s="582"/>
      <c r="J112" s="582"/>
      <c r="K112" s="583"/>
      <c r="L112" s="584"/>
      <c r="M112" s="585"/>
      <c r="N112" s="1149"/>
      <c r="O112" s="1149"/>
      <c r="P112" s="557"/>
      <c r="Q112" s="558"/>
    </row>
    <row r="113" spans="1:17" s="470" customFormat="1" ht="15.75" thickBot="1">
      <c r="A113" s="552"/>
      <c r="B113" s="542"/>
      <c r="C113" s="543">
        <v>100</v>
      </c>
      <c r="D113" s="543">
        <f t="shared" ref="D113:M113" si="29">C113-$K36</f>
        <v>99</v>
      </c>
      <c r="E113" s="543">
        <f t="shared" si="29"/>
        <v>98</v>
      </c>
      <c r="F113" s="543">
        <f t="shared" si="29"/>
        <v>97</v>
      </c>
      <c r="G113" s="543">
        <f t="shared" si="29"/>
        <v>96</v>
      </c>
      <c r="H113" s="543">
        <f t="shared" si="29"/>
        <v>95</v>
      </c>
      <c r="I113" s="543">
        <f t="shared" si="29"/>
        <v>94</v>
      </c>
      <c r="J113" s="543">
        <f t="shared" si="29"/>
        <v>93</v>
      </c>
      <c r="K113" s="543">
        <f t="shared" si="29"/>
        <v>92</v>
      </c>
      <c r="L113" s="543">
        <f t="shared" si="29"/>
        <v>91</v>
      </c>
      <c r="M113" s="544">
        <f t="shared" si="29"/>
        <v>90</v>
      </c>
      <c r="N113" s="1149"/>
      <c r="O113" s="1149"/>
      <c r="P113" s="557"/>
      <c r="Q113" s="558"/>
    </row>
    <row r="114" spans="1:17" ht="15" thickTop="1">
      <c r="A114" s="598"/>
      <c r="B114" s="537" t="s">
        <v>2774</v>
      </c>
      <c r="C114" s="553" t="s">
        <v>3050</v>
      </c>
      <c r="D114" s="553" t="s">
        <v>3049</v>
      </c>
      <c r="E114" s="582" t="s">
        <v>3119</v>
      </c>
      <c r="F114" s="582" t="s">
        <v>3120</v>
      </c>
      <c r="G114" s="582" t="s">
        <v>3121</v>
      </c>
      <c r="H114" s="582"/>
      <c r="I114" s="582"/>
      <c r="J114" s="582"/>
      <c r="K114" s="583"/>
      <c r="L114" s="584"/>
      <c r="M114" s="585"/>
      <c r="N114" s="1147"/>
      <c r="O114" s="1147"/>
      <c r="P114" s="45"/>
      <c r="Q114" s="503"/>
    </row>
    <row r="115" spans="1:17" ht="15.75" thickBot="1">
      <c r="A115" s="533"/>
      <c r="B115" s="542"/>
      <c r="C115" s="543">
        <v>100</v>
      </c>
      <c r="D115" s="543">
        <f t="shared" ref="D115:M115" si="30">C115-$K37</f>
        <v>98</v>
      </c>
      <c r="E115" s="543">
        <f t="shared" si="30"/>
        <v>96</v>
      </c>
      <c r="F115" s="543">
        <f t="shared" si="30"/>
        <v>94</v>
      </c>
      <c r="G115" s="543">
        <f t="shared" si="30"/>
        <v>92</v>
      </c>
      <c r="H115" s="543">
        <f t="shared" si="30"/>
        <v>90</v>
      </c>
      <c r="I115" s="543">
        <f t="shared" si="30"/>
        <v>88</v>
      </c>
      <c r="J115" s="543">
        <f t="shared" si="30"/>
        <v>86</v>
      </c>
      <c r="K115" s="543">
        <f t="shared" si="30"/>
        <v>84</v>
      </c>
      <c r="L115" s="543">
        <f t="shared" si="30"/>
        <v>82</v>
      </c>
      <c r="M115" s="544">
        <f t="shared" si="30"/>
        <v>80</v>
      </c>
      <c r="N115" s="1148"/>
      <c r="O115" s="1148"/>
      <c r="P115" s="45"/>
      <c r="Q115" s="503"/>
    </row>
    <row r="116" spans="1:17" ht="15" thickTop="1">
      <c r="A116" s="598"/>
      <c r="B116" s="537">
        <f>B38</f>
        <v>111</v>
      </c>
      <c r="C116" s="553"/>
      <c r="D116" s="553"/>
      <c r="E116" s="553"/>
      <c r="F116" s="553"/>
      <c r="G116" s="553"/>
      <c r="H116" s="582"/>
      <c r="I116" s="582"/>
      <c r="J116" s="582"/>
      <c r="K116" s="583"/>
      <c r="L116" s="584"/>
      <c r="M116" s="585"/>
      <c r="N116" s="1147"/>
      <c r="O116" s="1147"/>
      <c r="P116" s="45"/>
      <c r="Q116" s="503"/>
    </row>
    <row r="117" spans="1:17" ht="15.75" thickBot="1">
      <c r="A117" s="533"/>
      <c r="B117" s="542"/>
      <c r="C117" s="559"/>
      <c r="D117" s="535"/>
      <c r="E117" s="535"/>
      <c r="F117" s="535"/>
      <c r="G117" s="535"/>
      <c r="H117" s="535"/>
      <c r="I117" s="535"/>
      <c r="J117" s="535"/>
      <c r="K117" s="535"/>
      <c r="L117" s="535"/>
      <c r="M117" s="536"/>
      <c r="N117" s="1148"/>
      <c r="O117" s="1148"/>
      <c r="P117" s="45"/>
      <c r="Q117" s="503"/>
    </row>
    <row r="118" spans="1:17" ht="15" thickTop="1">
      <c r="A118" s="598"/>
      <c r="B118" s="537">
        <f>B39</f>
        <v>111</v>
      </c>
      <c r="C118" s="553"/>
      <c r="D118" s="553"/>
      <c r="E118" s="553"/>
      <c r="F118" s="553"/>
      <c r="G118" s="582"/>
      <c r="H118" s="582"/>
      <c r="I118" s="582"/>
      <c r="J118" s="582"/>
      <c r="K118" s="583"/>
      <c r="L118" s="584"/>
      <c r="M118" s="585"/>
      <c r="N118" s="1147"/>
      <c r="O118" s="1147"/>
      <c r="P118" s="45"/>
      <c r="Q118" s="503"/>
    </row>
    <row r="119" spans="1:17" ht="15.75" thickBot="1">
      <c r="A119" s="533"/>
      <c r="B119" s="542"/>
      <c r="C119" s="559"/>
      <c r="D119" s="559"/>
      <c r="E119" s="559"/>
      <c r="F119" s="559"/>
      <c r="G119" s="535"/>
      <c r="H119" s="535"/>
      <c r="I119" s="535"/>
      <c r="J119" s="535"/>
      <c r="K119" s="535"/>
      <c r="L119" s="535"/>
      <c r="M119" s="536"/>
      <c r="N119" s="1148"/>
      <c r="O119" s="1148"/>
      <c r="P119" s="45"/>
      <c r="Q119" s="503"/>
    </row>
    <row r="120" spans="1:17" s="470" customFormat="1" ht="15" thickTop="1">
      <c r="A120" s="592"/>
      <c r="B120" s="537">
        <f>B40</f>
        <v>111</v>
      </c>
      <c r="C120" s="522"/>
      <c r="D120" s="522"/>
      <c r="E120" s="522"/>
      <c r="F120" s="522"/>
      <c r="G120" s="554"/>
      <c r="H120" s="554"/>
      <c r="I120" s="554"/>
      <c r="J120" s="554"/>
      <c r="K120" s="554"/>
      <c r="L120" s="555"/>
      <c r="M120" s="556"/>
      <c r="N120" s="1149"/>
      <c r="O120" s="1149"/>
      <c r="P120" s="557"/>
      <c r="Q120" s="558"/>
    </row>
    <row r="121" spans="1:17" s="470" customFormat="1" ht="15.75" thickBot="1">
      <c r="A121" s="567"/>
      <c r="B121" s="698"/>
      <c r="C121" s="569"/>
      <c r="D121" s="569"/>
      <c r="E121" s="569"/>
      <c r="F121" s="569"/>
      <c r="G121" s="590"/>
      <c r="H121" s="590"/>
      <c r="I121" s="590"/>
      <c r="J121" s="590"/>
      <c r="K121" s="590"/>
      <c r="L121" s="590"/>
      <c r="M121" s="591"/>
      <c r="N121" s="1149"/>
      <c r="O121" s="1149"/>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7" priority="14" stopIfTrue="1" operator="containsText" text="超过">
      <formula>NOT(ISERROR(SEARCH("超过",F46)))</formula>
    </cfRule>
  </conditionalFormatting>
  <conditionalFormatting sqref="J48">
    <cfRule type="containsText" dxfId="146" priority="13" stopIfTrue="1" operator="containsText" text="超过">
      <formula>NOT(ISERROR(SEARCH("超过",J48)))</formula>
    </cfRule>
  </conditionalFormatting>
  <conditionalFormatting sqref="H48">
    <cfRule type="containsText" dxfId="145" priority="12" stopIfTrue="1" operator="containsText" text="超过">
      <formula>NOT(ISERROR(SEARCH("超过",H48)))</formula>
    </cfRule>
  </conditionalFormatting>
  <conditionalFormatting sqref="F48">
    <cfRule type="containsText" dxfId="144" priority="11" stopIfTrue="1" operator="containsText" text="超过">
      <formula>NOT(ISERROR(SEARCH("超过",F48)))</formula>
    </cfRule>
  </conditionalFormatting>
  <conditionalFormatting sqref="F47 H47 J47">
    <cfRule type="containsText" dxfId="143" priority="10" stopIfTrue="1" operator="containsText" text="超过">
      <formula>NOT(ISERROR(SEARCH("超过",F47)))</formula>
    </cfRule>
  </conditionalFormatting>
  <conditionalFormatting sqref="E46">
    <cfRule type="expression" dxfId="142" priority="9" stopIfTrue="1">
      <formula>$F$46="超过30%"</formula>
    </cfRule>
  </conditionalFormatting>
  <conditionalFormatting sqref="G48">
    <cfRule type="expression" dxfId="141" priority="8" stopIfTrue="1">
      <formula>$H$48="超过30%"</formula>
    </cfRule>
  </conditionalFormatting>
  <conditionalFormatting sqref="E48">
    <cfRule type="expression" dxfId="140" priority="6" stopIfTrue="1">
      <formula>$F$48="超过30%"</formula>
    </cfRule>
  </conditionalFormatting>
  <conditionalFormatting sqref="G46">
    <cfRule type="expression" dxfId="139" priority="5" stopIfTrue="1">
      <formula>$H$46="超过30%"</formula>
    </cfRule>
  </conditionalFormatting>
  <conditionalFormatting sqref="G47">
    <cfRule type="expression" dxfId="138" priority="4" stopIfTrue="1">
      <formula>$H$47="超过20%"</formula>
    </cfRule>
  </conditionalFormatting>
  <conditionalFormatting sqref="I46">
    <cfRule type="expression" dxfId="137" priority="3" stopIfTrue="1">
      <formula>$J$46="超过30%"</formula>
    </cfRule>
  </conditionalFormatting>
  <conditionalFormatting sqref="I47">
    <cfRule type="expression" dxfId="136" priority="2" stopIfTrue="1">
      <formula>$J$47="超过20%"</formula>
    </cfRule>
  </conditionalFormatting>
  <conditionalFormatting sqref="I48">
    <cfRule type="expression" dxfId="135" priority="1" stopIfTrue="1">
      <formula>$J$48="超过30%"</formula>
    </cfRule>
  </conditionalFormatting>
  <conditionalFormatting sqref="E47">
    <cfRule type="expression" dxfId="1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12" t="str">
        <f>项目基本情况!B1</f>
        <v>河北省廊坊开发区全兴路50号3幢、4幢工业用房房地产抵押价值预评估</v>
      </c>
      <c r="C37" s="3012"/>
      <c r="D37" s="3012"/>
      <c r="E37" s="3012"/>
      <c r="F37" s="3012"/>
      <c r="G37" s="3012"/>
      <c r="H37" s="3012"/>
      <c r="I37" s="3012"/>
    </row>
    <row r="38" spans="1:9">
      <c r="A38" s="1012"/>
      <c r="B38" s="1012"/>
    </row>
    <row r="39" spans="1:9">
      <c r="A39" s="1010" t="s">
        <v>818</v>
      </c>
      <c r="B39" s="1010" t="s">
        <v>820</v>
      </c>
    </row>
    <row r="40" spans="1:9">
      <c r="A40" s="1010"/>
      <c r="B40" s="1935" t="str">
        <f>项目基本情况!B5</f>
        <v>廊坊开发区梨花包装有限公司</v>
      </c>
    </row>
    <row r="41" spans="1:9">
      <c r="A41" s="1010"/>
      <c r="B41" s="1010"/>
    </row>
    <row r="42" spans="1:9">
      <c r="A42" s="1010" t="s">
        <v>818</v>
      </c>
      <c r="B42" s="1010" t="s">
        <v>821</v>
      </c>
    </row>
    <row r="43" spans="1:9">
      <c r="A43" s="1010"/>
      <c r="B43" s="1935" t="s">
        <v>822</v>
      </c>
    </row>
    <row r="44" spans="1:9">
      <c r="A44" s="1010"/>
      <c r="B44" s="1010"/>
    </row>
    <row r="45" spans="1:9">
      <c r="A45" s="1010" t="s">
        <v>818</v>
      </c>
      <c r="B45" s="1010" t="s">
        <v>823</v>
      </c>
    </row>
    <row r="46" spans="1:9" s="1010" customFormat="1" ht="12.75">
      <c r="B46" s="1935" t="str">
        <f ca="1">项目基本情况!K4</f>
        <v>欧红伟（注册号：1120000080)、崔锴（注册号：1120100036)</v>
      </c>
    </row>
    <row r="47" spans="1:9">
      <c r="A47" s="1010"/>
      <c r="B47" s="1010" t="str">
        <f>项目基本情况!K5</f>
        <v/>
      </c>
    </row>
    <row r="48" spans="1:9">
      <c r="A48" s="1010" t="s">
        <v>818</v>
      </c>
      <c r="B48" s="1010"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2306</v>
      </c>
      <c r="B1" s="1930"/>
      <c r="C1" s="241"/>
      <c r="D1" s="241"/>
      <c r="E1" s="241"/>
      <c r="F1" s="241"/>
      <c r="G1" s="1374">
        <f>MATCH(B1,'数据-取费表'!A6:A16,0)+5</f>
        <v>8</v>
      </c>
    </row>
    <row r="2" spans="1:9" s="243" customFormat="1" ht="18" customHeight="1">
      <c r="A2" s="244" t="s">
        <v>2307</v>
      </c>
      <c r="B2" s="245">
        <f ca="1">IF(D2="——",C52,C52-E2)</f>
        <v>3725</v>
      </c>
      <c r="C2" s="242" t="s">
        <v>2308</v>
      </c>
      <c r="D2" s="2531" t="s">
        <v>70</v>
      </c>
      <c r="E2" s="1435" t="e">
        <f ca="1">SUMIF(INDIRECT("'"&amp;G2&amp;"'"&amp;"!A:A"),"承租人权益价值",INDIRECT("'"&amp;G2&amp;"'"&amp;"!c:c"))</f>
        <v>#REF!</v>
      </c>
      <c r="F2" s="2532" t="s">
        <v>2308</v>
      </c>
      <c r="G2" s="2533"/>
    </row>
    <row r="3" spans="1:9" s="243" customFormat="1" ht="18" customHeight="1" thickBot="1">
      <c r="A3" s="246" t="s">
        <v>2309</v>
      </c>
      <c r="B3" s="247">
        <f ca="1">ROUND(B2*10000/(IF(B1="",'数据-汇总表'!E3,INDIRECT("'数据-取费表'!k"&amp;$G$1))),0)</f>
        <v>4446</v>
      </c>
      <c r="C3" s="242" t="s">
        <v>2310</v>
      </c>
      <c r="D3" s="242"/>
      <c r="E3" s="242"/>
      <c r="F3" s="242"/>
      <c r="G3" s="242"/>
    </row>
    <row r="4" spans="1:9" s="251" customFormat="1" ht="15.75">
      <c r="A4" s="248" t="s">
        <v>2311</v>
      </c>
      <c r="B4" s="249"/>
      <c r="C4" s="249"/>
      <c r="D4" s="249"/>
      <c r="E4" s="249"/>
      <c r="F4" s="249"/>
      <c r="G4" s="250"/>
    </row>
    <row r="5" spans="1:9" s="257" customFormat="1" ht="13.5" customHeight="1">
      <c r="A5" s="298" t="s">
        <v>2312</v>
      </c>
      <c r="B5" s="253" t="s">
        <v>2313</v>
      </c>
      <c r="C5" s="254">
        <f>C6+C7+C8</f>
        <v>1889</v>
      </c>
      <c r="D5" s="254" t="s">
        <v>2314</v>
      </c>
      <c r="E5" s="255" t="s">
        <v>2315</v>
      </c>
      <c r="F5" s="255" t="s">
        <v>2316</v>
      </c>
      <c r="G5" s="256"/>
    </row>
    <row r="6" spans="1:9" s="257" customFormat="1" ht="13.5" customHeight="1">
      <c r="A6" s="945" t="s">
        <v>2317</v>
      </c>
      <c r="B6" s="258" t="s">
        <v>2318</v>
      </c>
      <c r="C6" s="259">
        <f>'土地比较法-工业'!B2</f>
        <v>1670</v>
      </c>
      <c r="D6" s="260"/>
      <c r="E6" s="261"/>
      <c r="F6" s="261"/>
      <c r="G6" s="262"/>
    </row>
    <row r="7" spans="1:9" s="257" customFormat="1" ht="13.5" customHeight="1">
      <c r="A7" s="945" t="s">
        <v>2319</v>
      </c>
      <c r="B7" s="258" t="s">
        <v>2320</v>
      </c>
      <c r="C7" s="263">
        <f>ROUND(C6*F7,0)</f>
        <v>51</v>
      </c>
      <c r="D7" s="263"/>
      <c r="E7" s="261"/>
      <c r="F7" s="264">
        <f>'数据-取费表'!B48+'数据-取费表'!B49</f>
        <v>3.0499999999999999E-2</v>
      </c>
      <c r="G7" s="262"/>
    </row>
    <row r="8" spans="1:9" s="266" customFormat="1">
      <c r="A8" s="945" t="s">
        <v>2321</v>
      </c>
      <c r="B8" s="258" t="s">
        <v>2322</v>
      </c>
      <c r="C8" s="263">
        <f>IF(G8="已包含在土地购买价格中","0",IF(B1="",'数据-取费表'!B29,IF(G9="全部缴纳",C9+C10,H9)))</f>
        <v>168</v>
      </c>
      <c r="D8" s="265"/>
      <c r="E8" s="263"/>
      <c r="F8" s="264"/>
      <c r="G8" s="2534" t="s">
        <v>3055</v>
      </c>
    </row>
    <row r="9" spans="1:9" s="257" customFormat="1" ht="13.5" customHeight="1">
      <c r="A9" s="946" t="s">
        <v>800</v>
      </c>
      <c r="B9" s="267" t="s">
        <v>2323</v>
      </c>
      <c r="C9" s="268">
        <f ca="1">ROUND(D9*E9/10000,0)</f>
        <v>0</v>
      </c>
      <c r="D9" s="1028">
        <f ca="1">IF(B1="",'数据-汇总表'!E5,IF(INDIRECT("'数据-取费表'!c"&amp;$G$1)="住宅",INDIRECT("'数据-取费表'!k"&amp;$G$1),0))</f>
        <v>0</v>
      </c>
      <c r="E9" s="268">
        <f>'数据-取费表'!B27</f>
        <v>0</v>
      </c>
      <c r="F9" s="264"/>
      <c r="G9" s="2535" t="s">
        <v>3056</v>
      </c>
      <c r="H9" s="1385"/>
      <c r="I9" s="2536" t="s">
        <v>2324</v>
      </c>
    </row>
    <row r="10" spans="1:9" s="257" customFormat="1" ht="13.5" customHeight="1">
      <c r="A10" s="946" t="s">
        <v>801</v>
      </c>
      <c r="B10" s="267" t="s">
        <v>2325</v>
      </c>
      <c r="C10" s="268">
        <f ca="1">ROUND(D10*E10/10000,0)</f>
        <v>168</v>
      </c>
      <c r="D10" s="1028">
        <f ca="1">IF(B1="",'数据-汇总表'!E6,IF(INDIRECT("'数据-取费表'!c"&amp;$G$1)="住宅",INDIRECT("'数据-取费表'!s"&amp;$G$1),INDIRECT("'数据-取费表'!k"&amp;$G$1)+INDIRECT("'数据-取费表'!s"&amp;$G$1)))</f>
        <v>8377.9700000000012</v>
      </c>
      <c r="E10" s="268">
        <f>'数据-取费表'!B28</f>
        <v>200</v>
      </c>
      <c r="F10" s="264"/>
      <c r="G10" s="269"/>
    </row>
    <row r="11" spans="1:9" s="257" customFormat="1" ht="13.5" hidden="1" customHeight="1">
      <c r="A11" s="270" t="s">
        <v>7</v>
      </c>
      <c r="B11" s="258" t="s">
        <v>2326</v>
      </c>
      <c r="C11" s="254"/>
      <c r="D11" s="1030"/>
      <c r="E11" s="261"/>
      <c r="F11" s="261"/>
      <c r="G11" s="262"/>
    </row>
    <row r="12" spans="1:9" s="257" customFormat="1" ht="13.5" hidden="1" customHeight="1">
      <c r="A12" s="270" t="s">
        <v>8</v>
      </c>
      <c r="B12" s="258" t="s">
        <v>2327</v>
      </c>
      <c r="C12" s="254">
        <v>0</v>
      </c>
      <c r="D12" s="1030"/>
      <c r="E12" s="271"/>
      <c r="F12" s="264">
        <v>3.0499999999999999E-2</v>
      </c>
      <c r="G12" s="262"/>
    </row>
    <row r="13" spans="1:9" s="257" customFormat="1" ht="13.5" hidden="1" customHeight="1">
      <c r="A13" s="270" t="s">
        <v>9</v>
      </c>
      <c r="B13" s="258" t="s">
        <v>2328</v>
      </c>
      <c r="C13" s="254"/>
      <c r="D13" s="1030"/>
      <c r="E13" s="261"/>
      <c r="F13" s="261"/>
      <c r="G13" s="262"/>
    </row>
    <row r="14" spans="1:9" s="257" customFormat="1" ht="13.5" hidden="1" customHeight="1">
      <c r="A14" s="270" t="s">
        <v>10</v>
      </c>
      <c r="B14" s="258" t="s">
        <v>2329</v>
      </c>
      <c r="C14" s="254"/>
      <c r="D14" s="1030"/>
      <c r="E14" s="261"/>
      <c r="F14" s="261"/>
      <c r="G14" s="262" t="s">
        <v>2330</v>
      </c>
    </row>
    <row r="15" spans="1:9" s="257" customFormat="1" ht="13.5" hidden="1" customHeight="1">
      <c r="A15" s="270" t="s">
        <v>11</v>
      </c>
      <c r="B15" s="258" t="s">
        <v>2331</v>
      </c>
      <c r="C15" s="263"/>
      <c r="D15" s="1030"/>
      <c r="E15" s="261"/>
      <c r="F15" s="261"/>
      <c r="G15" s="262" t="s">
        <v>2332</v>
      </c>
    </row>
    <row r="16" spans="1:9" s="257" customFormat="1" ht="13.5" hidden="1" customHeight="1">
      <c r="A16" s="270" t="s">
        <v>12</v>
      </c>
      <c r="B16" s="258" t="s">
        <v>2329</v>
      </c>
      <c r="C16" s="263"/>
      <c r="D16" s="1030"/>
      <c r="E16" s="261"/>
      <c r="F16" s="261"/>
      <c r="G16" s="262"/>
    </row>
    <row r="17" spans="1:7" s="257" customFormat="1" ht="13.5" hidden="1" customHeight="1">
      <c r="A17" s="270" t="s">
        <v>13</v>
      </c>
      <c r="B17" s="258" t="s">
        <v>2333</v>
      </c>
      <c r="C17" s="272"/>
      <c r="D17" s="1031"/>
      <c r="E17" s="272"/>
      <c r="F17" s="272"/>
      <c r="G17" s="262" t="s">
        <v>2332</v>
      </c>
    </row>
    <row r="18" spans="1:7" s="257" customFormat="1" ht="13.5" hidden="1" customHeight="1">
      <c r="A18" s="270" t="s">
        <v>14</v>
      </c>
      <c r="B18" s="258" t="s">
        <v>2334</v>
      </c>
      <c r="C18" s="263">
        <v>0</v>
      </c>
      <c r="D18" s="1030"/>
      <c r="E18" s="261"/>
      <c r="F18" s="264">
        <v>3.0499999999999999E-2</v>
      </c>
      <c r="G18" s="262" t="s">
        <v>2335</v>
      </c>
    </row>
    <row r="19" spans="1:7" s="266" customFormat="1" ht="13.5" customHeight="1">
      <c r="A19" s="298" t="s">
        <v>2336</v>
      </c>
      <c r="B19" s="253" t="s">
        <v>2337</v>
      </c>
      <c r="C19" s="254" t="str">
        <f>IF(G19="已包含在土地取得成本中","0",ROUND(D19*E19/10000,0))</f>
        <v>0</v>
      </c>
      <c r="D19" s="1032">
        <f ca="1">D9+D10</f>
        <v>8377.9700000000012</v>
      </c>
      <c r="E19" s="254">
        <f>'数据-取费表'!B31</f>
        <v>200</v>
      </c>
      <c r="F19" s="274"/>
      <c r="G19" s="2534" t="s">
        <v>3054</v>
      </c>
    </row>
    <row r="20" spans="1:7" s="257" customFormat="1" ht="13.5" customHeight="1">
      <c r="A20" s="298" t="s">
        <v>2338</v>
      </c>
      <c r="B20" s="253" t="s">
        <v>2339</v>
      </c>
      <c r="C20" s="275">
        <f>ROUND((C5+C19)*F20,0)</f>
        <v>38</v>
      </c>
      <c r="D20" s="275"/>
      <c r="E20" s="275"/>
      <c r="F20" s="276">
        <f>'数据-取费表'!B37</f>
        <v>0.02</v>
      </c>
      <c r="G20" s="277" t="s">
        <v>2340</v>
      </c>
    </row>
    <row r="21" spans="1:7" s="257" customFormat="1" ht="13.5" customHeight="1">
      <c r="A21" s="298" t="s">
        <v>2341</v>
      </c>
      <c r="B21" s="253" t="s">
        <v>2342</v>
      </c>
      <c r="C21" s="278">
        <f>F21</f>
        <v>0.01</v>
      </c>
      <c r="D21" s="279" t="s">
        <v>2343</v>
      </c>
      <c r="E21" s="275"/>
      <c r="F21" s="276">
        <f>'数据-取费表'!B38</f>
        <v>0.01</v>
      </c>
      <c r="G21" s="277" t="s">
        <v>2344</v>
      </c>
    </row>
    <row r="22" spans="1:7" s="257" customFormat="1" ht="13.5" customHeight="1">
      <c r="A22" s="298" t="s">
        <v>2345</v>
      </c>
      <c r="B22" s="253" t="s">
        <v>2346</v>
      </c>
      <c r="C22" s="1349">
        <f ca="1">ROUND(SUM(C23:C25),0)</f>
        <v>83</v>
      </c>
      <c r="D22" s="278">
        <f ca="1">C26</f>
        <v>2.0000000000000001E-4</v>
      </c>
      <c r="E22" s="279" t="s">
        <v>2343</v>
      </c>
      <c r="F22" s="280">
        <f ca="1">'数据-取费表'!B40</f>
        <v>4.3499999999999997E-2</v>
      </c>
      <c r="G22" s="277" t="str">
        <f>IF('数据-取费表'!B22&lt;=1,"单利计息","复利计息")</f>
        <v>单利计息</v>
      </c>
    </row>
    <row r="23" spans="1:7" s="257" customFormat="1" ht="13.5" customHeight="1">
      <c r="A23" s="947" t="s">
        <v>2347</v>
      </c>
      <c r="B23" s="258" t="s">
        <v>2348</v>
      </c>
      <c r="C23" s="1350">
        <f ca="1">ROUND(IF('数据-取费表'!B22&lt;=1,C5*F22*'数据-取费表'!B23,C5*(POWER((1+F22),'数据-取费表'!B23)-1)),0)</f>
        <v>82</v>
      </c>
      <c r="D23" s="281"/>
      <c r="E23" s="281"/>
      <c r="F23" s="282"/>
      <c r="G23" s="283" t="s">
        <v>2349</v>
      </c>
    </row>
    <row r="24" spans="1:7" s="257" customFormat="1" ht="13.5" customHeight="1">
      <c r="A24" s="947" t="s">
        <v>2350</v>
      </c>
      <c r="B24" s="258" t="s">
        <v>2351</v>
      </c>
      <c r="C24" s="1350">
        <f ca="1">ROUND(IF('数据-取费表'!B22&lt;=1,C19*F22*('数据-取费表'!B19/2+'数据-取费表'!B21),C19*(POWER((1+F22),('数据-取费表'!B19/2+'数据-取费表'!B21))-1)),0)</f>
        <v>0</v>
      </c>
      <c r="D24" s="281"/>
      <c r="E24" s="281"/>
      <c r="F24" s="282"/>
      <c r="G24" s="283" t="s">
        <v>2352</v>
      </c>
    </row>
    <row r="25" spans="1:7" s="257" customFormat="1" ht="24">
      <c r="A25" s="947" t="s">
        <v>2353</v>
      </c>
      <c r="B25" s="258" t="s">
        <v>2354</v>
      </c>
      <c r="C25" s="1350">
        <f ca="1">ROUND(IF('数据-取费表'!B22&lt;=1,C20*F22*'数据-取费表'!B23/2,C20*(POWER((1+F22),'数据-取费表'!B23/2)-1)),0)</f>
        <v>1</v>
      </c>
      <c r="D25" s="281"/>
      <c r="E25" s="284"/>
      <c r="F25" s="282"/>
      <c r="G25" s="285" t="s">
        <v>2355</v>
      </c>
    </row>
    <row r="26" spans="1:7" s="257" customFormat="1">
      <c r="A26" s="947" t="s">
        <v>795</v>
      </c>
      <c r="B26" s="258" t="s">
        <v>2356</v>
      </c>
      <c r="C26" s="281">
        <f ca="1">ROUND(IF('数据-取费表'!B22&lt;=1,F21*F22*'数据-取费表'!B23/2,F21*(POWER((1+F22),'数据-取费表'!B23/2)-1)),4)</f>
        <v>2.0000000000000001E-4</v>
      </c>
      <c r="D26" s="281"/>
      <c r="E26" s="284"/>
      <c r="F26" s="282"/>
      <c r="G26" s="286"/>
    </row>
    <row r="27" spans="1:7" s="257" customFormat="1" ht="24.75">
      <c r="A27" s="298" t="s">
        <v>2357</v>
      </c>
      <c r="B27" s="287" t="s">
        <v>2358</v>
      </c>
      <c r="C27" s="288">
        <f ca="1">C28</f>
        <v>173</v>
      </c>
      <c r="D27" s="278">
        <f ca="1">C29</f>
        <v>8.9999999999999998E-4</v>
      </c>
      <c r="E27" s="279" t="s">
        <v>2359</v>
      </c>
      <c r="F27" s="289">
        <f ca="1">IF(B1="",'数据-取费表'!Q16,INDIRECT("'数据-取费表'!q"&amp;$G$1))</f>
        <v>0.09</v>
      </c>
      <c r="G27" s="290" t="s">
        <v>2360</v>
      </c>
    </row>
    <row r="28" spans="1:7" s="257" customFormat="1" ht="13.5" customHeight="1">
      <c r="A28" s="947" t="s">
        <v>791</v>
      </c>
      <c r="B28" s="291" t="s">
        <v>2361</v>
      </c>
      <c r="C28" s="292">
        <f ca="1">ROUND((C5+C19+C20)*F27*'数据-取费表'!B21/'数据-取费表'!B20,0)</f>
        <v>173</v>
      </c>
      <c r="D28" s="278"/>
      <c r="E28" s="279"/>
      <c r="F28" s="289"/>
      <c r="G28" s="290"/>
    </row>
    <row r="29" spans="1:7" s="257" customFormat="1" ht="13.5" customHeight="1">
      <c r="A29" s="947" t="s">
        <v>792</v>
      </c>
      <c r="B29" s="291" t="s">
        <v>2362</v>
      </c>
      <c r="C29" s="281">
        <f ca="1">ROUND(C21*F27*'数据-取费表'!B21/'数据-取费表'!B20,4)</f>
        <v>8.9999999999999998E-4</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2333</v>
      </c>
      <c r="D31" s="273"/>
      <c r="E31" s="254"/>
      <c r="F31" s="293"/>
      <c r="G31" s="277" t="s">
        <v>2367</v>
      </c>
    </row>
    <row r="32" spans="1:7" s="251" customFormat="1" ht="15.75">
      <c r="A32" s="295" t="s">
        <v>2368</v>
      </c>
      <c r="B32" s="296"/>
      <c r="C32" s="296"/>
      <c r="D32" s="296"/>
      <c r="E32" s="296"/>
      <c r="F32" s="296"/>
      <c r="G32" s="297"/>
    </row>
    <row r="33" spans="1:7" s="257" customFormat="1" ht="13.5" customHeight="1">
      <c r="A33" s="298" t="s">
        <v>782</v>
      </c>
      <c r="B33" s="253" t="s">
        <v>2369</v>
      </c>
      <c r="C33" s="299">
        <f ca="1">SUM(C34:C38)</f>
        <v>1472</v>
      </c>
      <c r="D33" s="275"/>
      <c r="E33" s="255"/>
      <c r="F33" s="284"/>
      <c r="G33" s="277"/>
    </row>
    <row r="34" spans="1:7" s="301" customFormat="1" ht="13.5" customHeight="1">
      <c r="A34" s="947" t="s">
        <v>791</v>
      </c>
      <c r="B34" s="258" t="s">
        <v>2370</v>
      </c>
      <c r="C34" s="263">
        <f ca="1">IF(B1="",IF(F34=100%,'数据-取费表'!M16,'数据-取费表'!O16),IF(F34=100%,INDIRECT("'数据-取费表'!m"&amp;$G$1)+INDIRECT("'数据-取费表'!t"&amp;$G$1),INDIRECT("'数据-取费表'!o"&amp;$G$1)+INDIRECT("'数据-取费表'!aq"&amp;$G$1)))</f>
        <v>1248</v>
      </c>
      <c r="D34" s="260"/>
      <c r="E34" s="263"/>
      <c r="F34" s="300">
        <f ca="1">IF('数据-取费表'!B24=0,1,IF(B1="",'数据-取费表'!N16,INDIRECT("'数据-取费表'!n"&amp;$G$1)))</f>
        <v>1</v>
      </c>
      <c r="G34" s="262" t="s">
        <v>2371</v>
      </c>
    </row>
    <row r="35" spans="1:7" ht="13.5" customHeight="1">
      <c r="A35" s="947" t="s">
        <v>796</v>
      </c>
      <c r="B35" s="258" t="s">
        <v>2372</v>
      </c>
      <c r="C35" s="263">
        <f ca="1">ROUND(C34*F35,0)</f>
        <v>37</v>
      </c>
      <c r="D35" s="263"/>
      <c r="E35" s="263"/>
      <c r="F35" s="302">
        <f>'数据-取费表'!B33</f>
        <v>0.03</v>
      </c>
      <c r="G35" s="262" t="s">
        <v>2373</v>
      </c>
    </row>
    <row r="36" spans="1:7" ht="24">
      <c r="A36" s="947" t="s">
        <v>797</v>
      </c>
      <c r="B36" s="258" t="s">
        <v>2374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2375</v>
      </c>
    </row>
    <row r="37" spans="1:7" s="301" customFormat="1" ht="13.5" customHeight="1">
      <c r="A37" s="947" t="s">
        <v>798</v>
      </c>
      <c r="B37" s="258" t="s">
        <v>2376</v>
      </c>
      <c r="C37" s="292">
        <f ca="1">ROUND(E37*D37*F34/10000,0)</f>
        <v>168</v>
      </c>
      <c r="D37" s="260">
        <f ca="1">D19</f>
        <v>8377.9700000000012</v>
      </c>
      <c r="E37" s="292">
        <f>'数据-取费表'!B35</f>
        <v>200</v>
      </c>
      <c r="F37" s="302"/>
      <c r="G37" s="304" t="s">
        <v>2377</v>
      </c>
    </row>
    <row r="38" spans="1:7" ht="13.5" customHeight="1">
      <c r="A38" s="947" t="s">
        <v>799</v>
      </c>
      <c r="B38" s="258" t="s">
        <v>2378</v>
      </c>
      <c r="C38" s="263">
        <f ca="1">ROUND(C34*F38,0)</f>
        <v>19</v>
      </c>
      <c r="D38" s="263"/>
      <c r="E38" s="263"/>
      <c r="F38" s="302">
        <f>'数据-取费表'!B36</f>
        <v>1.4999999999999999E-2</v>
      </c>
      <c r="G38" s="262" t="s">
        <v>2373</v>
      </c>
    </row>
    <row r="39" spans="1:7" s="257" customFormat="1" ht="13.5" customHeight="1">
      <c r="A39" s="298" t="s">
        <v>2379</v>
      </c>
      <c r="B39" s="253" t="s">
        <v>2380</v>
      </c>
      <c r="C39" s="275">
        <f ca="1">ROUND(C33*F20,0)</f>
        <v>29</v>
      </c>
      <c r="D39" s="275"/>
      <c r="E39" s="275"/>
      <c r="F39" s="276"/>
      <c r="G39" s="277" t="s">
        <v>2381</v>
      </c>
    </row>
    <row r="40" spans="1:7" s="257" customFormat="1" ht="13.5" customHeight="1">
      <c r="A40" s="298" t="s">
        <v>2382</v>
      </c>
      <c r="B40" s="253" t="s">
        <v>2383</v>
      </c>
      <c r="C40" s="1721">
        <f>F21</f>
        <v>0.01</v>
      </c>
      <c r="D40" s="279" t="s">
        <v>2384</v>
      </c>
      <c r="E40" s="275"/>
      <c r="F40" s="276"/>
      <c r="G40" s="277" t="s">
        <v>2385</v>
      </c>
    </row>
    <row r="41" spans="1:7" s="257" customFormat="1" ht="13.5" customHeight="1">
      <c r="A41" s="298" t="s">
        <v>2386</v>
      </c>
      <c r="B41" s="253" t="s">
        <v>2387</v>
      </c>
      <c r="C41" s="275">
        <f ca="1">ROUND(SUM(C42:C43),0)</f>
        <v>33</v>
      </c>
      <c r="D41" s="278">
        <f ca="1">C44</f>
        <v>2.0000000000000001E-4</v>
      </c>
      <c r="E41" s="279" t="s">
        <v>2384</v>
      </c>
      <c r="F41" s="280"/>
      <c r="G41" s="277" t="str">
        <f>IF('数据-取费表'!B22&lt;=1,"单利计息","复利计息")</f>
        <v>单利计息</v>
      </c>
    </row>
    <row r="42" spans="1:7" ht="13.5" customHeight="1">
      <c r="A42" s="947" t="s">
        <v>791</v>
      </c>
      <c r="B42" s="258" t="s">
        <v>2388</v>
      </c>
      <c r="C42" s="281">
        <f ca="1">ROUND(IF('数据-取费表'!B22&lt;=1,C33*F22*'数据-取费表'!B21/2,C33*(POWER((1+F22),'数据-取费表'!B21/2)-1)),0)</f>
        <v>32</v>
      </c>
      <c r="D42" s="281"/>
      <c r="E42" s="281"/>
      <c r="F42" s="282"/>
      <c r="G42" s="3241" t="s">
        <v>2389</v>
      </c>
    </row>
    <row r="43" spans="1:7" ht="13.5" customHeight="1">
      <c r="A43" s="947" t="s">
        <v>792</v>
      </c>
      <c r="B43" s="258" t="s">
        <v>2390</v>
      </c>
      <c r="C43" s="281">
        <f ca="1">ROUND(IF('数据-取费表'!B22&lt;=1,C39*F22*'数据-取费表'!B21/2,C39*(POWER((1+F22),'数据-取费表'!B21/2)-1)),0)</f>
        <v>1</v>
      </c>
      <c r="D43" s="281"/>
      <c r="E43" s="281"/>
      <c r="F43" s="282"/>
      <c r="G43" s="3242"/>
    </row>
    <row r="44" spans="1:7" ht="13.5" customHeight="1">
      <c r="A44" s="947" t="s">
        <v>793</v>
      </c>
      <c r="B44" s="258" t="s">
        <v>2391</v>
      </c>
      <c r="C44" s="281">
        <f ca="1">ROUND(IF('数据-取费表'!B22&lt;=1,C40*F22*'数据-取费表'!B21/2,C40*(POWER((1+F22),'数据-取费表'!B21/2)-1)),4)</f>
        <v>2.0000000000000001E-4</v>
      </c>
      <c r="D44" s="281"/>
      <c r="E44" s="281"/>
      <c r="F44" s="282"/>
      <c r="G44" s="3243"/>
    </row>
    <row r="45" spans="1:7" s="257" customFormat="1" ht="13.5" customHeight="1">
      <c r="A45" s="298" t="s">
        <v>2392</v>
      </c>
      <c r="B45" s="287" t="s">
        <v>2358</v>
      </c>
      <c r="C45" s="288">
        <f ca="1">C46</f>
        <v>135</v>
      </c>
      <c r="D45" s="278">
        <f ca="1">C47</f>
        <v>8.9999999999999998E-4</v>
      </c>
      <c r="E45" s="279" t="s">
        <v>2384</v>
      </c>
      <c r="F45" s="289"/>
      <c r="G45" s="290" t="s">
        <v>2393</v>
      </c>
    </row>
    <row r="46" spans="1:7" s="257" customFormat="1" ht="13.5" customHeight="1">
      <c r="A46" s="947" t="s">
        <v>791</v>
      </c>
      <c r="B46" s="291" t="s">
        <v>2394</v>
      </c>
      <c r="C46" s="292">
        <f ca="1">ROUND((C33+C39)*F27,0)</f>
        <v>135</v>
      </c>
      <c r="D46" s="306"/>
      <c r="E46" s="279"/>
      <c r="F46" s="289"/>
      <c r="G46" s="290"/>
    </row>
    <row r="47" spans="1:7" s="257" customFormat="1" ht="13.5" customHeight="1">
      <c r="A47" s="947" t="s">
        <v>792</v>
      </c>
      <c r="B47" s="291" t="s">
        <v>2395</v>
      </c>
      <c r="C47" s="281">
        <f ca="1">ROUND(C40*F27,4)</f>
        <v>8.9999999999999998E-4</v>
      </c>
      <c r="D47" s="306"/>
      <c r="E47" s="279"/>
      <c r="F47" s="289"/>
      <c r="G47" s="290"/>
    </row>
    <row r="48" spans="1:7" s="257" customFormat="1" ht="13.5" customHeight="1">
      <c r="A48" s="298" t="s">
        <v>2357</v>
      </c>
      <c r="B48" s="253" t="s">
        <v>2396</v>
      </c>
      <c r="C48" s="1721">
        <f>ROUND(F30/(1+'数据-取费表'!C42),4)</f>
        <v>5.33E-2</v>
      </c>
      <c r="D48" s="279" t="s">
        <v>2384</v>
      </c>
      <c r="E48" s="275"/>
      <c r="F48" s="280"/>
      <c r="G48" s="277" t="s">
        <v>2397</v>
      </c>
    </row>
    <row r="49" spans="1:7" ht="16.5" customHeight="1">
      <c r="A49" s="298" t="s">
        <v>2363</v>
      </c>
      <c r="B49" s="253" t="s">
        <v>2398</v>
      </c>
      <c r="C49" s="275">
        <f ca="1">ROUND((C33+C39+C41+C45)/(1-C40-D41-D45-C48),0)</f>
        <v>1784</v>
      </c>
      <c r="D49" s="275"/>
      <c r="E49" s="275"/>
      <c r="F49" s="307"/>
      <c r="G49" s="277" t="s">
        <v>2399</v>
      </c>
    </row>
    <row r="50" spans="1:7" s="301" customFormat="1" ht="24">
      <c r="A50" s="298" t="s">
        <v>2400</v>
      </c>
      <c r="B50" s="253" t="s">
        <v>2401</v>
      </c>
      <c r="C50" s="275"/>
      <c r="D50" s="275"/>
      <c r="E50" s="275"/>
      <c r="F50" s="307">
        <f>IF('数据-取费表'!B24=0,'数据-取费表'!N16,1)</f>
        <v>0.78</v>
      </c>
      <c r="G50" s="290" t="s">
        <v>2402</v>
      </c>
    </row>
    <row r="51" spans="1:7" ht="16.5" customHeight="1">
      <c r="A51" s="298" t="s">
        <v>2403</v>
      </c>
      <c r="B51" s="253" t="s">
        <v>2404</v>
      </c>
      <c r="C51" s="275">
        <f ca="1">ROUND(C49*F50,0)</f>
        <v>1392</v>
      </c>
      <c r="D51" s="275"/>
      <c r="E51" s="275"/>
      <c r="F51" s="307"/>
      <c r="G51" s="277" t="s">
        <v>2405</v>
      </c>
    </row>
    <row r="52" spans="1:7" s="251" customFormat="1" ht="16.5" thickBot="1">
      <c r="A52" s="308" t="s">
        <v>2406</v>
      </c>
      <c r="B52" s="309"/>
      <c r="C52" s="310">
        <f ca="1">C31+C51</f>
        <v>3725</v>
      </c>
      <c r="D52" s="309"/>
      <c r="E52" s="309"/>
      <c r="F52" s="309"/>
      <c r="G52" s="311"/>
    </row>
    <row r="55" spans="1:7" ht="15">
      <c r="B55" s="313" t="s">
        <v>2407</v>
      </c>
      <c r="C55" s="314"/>
    </row>
    <row r="56" spans="1:7">
      <c r="B56" s="316" t="s">
        <v>1513</v>
      </c>
      <c r="C56" s="318">
        <f ca="1">1-C57</f>
        <v>0.626</v>
      </c>
    </row>
    <row r="57" spans="1:7">
      <c r="B57" s="316" t="s">
        <v>1514</v>
      </c>
      <c r="C57" s="317">
        <f ca="1">ROUND(C51/C52,3)</f>
        <v>0.374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F66" sqref="F6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2724</v>
      </c>
      <c r="B1" s="394"/>
      <c r="C1" s="395" t="s">
        <v>2725</v>
      </c>
      <c r="D1" s="753"/>
      <c r="E1" s="753"/>
      <c r="F1" s="752" t="s">
        <v>2623</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2307</v>
      </c>
      <c r="B2" s="669">
        <f>F66</f>
        <v>1686</v>
      </c>
      <c r="C2" s="1119"/>
      <c r="D2" s="1119"/>
      <c r="E2" s="1120"/>
      <c r="F2" s="1121"/>
      <c r="G2" s="1120"/>
      <c r="H2" s="1120"/>
      <c r="I2" s="1120"/>
      <c r="J2" s="1120"/>
      <c r="K2" s="1122"/>
      <c r="L2" s="1123"/>
      <c r="M2" s="1124"/>
      <c r="N2" s="1124"/>
      <c r="O2" s="1124"/>
      <c r="P2" s="766"/>
      <c r="Q2" s="766"/>
      <c r="R2" s="766"/>
      <c r="S2" s="766"/>
      <c r="T2" s="766"/>
      <c r="U2" s="766"/>
      <c r="V2" s="766"/>
      <c r="W2" s="766"/>
      <c r="X2" s="766"/>
      <c r="Y2" s="766"/>
      <c r="Z2" s="766"/>
      <c r="AA2" s="766"/>
      <c r="AB2" s="766"/>
      <c r="AC2" s="767"/>
      <c r="AD2" s="396"/>
    </row>
    <row r="3" spans="1:30" s="397" customFormat="1" ht="28.5" customHeight="1" thickBot="1">
      <c r="A3" s="246" t="s">
        <v>2309</v>
      </c>
      <c r="B3" s="608">
        <f>ROUND(IF(D3="",B2*10000/'数据-汇总表'!E3,B2*10000/D3),0)</f>
        <v>2012</v>
      </c>
      <c r="C3" s="246" t="s">
        <v>2726</v>
      </c>
      <c r="D3" s="1576"/>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30" ht="15">
      <c r="A4" s="400" t="s">
        <v>2625</v>
      </c>
      <c r="B4" s="401"/>
      <c r="C4" s="3198" t="s">
        <v>2626</v>
      </c>
      <c r="D4" s="3225"/>
      <c r="E4" s="3226" t="s">
        <v>2627</v>
      </c>
      <c r="F4" s="3227"/>
      <c r="G4" s="3198" t="s">
        <v>2628</v>
      </c>
      <c r="H4" s="3225"/>
      <c r="I4" s="3198" t="s">
        <v>2629</v>
      </c>
      <c r="J4" s="3225"/>
      <c r="K4" s="609" t="s">
        <v>2630</v>
      </c>
      <c r="L4" s="1125"/>
      <c r="M4" s="1126"/>
      <c r="N4" s="1126"/>
      <c r="O4" s="1126"/>
      <c r="P4" s="3228" t="s">
        <v>2631</v>
      </c>
      <c r="Q4" s="3229"/>
      <c r="R4" s="3205" t="s">
        <v>2627</v>
      </c>
      <c r="S4" s="3206"/>
      <c r="T4" s="3205" t="s">
        <v>2628</v>
      </c>
      <c r="U4" s="3206"/>
      <c r="V4" s="3218" t="s">
        <v>2629</v>
      </c>
      <c r="W4" s="3218"/>
      <c r="X4" s="1806"/>
      <c r="Y4" s="3205" t="s">
        <v>2631</v>
      </c>
      <c r="Z4" s="3206"/>
      <c r="AA4" s="3222" t="s">
        <v>2627</v>
      </c>
      <c r="AB4" s="3223" t="s">
        <v>2628</v>
      </c>
      <c r="AC4" s="3222" t="s">
        <v>2629</v>
      </c>
    </row>
    <row r="5" spans="1:30" ht="47.25" customHeight="1">
      <c r="A5" s="403"/>
      <c r="B5" s="404"/>
      <c r="C5" s="3209" t="s">
        <v>2522</v>
      </c>
      <c r="D5" s="3210"/>
      <c r="E5" s="3234" t="str">
        <f>'土地案例+位置图'!A2</f>
        <v>龙德道以南、春和路以东</v>
      </c>
      <c r="F5" s="3235"/>
      <c r="G5" s="3209" t="str">
        <f>'土地案例+位置图'!A3</f>
        <v>春和路以西、龙德道以南</v>
      </c>
      <c r="H5" s="3210"/>
      <c r="I5" s="3209" t="str">
        <f>'土地案例+位置图'!A4</f>
        <v>春和路以西、龙德道以南</v>
      </c>
      <c r="J5" s="3210"/>
      <c r="K5" s="609"/>
      <c r="L5" s="1125"/>
      <c r="M5" s="1126"/>
      <c r="N5" s="1126"/>
      <c r="O5" s="1126"/>
      <c r="P5" s="3230"/>
      <c r="Q5" s="3231"/>
      <c r="R5" s="3207"/>
      <c r="S5" s="3208"/>
      <c r="T5" s="3207"/>
      <c r="U5" s="3208"/>
      <c r="V5" s="3218"/>
      <c r="W5" s="3218"/>
      <c r="X5" s="1806"/>
      <c r="Y5" s="3207"/>
      <c r="Z5" s="3208"/>
      <c r="AA5" s="3223"/>
      <c r="AB5" s="3223"/>
      <c r="AC5" s="3223"/>
    </row>
    <row r="6" spans="1:30" ht="15.75" thickBot="1">
      <c r="A6" s="405"/>
      <c r="B6" s="406"/>
      <c r="C6" s="3244" t="s">
        <v>2526</v>
      </c>
      <c r="D6" s="3245"/>
      <c r="E6" s="3246" t="s">
        <v>2526</v>
      </c>
      <c r="F6" s="3247"/>
      <c r="G6" s="3244" t="s">
        <v>2526</v>
      </c>
      <c r="H6" s="3245"/>
      <c r="I6" s="3244" t="s">
        <v>2526</v>
      </c>
      <c r="J6" s="3245"/>
      <c r="K6" s="609" t="s">
        <v>2527</v>
      </c>
      <c r="L6" s="1125"/>
      <c r="M6" s="1126"/>
      <c r="N6" s="1126"/>
      <c r="O6" s="1126"/>
      <c r="P6" s="3232"/>
      <c r="Q6" s="3233"/>
      <c r="R6" s="3207"/>
      <c r="S6" s="3208"/>
      <c r="T6" s="3216"/>
      <c r="U6" s="3217"/>
      <c r="V6" s="3218"/>
      <c r="W6" s="3218"/>
      <c r="X6" s="1806"/>
      <c r="Y6" s="3216"/>
      <c r="Z6" s="3217"/>
      <c r="AA6" s="3224"/>
      <c r="AB6" s="3224"/>
      <c r="AC6" s="3224"/>
    </row>
    <row r="7" spans="1:30" s="117" customFormat="1" ht="15.75" thickBot="1">
      <c r="A7" s="407" t="s">
        <v>2528</v>
      </c>
      <c r="B7" s="408"/>
      <c r="C7" s="409">
        <f>'数据-取费表'!B2</f>
        <v>43216</v>
      </c>
      <c r="D7" s="410">
        <v>100</v>
      </c>
      <c r="E7" s="411" t="str">
        <f>'土地案例+位置图'!AA2</f>
        <v>2017-12-27</v>
      </c>
      <c r="F7" s="412">
        <f>SUMIF(70:70,YEAR(E7)&amp;"-"&amp;INT((MONTH(E7)+2)/3),71:71)</f>
        <v>98</v>
      </c>
      <c r="G7" s="2680" t="str">
        <f>'土地案例+位置图'!AA3</f>
        <v>2017-12-27</v>
      </c>
      <c r="H7" s="410">
        <f>SUMIF(70:70,YEAR(G7)&amp;"-"&amp;INT((MONTH(G7)+2)/3),71:71)</f>
        <v>98</v>
      </c>
      <c r="I7" s="2680" t="str">
        <f>'土地案例+位置图'!AA4</f>
        <v>2017-12-27</v>
      </c>
      <c r="J7" s="410">
        <f>SUMIF(70:70,YEAR(I7)&amp;"-"&amp;INT((MONTH(I7)+2)/3),71:71)</f>
        <v>98</v>
      </c>
      <c r="K7" s="610"/>
      <c r="L7" s="1127"/>
      <c r="M7" s="1128"/>
      <c r="N7" s="1128"/>
      <c r="O7" s="1128"/>
      <c r="P7" s="3203" t="s">
        <v>2529</v>
      </c>
      <c r="Q7" s="3213"/>
      <c r="R7" s="768" t="s">
        <v>17</v>
      </c>
      <c r="S7" s="769">
        <f t="shared" ref="S7:S15" si="0">F7</f>
        <v>98</v>
      </c>
      <c r="T7" s="768" t="s">
        <v>17</v>
      </c>
      <c r="U7" s="769">
        <f t="shared" ref="U7:U15" si="1">H7</f>
        <v>98</v>
      </c>
      <c r="V7" s="768" t="s">
        <v>17</v>
      </c>
      <c r="W7" s="769">
        <f t="shared" ref="W7:W15" si="2">J7</f>
        <v>98</v>
      </c>
      <c r="X7" s="770"/>
      <c r="Y7" s="3203" t="s">
        <v>2529</v>
      </c>
      <c r="Z7" s="3204"/>
      <c r="AA7" s="771">
        <f>D7/F7</f>
        <v>1.0204081632653061</v>
      </c>
      <c r="AB7" s="771">
        <f>D7/H7</f>
        <v>1.0204081632653061</v>
      </c>
      <c r="AC7" s="771">
        <f>D7/J7</f>
        <v>1.0204081632653061</v>
      </c>
    </row>
    <row r="8" spans="1:30" s="117" customFormat="1" ht="15.75" thickBot="1">
      <c r="A8" s="407" t="s">
        <v>2530</v>
      </c>
      <c r="B8" s="408"/>
      <c r="C8" s="413" t="s">
        <v>2531</v>
      </c>
      <c r="D8" s="410">
        <v>100</v>
      </c>
      <c r="E8" s="413" t="s">
        <v>2531</v>
      </c>
      <c r="F8" s="412">
        <f>SUMIF(73:73,E8,74:74)-SUMIF(73:73,C8,74:74)+100</f>
        <v>100</v>
      </c>
      <c r="G8" s="413" t="s">
        <v>2531</v>
      </c>
      <c r="H8" s="410">
        <f>SUMIF(73:73,G8,74:74)-SUMIF(73:73,C8,74:74)+100</f>
        <v>100</v>
      </c>
      <c r="I8" s="413" t="s">
        <v>2531</v>
      </c>
      <c r="J8" s="410">
        <f>SUMIF(73:73,I8,74:74)-SUMIF(73:73,C8,74:74)+100</f>
        <v>100</v>
      </c>
      <c r="K8" s="610"/>
      <c r="L8" s="1127"/>
      <c r="M8" s="1128"/>
      <c r="N8" s="1128"/>
      <c r="O8" s="1128"/>
      <c r="P8" s="3203" t="s">
        <v>2532</v>
      </c>
      <c r="Q8" s="3204"/>
      <c r="R8" s="768" t="s">
        <v>17</v>
      </c>
      <c r="S8" s="769">
        <f t="shared" si="0"/>
        <v>100</v>
      </c>
      <c r="T8" s="768" t="s">
        <v>17</v>
      </c>
      <c r="U8" s="769">
        <f t="shared" si="1"/>
        <v>100</v>
      </c>
      <c r="V8" s="768" t="s">
        <v>17</v>
      </c>
      <c r="W8" s="769">
        <f t="shared" si="2"/>
        <v>100</v>
      </c>
      <c r="X8" s="770"/>
      <c r="Y8" s="3203" t="s">
        <v>2532</v>
      </c>
      <c r="Z8" s="3204"/>
      <c r="AA8" s="771">
        <f t="shared" ref="AA8:AA45" si="3">D8/F8</f>
        <v>1</v>
      </c>
      <c r="AB8" s="771">
        <f t="shared" ref="AB8:AB45" si="4">D8/H8</f>
        <v>1</v>
      </c>
      <c r="AC8" s="771">
        <f t="shared" ref="AC8:AC45" si="5">D8/J8</f>
        <v>1</v>
      </c>
    </row>
    <row r="9" spans="1:30" s="117" customFormat="1">
      <c r="A9" s="414" t="s">
        <v>2533</v>
      </c>
      <c r="B9" s="71" t="s">
        <v>2534</v>
      </c>
      <c r="C9" s="2994" t="s">
        <v>3285</v>
      </c>
      <c r="D9" s="134">
        <v>100</v>
      </c>
      <c r="E9" s="2994" t="s">
        <v>3285</v>
      </c>
      <c r="F9" s="134">
        <f>SUMIF(75:75,E9,76:76)-SUMIF(75:75,C9,76:76)+100</f>
        <v>100</v>
      </c>
      <c r="G9" s="2994" t="s">
        <v>3285</v>
      </c>
      <c r="H9" s="134">
        <f>SUMIF(75:75,G9,76:76)-SUMIF(75:75,C9,76:76)+100</f>
        <v>100</v>
      </c>
      <c r="I9" s="2994" t="s">
        <v>3285</v>
      </c>
      <c r="J9" s="134">
        <f>SUMIF(75:75,I9,76:76)-SUMIF(75:75,C9,76:76)+100</f>
        <v>100</v>
      </c>
      <c r="K9" s="610"/>
      <c r="L9" s="1127"/>
      <c r="M9" s="1128"/>
      <c r="N9" s="1128"/>
      <c r="O9" s="1129"/>
      <c r="P9" s="3201" t="s">
        <v>2535</v>
      </c>
      <c r="Q9" s="1788" t="str">
        <f t="shared" ref="Q9:Q15" si="6">B9</f>
        <v>用途</v>
      </c>
      <c r="R9" s="768" t="s">
        <v>17</v>
      </c>
      <c r="S9" s="769">
        <f t="shared" si="0"/>
        <v>100</v>
      </c>
      <c r="T9" s="768" t="s">
        <v>17</v>
      </c>
      <c r="U9" s="769">
        <f t="shared" si="1"/>
        <v>100</v>
      </c>
      <c r="V9" s="768" t="s">
        <v>17</v>
      </c>
      <c r="W9" s="769">
        <f t="shared" si="2"/>
        <v>100</v>
      </c>
      <c r="X9" s="770"/>
      <c r="Y9" s="3056" t="s">
        <v>2536</v>
      </c>
      <c r="Z9" s="55" t="str">
        <f t="shared" ref="Z9:Z15" si="7">Q9</f>
        <v>用途</v>
      </c>
      <c r="AA9" s="771">
        <f t="shared" si="3"/>
        <v>1</v>
      </c>
      <c r="AB9" s="771">
        <f t="shared" si="4"/>
        <v>1</v>
      </c>
      <c r="AC9" s="771">
        <f t="shared" si="5"/>
        <v>1</v>
      </c>
    </row>
    <row r="10" spans="1:30" s="426" customFormat="1" ht="27">
      <c r="A10" s="420"/>
      <c r="B10" s="421" t="s">
        <v>2537</v>
      </c>
      <c r="C10" s="431">
        <f>项目基本情况!F16</f>
        <v>27</v>
      </c>
      <c r="D10" s="135">
        <v>100</v>
      </c>
      <c r="E10" s="464" t="s">
        <v>3286</v>
      </c>
      <c r="F10" s="135">
        <f>ROUND(100/'数据-取费表'!G16,0)</f>
        <v>134</v>
      </c>
      <c r="G10" s="464" t="s">
        <v>3286</v>
      </c>
      <c r="H10" s="135">
        <f>ROUND(100/'数据-取费表'!G16,0)</f>
        <v>134</v>
      </c>
      <c r="I10" s="464" t="s">
        <v>3286</v>
      </c>
      <c r="J10" s="135">
        <f>ROUND(100/'数据-取费表'!G16,0)</f>
        <v>134</v>
      </c>
      <c r="K10" s="670"/>
      <c r="L10" s="1130"/>
      <c r="M10" s="1131"/>
      <c r="N10" s="1131"/>
      <c r="O10" s="1132"/>
      <c r="P10" s="3201"/>
      <c r="Q10" s="1788" t="str">
        <f t="shared" si="6"/>
        <v>土地使用年限（年）</v>
      </c>
      <c r="R10" s="768" t="s">
        <v>17</v>
      </c>
      <c r="S10" s="769">
        <f t="shared" si="0"/>
        <v>134</v>
      </c>
      <c r="T10" s="768" t="s">
        <v>17</v>
      </c>
      <c r="U10" s="769">
        <f t="shared" si="1"/>
        <v>134</v>
      </c>
      <c r="V10" s="768" t="s">
        <v>17</v>
      </c>
      <c r="W10" s="769">
        <f t="shared" si="2"/>
        <v>134</v>
      </c>
      <c r="X10" s="770"/>
      <c r="Y10" s="3056"/>
      <c r="Z10" s="55" t="str">
        <f t="shared" si="7"/>
        <v>土地使用年限（年）</v>
      </c>
      <c r="AA10" s="771">
        <f t="shared" si="3"/>
        <v>0.74626865671641796</v>
      </c>
      <c r="AB10" s="771">
        <f t="shared" si="4"/>
        <v>0.74626865671641796</v>
      </c>
      <c r="AC10" s="771">
        <f t="shared" si="5"/>
        <v>0.74626865671641796</v>
      </c>
    </row>
    <row r="11" spans="1:30" ht="15">
      <c r="A11" s="427"/>
      <c r="B11" s="421" t="s">
        <v>2538</v>
      </c>
      <c r="C11" s="2944">
        <f>'数据-汇总表'!I3</f>
        <v>0.21</v>
      </c>
      <c r="D11" s="135">
        <v>100</v>
      </c>
      <c r="E11" s="428">
        <f>ROUND('土地案例+位置图'!L2,1)</f>
        <v>2</v>
      </c>
      <c r="F11" s="135">
        <f>LOOKUP(E11,80:80,81:81)-LOOKUP(C11,80:80,81:81)+100</f>
        <v>102</v>
      </c>
      <c r="G11" s="429">
        <f>'土地案例+位置图'!L3</f>
        <v>2</v>
      </c>
      <c r="H11" s="135">
        <f>LOOKUP(G11,80:80,81:81)-LOOKUP(C11,80:80,81:81)+100</f>
        <v>102</v>
      </c>
      <c r="I11" s="428">
        <f>'土地案例+位置图'!L4</f>
        <v>2</v>
      </c>
      <c r="J11" s="135">
        <f>LOOKUP(I11,80:80,81:81)-LOOKUP(C11,80:80,81:81)+100</f>
        <v>102</v>
      </c>
      <c r="K11" s="671">
        <v>1</v>
      </c>
      <c r="L11" s="1133"/>
      <c r="M11" s="1126"/>
      <c r="N11" s="1126"/>
      <c r="O11" s="1134"/>
      <c r="P11" s="3201"/>
      <c r="Q11" s="1788" t="str">
        <f t="shared" si="6"/>
        <v>容积率</v>
      </c>
      <c r="R11" s="768" t="s">
        <v>17</v>
      </c>
      <c r="S11" s="769">
        <f t="shared" si="0"/>
        <v>102</v>
      </c>
      <c r="T11" s="768" t="s">
        <v>17</v>
      </c>
      <c r="U11" s="769">
        <f t="shared" si="1"/>
        <v>102</v>
      </c>
      <c r="V11" s="768" t="s">
        <v>17</v>
      </c>
      <c r="W11" s="769">
        <f t="shared" si="2"/>
        <v>102</v>
      </c>
      <c r="X11" s="770"/>
      <c r="Y11" s="3056"/>
      <c r="Z11" s="55" t="str">
        <f t="shared" si="7"/>
        <v>容积率</v>
      </c>
      <c r="AA11" s="771">
        <f t="shared" si="3"/>
        <v>0.98039215686274506</v>
      </c>
      <c r="AB11" s="771">
        <f t="shared" si="4"/>
        <v>0.98039215686274506</v>
      </c>
      <c r="AC11" s="771">
        <f t="shared" si="5"/>
        <v>0.98039215686274506</v>
      </c>
    </row>
    <row r="12" spans="1:30" s="117" customFormat="1" ht="15">
      <c r="A12" s="430"/>
      <c r="B12" s="2584" t="s">
        <v>2727</v>
      </c>
      <c r="C12" s="2945" t="s">
        <v>3104</v>
      </c>
      <c r="D12" s="432">
        <v>100</v>
      </c>
      <c r="E12" s="2945" t="s">
        <v>3104</v>
      </c>
      <c r="F12" s="135">
        <f>SUMIF(82:82,E12,83:83)-SUMIF(82:82,C12,83:83)+100</f>
        <v>100</v>
      </c>
      <c r="G12" s="2945" t="s">
        <v>3104</v>
      </c>
      <c r="H12" s="135">
        <f>SUMIF(82:82,G12,83:83)-SUMIF(82:82,C12,83:83)+100</f>
        <v>100</v>
      </c>
      <c r="I12" s="2945" t="s">
        <v>3104</v>
      </c>
      <c r="J12" s="135">
        <f>SUMIF(82:82,I12,83:83)-SUMIF(82:82,C12,83:83)+100</f>
        <v>100</v>
      </c>
      <c r="K12" s="670"/>
      <c r="L12" s="1127"/>
      <c r="M12" s="1128"/>
      <c r="N12" s="1128"/>
      <c r="O12" s="1129"/>
      <c r="P12" s="3201"/>
      <c r="Q12" s="1788" t="str">
        <f t="shared" si="6"/>
        <v>配建</v>
      </c>
      <c r="R12" s="768" t="s">
        <v>17</v>
      </c>
      <c r="S12" s="769">
        <f t="shared" si="0"/>
        <v>100</v>
      </c>
      <c r="T12" s="768" t="s">
        <v>17</v>
      </c>
      <c r="U12" s="769">
        <f t="shared" si="1"/>
        <v>100</v>
      </c>
      <c r="V12" s="768" t="s">
        <v>17</v>
      </c>
      <c r="W12" s="769">
        <f t="shared" si="2"/>
        <v>100</v>
      </c>
      <c r="X12" s="770"/>
      <c r="Y12" s="3056"/>
      <c r="Z12" s="55" t="str">
        <f t="shared" si="7"/>
        <v>配建</v>
      </c>
      <c r="AA12" s="771">
        <f>D12/F12</f>
        <v>1</v>
      </c>
      <c r="AB12" s="771">
        <f>D12/H12</f>
        <v>1</v>
      </c>
      <c r="AC12" s="771">
        <f>D12/J12</f>
        <v>1</v>
      </c>
    </row>
    <row r="13" spans="1:30" ht="15" hidden="1">
      <c r="A13" s="427"/>
      <c r="B13" s="2584">
        <v>111</v>
      </c>
      <c r="C13" s="433"/>
      <c r="D13" s="434">
        <v>100</v>
      </c>
      <c r="E13" s="548"/>
      <c r="F13" s="135">
        <f>SUMIF(84:84,E13,85:85)-SUMIF(84:84,C13,85:85)+100</f>
        <v>100</v>
      </c>
      <c r="G13" s="672"/>
      <c r="H13" s="434">
        <f>SUMIF(84:84,G13,85:85)-SUMIF(84:84,C13,85:85)+100</f>
        <v>100</v>
      </c>
      <c r="I13" s="672"/>
      <c r="J13" s="434">
        <f>SUMIF(84:84,I13,85:85)-SUMIF(84:84,C13,85:85)+100</f>
        <v>100</v>
      </c>
      <c r="K13" s="670"/>
      <c r="L13" s="1135"/>
      <c r="M13" s="1126"/>
      <c r="N13" s="1126"/>
      <c r="O13" s="1134"/>
      <c r="P13" s="3201"/>
      <c r="Q13" s="1788">
        <f t="shared" si="6"/>
        <v>111</v>
      </c>
      <c r="R13" s="768" t="s">
        <v>17</v>
      </c>
      <c r="S13" s="769">
        <f t="shared" si="0"/>
        <v>100</v>
      </c>
      <c r="T13" s="768" t="s">
        <v>17</v>
      </c>
      <c r="U13" s="769">
        <f t="shared" si="1"/>
        <v>100</v>
      </c>
      <c r="V13" s="768" t="s">
        <v>17</v>
      </c>
      <c r="W13" s="769">
        <f t="shared" si="2"/>
        <v>100</v>
      </c>
      <c r="X13" s="770"/>
      <c r="Y13" s="3056"/>
      <c r="Z13" s="55">
        <f t="shared" si="7"/>
        <v>111</v>
      </c>
      <c r="AA13" s="771">
        <f>D13/F13</f>
        <v>1</v>
      </c>
      <c r="AB13" s="771">
        <f>D13/H13</f>
        <v>1</v>
      </c>
      <c r="AC13" s="771">
        <f>D13/J13</f>
        <v>1</v>
      </c>
    </row>
    <row r="14" spans="1:30" ht="15.75" hidden="1" thickBot="1">
      <c r="A14" s="435"/>
      <c r="B14" s="2586">
        <v>111</v>
      </c>
      <c r="C14" s="436"/>
      <c r="D14" s="437">
        <v>100</v>
      </c>
      <c r="E14" s="548"/>
      <c r="F14" s="437">
        <f>SUMIF(86:86,E14,87:87)-SUMIF(86:86,C14,87:87)+100</f>
        <v>100</v>
      </c>
      <c r="G14" s="672"/>
      <c r="H14" s="437">
        <f>SUMIF(86:86,G14,87:87)-SUMIF(86:86,C14,87:87)+100</f>
        <v>100</v>
      </c>
      <c r="I14" s="672"/>
      <c r="J14" s="437">
        <f>SUMIF(86:86,I14,87:87)-SUMIF(86:86,C14,87:87)+100</f>
        <v>100</v>
      </c>
      <c r="K14" s="670"/>
      <c r="L14" s="1135"/>
      <c r="M14" s="1126"/>
      <c r="N14" s="1126"/>
      <c r="O14" s="1134"/>
      <c r="P14" s="3201"/>
      <c r="Q14" s="1788">
        <f t="shared" si="6"/>
        <v>111</v>
      </c>
      <c r="R14" s="768" t="s">
        <v>17</v>
      </c>
      <c r="S14" s="769">
        <f t="shared" si="0"/>
        <v>100</v>
      </c>
      <c r="T14" s="768" t="s">
        <v>17</v>
      </c>
      <c r="U14" s="769">
        <f t="shared" si="1"/>
        <v>100</v>
      </c>
      <c r="V14" s="768" t="s">
        <v>17</v>
      </c>
      <c r="W14" s="769">
        <f t="shared" si="2"/>
        <v>100</v>
      </c>
      <c r="X14" s="770"/>
      <c r="Y14" s="3056"/>
      <c r="Z14" s="55">
        <f t="shared" si="7"/>
        <v>111</v>
      </c>
      <c r="AA14" s="771">
        <f>D14/F14</f>
        <v>1</v>
      </c>
      <c r="AB14" s="771">
        <f>D14/H14</f>
        <v>1</v>
      </c>
      <c r="AC14" s="771">
        <f>D14/J14</f>
        <v>1</v>
      </c>
    </row>
    <row r="15" spans="1:30" ht="15" hidden="1">
      <c r="A15" s="439" t="s">
        <v>2539</v>
      </c>
      <c r="B15" s="69" t="s">
        <v>2081</v>
      </c>
      <c r="C15" s="2587">
        <f>估价对象房地状况!C15</f>
        <v>0</v>
      </c>
      <c r="D15" s="440">
        <v>100</v>
      </c>
      <c r="E15" s="441"/>
      <c r="F15" s="440">
        <f>SUMIF(88:88,E16,89:89)-SUMIF(88:88,C16,89:89)+100</f>
        <v>100</v>
      </c>
      <c r="G15" s="441"/>
      <c r="H15" s="440">
        <f>SUMIF(88:88,G16,89:89)-SUMIF(88:88,C16,89:89)+100</f>
        <v>100</v>
      </c>
      <c r="I15" s="443"/>
      <c r="J15" s="440">
        <f>SUMIF(88:88,I16,89:89)-SUMIF(88:88,C16,89:89)+100</f>
        <v>100</v>
      </c>
      <c r="K15" s="671">
        <v>0</v>
      </c>
      <c r="L15" s="1135"/>
      <c r="M15" s="1126"/>
      <c r="N15" s="1126"/>
      <c r="O15" s="1134"/>
      <c r="P15" s="3219" t="s">
        <v>2540</v>
      </c>
      <c r="Q15" s="1803" t="str">
        <f t="shared" si="6"/>
        <v>居住社区成熟度</v>
      </c>
      <c r="R15" s="772" t="s">
        <v>17</v>
      </c>
      <c r="S15" s="773">
        <f t="shared" si="0"/>
        <v>100</v>
      </c>
      <c r="T15" s="772" t="s">
        <v>17</v>
      </c>
      <c r="U15" s="773">
        <f t="shared" si="1"/>
        <v>100</v>
      </c>
      <c r="V15" s="772" t="s">
        <v>17</v>
      </c>
      <c r="W15" s="773">
        <f t="shared" si="2"/>
        <v>100</v>
      </c>
      <c r="X15" s="1806"/>
      <c r="Y15" s="3219" t="s">
        <v>2540</v>
      </c>
      <c r="Z15" s="1807" t="str">
        <f t="shared" si="7"/>
        <v>居住社区成熟度</v>
      </c>
      <c r="AA15" s="1804">
        <f t="shared" si="3"/>
        <v>1</v>
      </c>
      <c r="AB15" s="1804">
        <f t="shared" si="4"/>
        <v>1</v>
      </c>
      <c r="AC15" s="1804">
        <f t="shared" si="5"/>
        <v>1</v>
      </c>
    </row>
    <row r="16" spans="1:30" ht="15" hidden="1">
      <c r="A16" s="427"/>
      <c r="B16" s="445"/>
      <c r="C16" s="446"/>
      <c r="D16" s="447"/>
      <c r="E16" s="2589"/>
      <c r="F16" s="447"/>
      <c r="G16" s="2589"/>
      <c r="H16" s="449"/>
      <c r="I16" s="2588"/>
      <c r="J16" s="447"/>
      <c r="K16" s="670"/>
      <c r="L16" s="1135"/>
      <c r="M16" s="1126"/>
      <c r="N16" s="1126"/>
      <c r="O16" s="1134"/>
      <c r="P16" s="3220"/>
      <c r="Q16" s="1803"/>
      <c r="R16" s="772"/>
      <c r="S16" s="773"/>
      <c r="T16" s="772"/>
      <c r="U16" s="773"/>
      <c r="V16" s="772"/>
      <c r="W16" s="773"/>
      <c r="X16" s="1806"/>
      <c r="Y16" s="3220"/>
      <c r="Z16" s="1807"/>
      <c r="AA16" s="1804">
        <v>1</v>
      </c>
      <c r="AB16" s="1804">
        <v>1</v>
      </c>
      <c r="AC16" s="1804">
        <v>1</v>
      </c>
    </row>
    <row r="17" spans="1:29" ht="15">
      <c r="A17" s="427"/>
      <c r="B17" s="450" t="s">
        <v>2633</v>
      </c>
      <c r="C17" s="2648">
        <f>估价对象房地状况!C16</f>
        <v>0</v>
      </c>
      <c r="D17" s="449">
        <v>100</v>
      </c>
      <c r="E17" s="2957" t="s">
        <v>3241</v>
      </c>
      <c r="F17" s="449">
        <f>SUMIF(90:90,E18,91:91)-SUMIF(90:90,C18,91:91)+100</f>
        <v>100</v>
      </c>
      <c r="G17" s="2957" t="s">
        <v>3241</v>
      </c>
      <c r="H17" s="454">
        <f>SUMIF(90:90,G18,91:91)-SUMIF(90:90,C18,91:91)+100</f>
        <v>100</v>
      </c>
      <c r="I17" s="2957" t="s">
        <v>3241</v>
      </c>
      <c r="J17" s="454">
        <f>SUMIF(90:90,I18,91:91)-SUMIF(90:90,C18,91:91)+100</f>
        <v>100</v>
      </c>
      <c r="K17" s="671">
        <v>2</v>
      </c>
      <c r="L17" s="1135"/>
      <c r="M17" s="1126"/>
      <c r="N17" s="1126"/>
      <c r="O17" s="1134"/>
      <c r="P17" s="3220"/>
      <c r="Q17" s="1803" t="str">
        <f>B17</f>
        <v>商业繁华度</v>
      </c>
      <c r="R17" s="772" t="s">
        <v>17</v>
      </c>
      <c r="S17" s="773">
        <f>F17</f>
        <v>100</v>
      </c>
      <c r="T17" s="772" t="s">
        <v>17</v>
      </c>
      <c r="U17" s="773">
        <f>H17</f>
        <v>100</v>
      </c>
      <c r="V17" s="772" t="s">
        <v>17</v>
      </c>
      <c r="W17" s="773">
        <f>J17</f>
        <v>100</v>
      </c>
      <c r="X17" s="1806"/>
      <c r="Y17" s="3220"/>
      <c r="Z17" s="1807" t="str">
        <f>Q17</f>
        <v>商业繁华度</v>
      </c>
      <c r="AA17" s="1804">
        <f t="shared" si="3"/>
        <v>1</v>
      </c>
      <c r="AB17" s="1804">
        <f t="shared" si="4"/>
        <v>1</v>
      </c>
      <c r="AC17" s="1804">
        <f t="shared" si="5"/>
        <v>1</v>
      </c>
    </row>
    <row r="18" spans="1:29" ht="15">
      <c r="A18" s="427"/>
      <c r="B18" s="455"/>
      <c r="C18" s="2592" t="s">
        <v>3049</v>
      </c>
      <c r="D18" s="449"/>
      <c r="E18" s="2592" t="s">
        <v>3049</v>
      </c>
      <c r="F18" s="449"/>
      <c r="G18" s="2592" t="s">
        <v>3049</v>
      </c>
      <c r="H18" s="447"/>
      <c r="I18" s="2592" t="s">
        <v>3049</v>
      </c>
      <c r="J18" s="447"/>
      <c r="K18" s="670"/>
      <c r="L18" s="1135"/>
      <c r="M18" s="1126"/>
      <c r="N18" s="1126"/>
      <c r="O18" s="1134"/>
      <c r="P18" s="3220"/>
      <c r="Q18" s="1803"/>
      <c r="R18" s="772"/>
      <c r="S18" s="773"/>
      <c r="T18" s="772"/>
      <c r="U18" s="773"/>
      <c r="V18" s="772"/>
      <c r="W18" s="773"/>
      <c r="X18" s="1806"/>
      <c r="Y18" s="3220"/>
      <c r="Z18" s="1807"/>
      <c r="AA18" s="1804">
        <v>1</v>
      </c>
      <c r="AB18" s="1804">
        <v>1</v>
      </c>
      <c r="AC18" s="1804">
        <v>1</v>
      </c>
    </row>
    <row r="19" spans="1:29" ht="15">
      <c r="A19" s="427"/>
      <c r="B19" s="450" t="s">
        <v>2667</v>
      </c>
      <c r="C19" s="2648">
        <f>估价对象房地状况!C17</f>
        <v>0</v>
      </c>
      <c r="D19" s="454">
        <v>100</v>
      </c>
      <c r="E19" s="2957" t="s">
        <v>3241</v>
      </c>
      <c r="F19" s="454">
        <f>SUMIF(92:92,E20,93:93)-SUMIF(92:92,C20,93:93)+100</f>
        <v>100</v>
      </c>
      <c r="G19" s="2957" t="s">
        <v>3241</v>
      </c>
      <c r="H19" s="449">
        <f>SUMIF(92:92,G20,93:93)-SUMIF(92:92,C20,93:93)+100</f>
        <v>100</v>
      </c>
      <c r="I19" s="2957" t="s">
        <v>3241</v>
      </c>
      <c r="J19" s="449">
        <f>SUMIF(92:92,I20,93:93)-SUMIF(92:92,C20,93:93)+100</f>
        <v>100</v>
      </c>
      <c r="K19" s="671">
        <v>2</v>
      </c>
      <c r="L19" s="1135"/>
      <c r="M19" s="1126"/>
      <c r="N19" s="1126"/>
      <c r="O19" s="1134"/>
      <c r="P19" s="3220"/>
      <c r="Q19" s="1803" t="str">
        <f>B19</f>
        <v>办公集聚程度</v>
      </c>
      <c r="R19" s="772" t="s">
        <v>17</v>
      </c>
      <c r="S19" s="773">
        <f>F19</f>
        <v>100</v>
      </c>
      <c r="T19" s="772" t="s">
        <v>17</v>
      </c>
      <c r="U19" s="773">
        <f>H19</f>
        <v>100</v>
      </c>
      <c r="V19" s="772" t="s">
        <v>17</v>
      </c>
      <c r="W19" s="773">
        <f>J19</f>
        <v>100</v>
      </c>
      <c r="X19" s="1806"/>
      <c r="Y19" s="3220"/>
      <c r="Z19" s="1807" t="str">
        <f>Q19</f>
        <v>办公集聚程度</v>
      </c>
      <c r="AA19" s="1804">
        <f t="shared" si="3"/>
        <v>1</v>
      </c>
      <c r="AB19" s="1804">
        <f t="shared" si="4"/>
        <v>1</v>
      </c>
      <c r="AC19" s="1804">
        <f t="shared" si="5"/>
        <v>1</v>
      </c>
    </row>
    <row r="20" spans="1:29" ht="15">
      <c r="A20" s="427"/>
      <c r="B20" s="455"/>
      <c r="C20" s="2592" t="s">
        <v>3049</v>
      </c>
      <c r="D20" s="447"/>
      <c r="E20" s="2592" t="s">
        <v>3049</v>
      </c>
      <c r="F20" s="447"/>
      <c r="G20" s="2592" t="s">
        <v>3049</v>
      </c>
      <c r="H20" s="447"/>
      <c r="I20" s="2592" t="s">
        <v>3049</v>
      </c>
      <c r="J20" s="447"/>
      <c r="K20" s="670"/>
      <c r="L20" s="1135"/>
      <c r="M20" s="1126"/>
      <c r="N20" s="1126"/>
      <c r="O20" s="1134"/>
      <c r="P20" s="3220"/>
      <c r="Q20" s="1803"/>
      <c r="R20" s="772"/>
      <c r="S20" s="773"/>
      <c r="T20" s="772"/>
      <c r="U20" s="773"/>
      <c r="V20" s="772"/>
      <c r="W20" s="773"/>
      <c r="X20" s="1806"/>
      <c r="Y20" s="3220"/>
      <c r="Z20" s="1807"/>
      <c r="AA20" s="1804">
        <v>1</v>
      </c>
      <c r="AB20" s="1804">
        <v>1</v>
      </c>
      <c r="AC20" s="1804">
        <v>1</v>
      </c>
    </row>
    <row r="21" spans="1:29" ht="15">
      <c r="A21" s="427"/>
      <c r="B21" s="450" t="s">
        <v>2689</v>
      </c>
      <c r="C21" s="2591">
        <f>估价对象房地状况!C18</f>
        <v>0</v>
      </c>
      <c r="D21" s="449">
        <v>100</v>
      </c>
      <c r="E21" s="2957" t="s">
        <v>3241</v>
      </c>
      <c r="F21" s="454">
        <f>SUMIF(94:94,E22,95:95)-SUMIF(94:94,C22,95:95)+100</f>
        <v>100</v>
      </c>
      <c r="G21" s="2957" t="s">
        <v>3241</v>
      </c>
      <c r="H21" s="449">
        <f>SUMIF(94:94,G22,95:95)-SUMIF(94:94,C22,95:95)+100</f>
        <v>100</v>
      </c>
      <c r="I21" s="2957" t="s">
        <v>3241</v>
      </c>
      <c r="J21" s="449">
        <f>SUMIF(94:94,I22,95:95)-SUMIF(94:94,C22,95:95)+100</f>
        <v>100</v>
      </c>
      <c r="K21" s="671">
        <v>2</v>
      </c>
      <c r="L21" s="1135"/>
      <c r="M21" s="1126"/>
      <c r="N21" s="1126"/>
      <c r="O21" s="1134"/>
      <c r="P21" s="3220"/>
      <c r="Q21" s="1803" t="str">
        <f>B21</f>
        <v>交通便捷度</v>
      </c>
      <c r="R21" s="772" t="s">
        <v>17</v>
      </c>
      <c r="S21" s="773">
        <f>F21</f>
        <v>100</v>
      </c>
      <c r="T21" s="772" t="s">
        <v>17</v>
      </c>
      <c r="U21" s="773">
        <f>H21</f>
        <v>100</v>
      </c>
      <c r="V21" s="772" t="s">
        <v>17</v>
      </c>
      <c r="W21" s="773">
        <f>J21</f>
        <v>100</v>
      </c>
      <c r="X21" s="1806"/>
      <c r="Y21" s="3220"/>
      <c r="Z21" s="1807" t="str">
        <f>Q21</f>
        <v>交通便捷度</v>
      </c>
      <c r="AA21" s="1804">
        <f t="shared" si="3"/>
        <v>1</v>
      </c>
      <c r="AB21" s="1804">
        <f t="shared" si="4"/>
        <v>1</v>
      </c>
      <c r="AC21" s="1804">
        <f t="shared" si="5"/>
        <v>1</v>
      </c>
    </row>
    <row r="22" spans="1:29" ht="15">
      <c r="A22" s="427"/>
      <c r="B22" s="1379"/>
      <c r="C22" s="446" t="s">
        <v>3049</v>
      </c>
      <c r="D22" s="449"/>
      <c r="E22" s="446" t="s">
        <v>3049</v>
      </c>
      <c r="F22" s="447"/>
      <c r="G22" s="446" t="s">
        <v>3049</v>
      </c>
      <c r="H22" s="447"/>
      <c r="I22" s="446" t="s">
        <v>3049</v>
      </c>
      <c r="J22" s="447"/>
      <c r="K22" s="670"/>
      <c r="L22" s="1135"/>
      <c r="M22" s="1126"/>
      <c r="N22" s="1126"/>
      <c r="O22" s="1134"/>
      <c r="P22" s="3220"/>
      <c r="Q22" s="1803"/>
      <c r="R22" s="772"/>
      <c r="S22" s="773"/>
      <c r="T22" s="772"/>
      <c r="U22" s="773"/>
      <c r="V22" s="772"/>
      <c r="W22" s="773"/>
      <c r="X22" s="1806"/>
      <c r="Y22" s="3220"/>
      <c r="Z22" s="1807"/>
      <c r="AA22" s="1804">
        <v>1</v>
      </c>
      <c r="AB22" s="1804">
        <v>1</v>
      </c>
      <c r="AC22" s="1804">
        <v>1</v>
      </c>
    </row>
    <row r="23" spans="1:29" ht="15">
      <c r="A23" s="403"/>
      <c r="B23" s="450" t="s">
        <v>2728</v>
      </c>
      <c r="C23" s="1384" t="str">
        <f>估价对象房地状况!C19</f>
        <v>较好</v>
      </c>
      <c r="D23" s="454">
        <v>100</v>
      </c>
      <c r="E23" s="2957" t="s">
        <v>3241</v>
      </c>
      <c r="F23" s="454">
        <f>SUMIF(96:96,E24,97:97)-SUMIF(96:96,C24,97:97)+100</f>
        <v>100</v>
      </c>
      <c r="G23" s="2957" t="s">
        <v>3241</v>
      </c>
      <c r="H23" s="454">
        <f>SUMIF(96:96,G24,97:97)-SUMIF(96:96,C24,97:97)+100</f>
        <v>100</v>
      </c>
      <c r="I23" s="2957" t="s">
        <v>3241</v>
      </c>
      <c r="J23" s="454">
        <f>SUMIF(96:96,I24,97:97)-SUMIF(96:96,C24,97:97)+100</f>
        <v>100</v>
      </c>
      <c r="K23" s="671">
        <v>2</v>
      </c>
      <c r="L23" s="1135"/>
      <c r="M23" s="1126"/>
      <c r="N23" s="1126"/>
      <c r="O23" s="1134"/>
      <c r="P23" s="3220"/>
      <c r="Q23" s="1803" t="str">
        <f t="shared" ref="Q23:Q37" si="8">B23</f>
        <v>区域土地利用方向</v>
      </c>
      <c r="R23" s="772" t="s">
        <v>17</v>
      </c>
      <c r="S23" s="773">
        <f>F23</f>
        <v>100</v>
      </c>
      <c r="T23" s="772" t="s">
        <v>17</v>
      </c>
      <c r="U23" s="773">
        <f>H23</f>
        <v>100</v>
      </c>
      <c r="V23" s="772" t="s">
        <v>17</v>
      </c>
      <c r="W23" s="773">
        <f>J23</f>
        <v>100</v>
      </c>
      <c r="X23" s="1806"/>
      <c r="Y23" s="3220"/>
      <c r="Z23" s="1807" t="str">
        <f>Q23</f>
        <v>区域土地利用方向</v>
      </c>
      <c r="AA23" s="1804">
        <f t="shared" si="3"/>
        <v>1</v>
      </c>
      <c r="AB23" s="1804">
        <f t="shared" si="4"/>
        <v>1</v>
      </c>
      <c r="AC23" s="1804">
        <f t="shared" si="5"/>
        <v>1</v>
      </c>
    </row>
    <row r="24" spans="1:29" ht="15">
      <c r="A24" s="403"/>
      <c r="B24" s="455"/>
      <c r="C24" s="615" t="s">
        <v>3049</v>
      </c>
      <c r="D24" s="447"/>
      <c r="E24" s="615" t="s">
        <v>3049</v>
      </c>
      <c r="F24" s="447"/>
      <c r="G24" s="615" t="s">
        <v>3049</v>
      </c>
      <c r="H24" s="447"/>
      <c r="I24" s="615" t="s">
        <v>3049</v>
      </c>
      <c r="J24" s="447"/>
      <c r="K24" s="805"/>
      <c r="L24" s="1135"/>
      <c r="M24" s="1126"/>
      <c r="N24" s="1126"/>
      <c r="O24" s="1134"/>
      <c r="P24" s="3220"/>
      <c r="Q24" s="1803"/>
      <c r="R24" s="772"/>
      <c r="S24" s="773"/>
      <c r="T24" s="772"/>
      <c r="U24" s="773"/>
      <c r="V24" s="772"/>
      <c r="W24" s="773"/>
      <c r="X24" s="1806"/>
      <c r="Y24" s="3220"/>
      <c r="Z24" s="1807"/>
      <c r="AA24" s="1804"/>
      <c r="AB24" s="1804"/>
      <c r="AC24" s="1804"/>
    </row>
    <row r="25" spans="1:29" ht="27">
      <c r="A25" s="403"/>
      <c r="B25" s="1379" t="s">
        <v>2729</v>
      </c>
      <c r="C25" s="2648">
        <f>估价对象房地状况!C20</f>
        <v>0</v>
      </c>
      <c r="D25" s="449">
        <v>100</v>
      </c>
      <c r="E25" s="2957" t="s">
        <v>3241</v>
      </c>
      <c r="F25" s="449">
        <f>SUMIF(98:98,E26,99:99)-SUMIF(98:98,C26,99:99)+100</f>
        <v>100</v>
      </c>
      <c r="G25" s="2957" t="s">
        <v>3241</v>
      </c>
      <c r="H25" s="449">
        <f>SUMIF(98:98,G26,99:99)-SUMIF(98:98,C26,99:99)+100</f>
        <v>100</v>
      </c>
      <c r="I25" s="2957" t="s">
        <v>3241</v>
      </c>
      <c r="J25" s="449">
        <f>SUMIF(98:98,I26,99:99)-SUMIF(98:98,C26,99:99)+100</f>
        <v>100</v>
      </c>
      <c r="K25" s="671">
        <v>2</v>
      </c>
      <c r="L25" s="1135"/>
      <c r="M25" s="1126"/>
      <c r="N25" s="1126"/>
      <c r="O25" s="1134"/>
      <c r="P25" s="3220"/>
      <c r="Q25" s="1803" t="str">
        <f t="shared" si="8"/>
        <v>自然及人文环境状况</v>
      </c>
      <c r="R25" s="772" t="s">
        <v>17</v>
      </c>
      <c r="S25" s="773">
        <f>F25</f>
        <v>100</v>
      </c>
      <c r="T25" s="772" t="s">
        <v>17</v>
      </c>
      <c r="U25" s="773">
        <f>H25</f>
        <v>100</v>
      </c>
      <c r="V25" s="772" t="s">
        <v>17</v>
      </c>
      <c r="W25" s="773">
        <f>J25</f>
        <v>100</v>
      </c>
      <c r="X25" s="1806"/>
      <c r="Y25" s="3220"/>
      <c r="Z25" s="1807" t="str">
        <f>Q25</f>
        <v>自然及人文环境状况</v>
      </c>
      <c r="AA25" s="1804">
        <f t="shared" si="3"/>
        <v>1</v>
      </c>
      <c r="AB25" s="1804">
        <f t="shared" si="4"/>
        <v>1</v>
      </c>
      <c r="AC25" s="1804">
        <f t="shared" si="5"/>
        <v>1</v>
      </c>
    </row>
    <row r="26" spans="1:29" ht="15">
      <c r="A26" s="403"/>
      <c r="B26" s="455"/>
      <c r="C26" s="446" t="s">
        <v>3049</v>
      </c>
      <c r="D26" s="447"/>
      <c r="E26" s="446" t="s">
        <v>3049</v>
      </c>
      <c r="F26" s="447"/>
      <c r="G26" s="446" t="s">
        <v>3049</v>
      </c>
      <c r="H26" s="447"/>
      <c r="I26" s="446" t="s">
        <v>3049</v>
      </c>
      <c r="J26" s="447"/>
      <c r="K26" s="670"/>
      <c r="L26" s="1135"/>
      <c r="M26" s="1126"/>
      <c r="N26" s="1126"/>
      <c r="O26" s="1134"/>
      <c r="P26" s="3220"/>
      <c r="Q26" s="1803"/>
      <c r="R26" s="772"/>
      <c r="S26" s="773"/>
      <c r="T26" s="772"/>
      <c r="U26" s="773"/>
      <c r="V26" s="772"/>
      <c r="W26" s="773"/>
      <c r="X26" s="1806"/>
      <c r="Y26" s="3220"/>
      <c r="Z26" s="1807"/>
      <c r="AA26" s="1804">
        <v>1</v>
      </c>
      <c r="AB26" s="1804">
        <v>1</v>
      </c>
      <c r="AC26" s="1804">
        <v>1</v>
      </c>
    </row>
    <row r="27" spans="1:29" s="117" customFormat="1" ht="15">
      <c r="A27" s="647"/>
      <c r="B27" s="1379" t="s">
        <v>2634</v>
      </c>
      <c r="C27" s="2591">
        <f>估价对象房地状况!C21</f>
        <v>0</v>
      </c>
      <c r="D27" s="449">
        <v>100</v>
      </c>
      <c r="E27" s="2957" t="s">
        <v>3242</v>
      </c>
      <c r="F27" s="449">
        <f>SUMIF(100:100,E28,101:101)-SUMIF(100:100,C28,101:101)+100</f>
        <v>100</v>
      </c>
      <c r="G27" s="2957" t="s">
        <v>3243</v>
      </c>
      <c r="H27" s="449">
        <f>SUMIF(100:100,G28,101:101)-SUMIF(100:100,C28,101:101)+100</f>
        <v>100</v>
      </c>
      <c r="I27" s="2958" t="s">
        <v>3243</v>
      </c>
      <c r="J27" s="449">
        <f>SUMIF(100:100,I28,101:101)-SUMIF(100:100,C28,101:101)+100</f>
        <v>100</v>
      </c>
      <c r="K27" s="671">
        <v>2</v>
      </c>
      <c r="L27" s="1127"/>
      <c r="M27" s="1128"/>
      <c r="N27" s="1128"/>
      <c r="O27" s="1129"/>
      <c r="P27" s="3220"/>
      <c r="Q27" s="1788" t="str">
        <f t="shared" si="8"/>
        <v>公共配套设施</v>
      </c>
      <c r="R27" s="768" t="s">
        <v>17</v>
      </c>
      <c r="S27" s="769">
        <f>F27</f>
        <v>100</v>
      </c>
      <c r="T27" s="768" t="s">
        <v>17</v>
      </c>
      <c r="U27" s="769">
        <f>H27</f>
        <v>100</v>
      </c>
      <c r="V27" s="768" t="s">
        <v>17</v>
      </c>
      <c r="W27" s="769">
        <f>J27</f>
        <v>100</v>
      </c>
      <c r="X27" s="770"/>
      <c r="Y27" s="3220"/>
      <c r="Z27" s="55" t="str">
        <f>Q27</f>
        <v>公共配套设施</v>
      </c>
      <c r="AA27" s="1804">
        <f>D27/F27</f>
        <v>1</v>
      </c>
      <c r="AB27" s="1804">
        <f>D27/H27</f>
        <v>1</v>
      </c>
      <c r="AC27" s="1804">
        <f>D27/J27</f>
        <v>1</v>
      </c>
    </row>
    <row r="28" spans="1:29" s="117" customFormat="1" ht="15">
      <c r="A28" s="647"/>
      <c r="B28" s="455"/>
      <c r="C28" s="2684" t="s">
        <v>3119</v>
      </c>
      <c r="D28" s="447"/>
      <c r="E28" s="2684" t="s">
        <v>3119</v>
      </c>
      <c r="F28" s="447"/>
      <c r="G28" s="2684" t="s">
        <v>3119</v>
      </c>
      <c r="H28" s="447"/>
      <c r="I28" s="2684" t="s">
        <v>3119</v>
      </c>
      <c r="J28" s="447"/>
      <c r="K28" s="670"/>
      <c r="L28" s="1127"/>
      <c r="M28" s="1128"/>
      <c r="N28" s="1128"/>
      <c r="O28" s="1129"/>
      <c r="P28" s="3220"/>
      <c r="Q28" s="1788"/>
      <c r="R28" s="768"/>
      <c r="S28" s="769"/>
      <c r="T28" s="768"/>
      <c r="U28" s="769"/>
      <c r="V28" s="768"/>
      <c r="W28" s="769"/>
      <c r="X28" s="770"/>
      <c r="Y28" s="3220"/>
      <c r="Z28" s="55"/>
      <c r="AA28" s="1804">
        <v>1</v>
      </c>
      <c r="AB28" s="1804">
        <v>1</v>
      </c>
      <c r="AC28" s="1804">
        <v>1</v>
      </c>
    </row>
    <row r="29" spans="1:29" s="117" customFormat="1" ht="15">
      <c r="A29" s="647"/>
      <c r="B29" s="1379" t="s">
        <v>2635</v>
      </c>
      <c r="C29" s="2591">
        <f>估价对象房地状况!C22</f>
        <v>0</v>
      </c>
      <c r="D29" s="449">
        <v>100</v>
      </c>
      <c r="E29" s="2957" t="s">
        <v>3244</v>
      </c>
      <c r="F29" s="449">
        <f>SUMIF(102:102,E30,103:103)-SUMIF(102:102,C30,103:103)+100</f>
        <v>100</v>
      </c>
      <c r="G29" s="2957" t="s">
        <v>3244</v>
      </c>
      <c r="H29" s="449">
        <f>SUMIF(102:102,G30,103:103)-SUMIF(102:102,C30,103:103)+100</f>
        <v>100</v>
      </c>
      <c r="I29" s="2957" t="s">
        <v>3244</v>
      </c>
      <c r="J29" s="449">
        <f>SUMIF(102:102,I30,103:103)-SUMIF(102:102,C30,103:103)+100</f>
        <v>100</v>
      </c>
      <c r="K29" s="671">
        <v>1</v>
      </c>
      <c r="L29" s="1127"/>
      <c r="M29" s="1128"/>
      <c r="N29" s="1128"/>
      <c r="O29" s="1129"/>
      <c r="P29" s="3220"/>
      <c r="Q29" s="1788" t="str">
        <f t="shared" ref="Q29" si="9">B29</f>
        <v>基础设施水平</v>
      </c>
      <c r="R29" s="768" t="s">
        <v>17</v>
      </c>
      <c r="S29" s="769">
        <f>F29</f>
        <v>100</v>
      </c>
      <c r="T29" s="768" t="s">
        <v>17</v>
      </c>
      <c r="U29" s="769">
        <f>H29</f>
        <v>100</v>
      </c>
      <c r="V29" s="768" t="s">
        <v>17</v>
      </c>
      <c r="W29" s="769">
        <f>J29</f>
        <v>100</v>
      </c>
      <c r="X29" s="770"/>
      <c r="Y29" s="3220"/>
      <c r="Z29" s="55" t="str">
        <f>Q29</f>
        <v>基础设施水平</v>
      </c>
      <c r="AA29" s="1804">
        <f>D29/F29</f>
        <v>1</v>
      </c>
      <c r="AB29" s="1804">
        <f>D29/H29</f>
        <v>1</v>
      </c>
      <c r="AC29" s="1804">
        <f>D29/J29</f>
        <v>1</v>
      </c>
    </row>
    <row r="30" spans="1:29" s="117" customFormat="1" ht="15">
      <c r="A30" s="647"/>
      <c r="B30" s="455"/>
      <c r="C30" s="2684" t="s">
        <v>3051</v>
      </c>
      <c r="D30" s="447"/>
      <c r="E30" s="2684" t="s">
        <v>3051</v>
      </c>
      <c r="F30" s="447"/>
      <c r="G30" s="2684" t="s">
        <v>3051</v>
      </c>
      <c r="H30" s="447"/>
      <c r="I30" s="2684" t="s">
        <v>3051</v>
      </c>
      <c r="J30" s="447"/>
      <c r="K30" s="670"/>
      <c r="L30" s="1127"/>
      <c r="M30" s="1128"/>
      <c r="N30" s="1128"/>
      <c r="O30" s="1129"/>
      <c r="P30" s="3220"/>
      <c r="Q30" s="1788"/>
      <c r="R30" s="768"/>
      <c r="S30" s="769"/>
      <c r="T30" s="768"/>
      <c r="U30" s="769"/>
      <c r="V30" s="768"/>
      <c r="W30" s="769"/>
      <c r="X30" s="770"/>
      <c r="Y30" s="3220"/>
      <c r="Z30" s="55"/>
      <c r="AA30" s="1804">
        <v>1</v>
      </c>
      <c r="AB30" s="1804">
        <v>1</v>
      </c>
      <c r="AC30" s="1804">
        <v>1</v>
      </c>
    </row>
    <row r="31" spans="1:29" ht="15">
      <c r="A31" s="427"/>
      <c r="B31" s="455" t="s">
        <v>2636</v>
      </c>
      <c r="C31" s="615" t="s">
        <v>3053</v>
      </c>
      <c r="D31" s="434">
        <v>100</v>
      </c>
      <c r="E31" s="632" t="s">
        <v>3053</v>
      </c>
      <c r="F31" s="434">
        <f>SUMIF(104:104,E31,105:105)-SUMIF(104:104,C31,105:105)+100</f>
        <v>100</v>
      </c>
      <c r="G31" s="632" t="s">
        <v>3053</v>
      </c>
      <c r="H31" s="434">
        <f>SUMIF(104:104,G31,105:105)-SUMIF(104:104,C31,105:105)+100</f>
        <v>100</v>
      </c>
      <c r="I31" s="632" t="s">
        <v>3053</v>
      </c>
      <c r="J31" s="434">
        <f>SUMIF(104:104,I31,105:105)-SUMIF(104:104,C31,105:105)+100</f>
        <v>100</v>
      </c>
      <c r="K31" s="671">
        <v>2</v>
      </c>
      <c r="L31" s="1135"/>
      <c r="M31" s="1126"/>
      <c r="N31" s="1126"/>
      <c r="O31" s="1134"/>
      <c r="P31" s="3220"/>
      <c r="Q31" s="1803" t="str">
        <f t="shared" si="8"/>
        <v>临街状况</v>
      </c>
      <c r="R31" s="772" t="s">
        <v>17</v>
      </c>
      <c r="S31" s="773">
        <f t="shared" ref="S31:S45" si="10">F31</f>
        <v>100</v>
      </c>
      <c r="T31" s="772" t="s">
        <v>17</v>
      </c>
      <c r="U31" s="773">
        <f t="shared" ref="U31:U45" si="11">H31</f>
        <v>100</v>
      </c>
      <c r="V31" s="772" t="s">
        <v>17</v>
      </c>
      <c r="W31" s="773">
        <f t="shared" ref="W31:W45" si="12">J31</f>
        <v>100</v>
      </c>
      <c r="X31" s="1806"/>
      <c r="Y31" s="3220"/>
      <c r="Z31" s="1807" t="str">
        <f t="shared" ref="Z31:Z45" si="13">Q31</f>
        <v>临街状况</v>
      </c>
      <c r="AA31" s="1804">
        <f t="shared" si="3"/>
        <v>1</v>
      </c>
      <c r="AB31" s="1804">
        <f t="shared" si="4"/>
        <v>1</v>
      </c>
      <c r="AC31" s="1804">
        <f t="shared" si="5"/>
        <v>1</v>
      </c>
    </row>
    <row r="32" spans="1:29" ht="27">
      <c r="A32" s="427"/>
      <c r="B32" s="1379" t="s">
        <v>2671</v>
      </c>
      <c r="C32" s="2958" t="s">
        <v>3166</v>
      </c>
      <c r="D32" s="449">
        <v>100</v>
      </c>
      <c r="E32" s="2957" t="s">
        <v>3164</v>
      </c>
      <c r="F32" s="449">
        <f>SUMIF(106:106,E33,107:107)-SUMIF(106:106,C33,107:107)+100</f>
        <v>100</v>
      </c>
      <c r="G32" s="2957" t="s">
        <v>3165</v>
      </c>
      <c r="H32" s="449">
        <f>SUMIF(106:106,G33,107:107)-SUMIF(106:106,C33,107:107)+100</f>
        <v>100</v>
      </c>
      <c r="I32" s="2958" t="s">
        <v>3165</v>
      </c>
      <c r="J32" s="449">
        <f>SUMIF(106:106,I33,107:107)-SUMIF(106:106,C33,107:107)+100</f>
        <v>100</v>
      </c>
      <c r="K32" s="671">
        <v>2</v>
      </c>
      <c r="L32" s="1135"/>
      <c r="M32" s="1126"/>
      <c r="N32" s="1126"/>
      <c r="O32" s="1134"/>
      <c r="P32" s="3220"/>
      <c r="Q32" s="1803" t="str">
        <f t="shared" si="8"/>
        <v>毗邻道路的类型与等级</v>
      </c>
      <c r="R32" s="772" t="s">
        <v>17</v>
      </c>
      <c r="S32" s="773">
        <f t="shared" si="10"/>
        <v>100</v>
      </c>
      <c r="T32" s="772" t="s">
        <v>17</v>
      </c>
      <c r="U32" s="773">
        <f t="shared" si="11"/>
        <v>100</v>
      </c>
      <c r="V32" s="772" t="s">
        <v>17</v>
      </c>
      <c r="W32" s="773">
        <f t="shared" si="12"/>
        <v>100</v>
      </c>
      <c r="X32" s="1806"/>
      <c r="Y32" s="3220"/>
      <c r="Z32" s="1807" t="str">
        <f t="shared" si="13"/>
        <v>毗邻道路的类型与等级</v>
      </c>
      <c r="AA32" s="1804">
        <f t="shared" si="3"/>
        <v>1</v>
      </c>
      <c r="AB32" s="1804">
        <f t="shared" si="4"/>
        <v>1</v>
      </c>
      <c r="AC32" s="1804">
        <f t="shared" si="5"/>
        <v>1</v>
      </c>
    </row>
    <row r="33" spans="1:29" ht="15.75" thickBot="1">
      <c r="A33" s="427"/>
      <c r="B33" s="455"/>
      <c r="C33" s="2595" t="s">
        <v>3171</v>
      </c>
      <c r="D33" s="447"/>
      <c r="E33" s="2595" t="s">
        <v>3171</v>
      </c>
      <c r="F33" s="447"/>
      <c r="G33" s="2595" t="s">
        <v>3171</v>
      </c>
      <c r="H33" s="447"/>
      <c r="I33" s="446" t="s">
        <v>3171</v>
      </c>
      <c r="J33" s="447"/>
      <c r="K33" s="612"/>
      <c r="L33" s="1135"/>
      <c r="M33" s="1126"/>
      <c r="N33" s="1126"/>
      <c r="O33" s="1134"/>
      <c r="P33" s="3220"/>
      <c r="Q33" s="1803"/>
      <c r="R33" s="772"/>
      <c r="S33" s="773"/>
      <c r="T33" s="772"/>
      <c r="U33" s="773"/>
      <c r="V33" s="772"/>
      <c r="W33" s="773"/>
      <c r="X33" s="1806"/>
      <c r="Y33" s="3220"/>
      <c r="Z33" s="1807"/>
      <c r="AA33" s="1804">
        <v>1</v>
      </c>
      <c r="AB33" s="1804">
        <v>1</v>
      </c>
      <c r="AC33" s="1804">
        <v>1</v>
      </c>
    </row>
    <row r="34" spans="1:29" ht="15.75" hidden="1" thickBot="1">
      <c r="A34" s="427"/>
      <c r="B34" s="421" t="s">
        <v>2730</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5"/>
      <c r="M34" s="1126"/>
      <c r="N34" s="1126"/>
      <c r="O34" s="1134"/>
      <c r="P34" s="3220"/>
      <c r="Q34" s="1803" t="str">
        <f t="shared" si="8"/>
        <v>土地级别</v>
      </c>
      <c r="R34" s="772" t="s">
        <v>17</v>
      </c>
      <c r="S34" s="773">
        <f t="shared" si="10"/>
        <v>100</v>
      </c>
      <c r="T34" s="772" t="s">
        <v>17</v>
      </c>
      <c r="U34" s="773">
        <f t="shared" si="11"/>
        <v>100</v>
      </c>
      <c r="V34" s="772" t="s">
        <v>17</v>
      </c>
      <c r="W34" s="773">
        <f t="shared" si="12"/>
        <v>100</v>
      </c>
      <c r="X34" s="1806"/>
      <c r="Y34" s="3220"/>
      <c r="Z34" s="1807" t="str">
        <f t="shared" si="13"/>
        <v>土地级别</v>
      </c>
      <c r="AA34" s="1804">
        <f t="shared" si="3"/>
        <v>1</v>
      </c>
      <c r="AB34" s="1804">
        <f t="shared" si="4"/>
        <v>1</v>
      </c>
      <c r="AC34" s="1804">
        <f t="shared" si="5"/>
        <v>1</v>
      </c>
    </row>
    <row r="35" spans="1:29" ht="15.75" hidden="1" customHeight="1">
      <c r="A35" s="403"/>
      <c r="B35" s="1381">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5"/>
      <c r="M35" s="1126"/>
      <c r="N35" s="1126"/>
      <c r="O35" s="1134"/>
      <c r="P35" s="3220"/>
      <c r="Q35" s="1803">
        <f t="shared" si="8"/>
        <v>111</v>
      </c>
      <c r="R35" s="772" t="s">
        <v>17</v>
      </c>
      <c r="S35" s="773">
        <f t="shared" si="10"/>
        <v>100</v>
      </c>
      <c r="T35" s="772" t="s">
        <v>17</v>
      </c>
      <c r="U35" s="773">
        <f t="shared" si="11"/>
        <v>100</v>
      </c>
      <c r="V35" s="772" t="s">
        <v>17</v>
      </c>
      <c r="W35" s="773">
        <f t="shared" si="12"/>
        <v>100</v>
      </c>
      <c r="X35" s="1806"/>
      <c r="Y35" s="3220"/>
      <c r="Z35" s="1807">
        <f t="shared" si="13"/>
        <v>111</v>
      </c>
      <c r="AA35" s="1804">
        <f t="shared" si="3"/>
        <v>1</v>
      </c>
      <c r="AB35" s="1804">
        <f t="shared" si="4"/>
        <v>1</v>
      </c>
      <c r="AC35" s="1804">
        <f t="shared" si="5"/>
        <v>1</v>
      </c>
    </row>
    <row r="36" spans="1:29" ht="15" hidden="1">
      <c r="A36" s="673"/>
      <c r="B36" s="1382">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5"/>
      <c r="M36" s="1126"/>
      <c r="N36" s="1126"/>
      <c r="O36" s="1134"/>
      <c r="P36" s="3236" t="s">
        <v>2545</v>
      </c>
      <c r="Q36" s="1803">
        <f t="shared" si="8"/>
        <v>111</v>
      </c>
      <c r="R36" s="772" t="s">
        <v>17</v>
      </c>
      <c r="S36" s="773">
        <f t="shared" si="10"/>
        <v>100</v>
      </c>
      <c r="T36" s="772" t="s">
        <v>17</v>
      </c>
      <c r="U36" s="773">
        <f t="shared" si="11"/>
        <v>100</v>
      </c>
      <c r="V36" s="772" t="s">
        <v>17</v>
      </c>
      <c r="W36" s="773">
        <f t="shared" si="12"/>
        <v>100</v>
      </c>
      <c r="X36" s="1806"/>
      <c r="Y36" s="3221" t="s">
        <v>2545</v>
      </c>
      <c r="Z36" s="1807">
        <f t="shared" si="13"/>
        <v>111</v>
      </c>
      <c r="AA36" s="1804">
        <f t="shared" si="3"/>
        <v>1</v>
      </c>
      <c r="AB36" s="1804">
        <f t="shared" si="4"/>
        <v>1</v>
      </c>
      <c r="AC36" s="1804">
        <f t="shared" si="5"/>
        <v>1</v>
      </c>
    </row>
    <row r="37" spans="1:29" s="470" customFormat="1" ht="15.75" hidden="1" thickBot="1">
      <c r="A37" s="674"/>
      <c r="B37" s="1383">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3"/>
      <c r="M37" s="1136"/>
      <c r="N37" s="1136"/>
      <c r="O37" s="1137"/>
      <c r="P37" s="3221"/>
      <c r="Q37" s="1803">
        <f t="shared" si="8"/>
        <v>111</v>
      </c>
      <c r="R37" s="775" t="s">
        <v>17</v>
      </c>
      <c r="S37" s="776">
        <f t="shared" si="10"/>
        <v>100</v>
      </c>
      <c r="T37" s="775" t="s">
        <v>17</v>
      </c>
      <c r="U37" s="776">
        <f t="shared" si="11"/>
        <v>100</v>
      </c>
      <c r="V37" s="775" t="s">
        <v>17</v>
      </c>
      <c r="W37" s="776">
        <f t="shared" si="12"/>
        <v>100</v>
      </c>
      <c r="X37" s="777"/>
      <c r="Y37" s="3221"/>
      <c r="Z37" s="778">
        <f t="shared" si="13"/>
        <v>111</v>
      </c>
      <c r="AA37" s="1804">
        <f t="shared" si="3"/>
        <v>1</v>
      </c>
      <c r="AB37" s="1804">
        <f t="shared" si="4"/>
        <v>1</v>
      </c>
      <c r="AC37" s="1804">
        <f t="shared" si="5"/>
        <v>1</v>
      </c>
    </row>
    <row r="38" spans="1:29" ht="15">
      <c r="A38" s="471" t="s">
        <v>2543</v>
      </c>
      <c r="B38" s="455" t="s">
        <v>2731</v>
      </c>
      <c r="C38" s="677">
        <f>'数据-基础表'!A3</f>
        <v>39950.5</v>
      </c>
      <c r="D38" s="466">
        <v>100</v>
      </c>
      <c r="E38" s="677">
        <f>'土地案例+位置图'!J2</f>
        <v>12894.05</v>
      </c>
      <c r="F38" s="466">
        <f>LOOKUP(E38,117:117,118:118)-LOOKUP(C38,117:117,118:118)+100</f>
        <v>99</v>
      </c>
      <c r="G38" s="677">
        <f>'土地案例+位置图'!J3</f>
        <v>13333.34</v>
      </c>
      <c r="H38" s="466">
        <f>LOOKUP(G38,117:117,118:118)-LOOKUP(C38,117:117,118:118)+100</f>
        <v>99</v>
      </c>
      <c r="I38" s="529">
        <f>'土地案例+位置图'!J4</f>
        <v>19846.330000000002</v>
      </c>
      <c r="J38" s="466">
        <f>LOOKUP(I38,117:117,118:118)-LOOKUP(C38,117:117,118:118)+100</f>
        <v>99</v>
      </c>
      <c r="K38" s="612"/>
      <c r="L38" s="1135"/>
      <c r="M38" s="1126"/>
      <c r="N38" s="1126"/>
      <c r="O38" s="1134"/>
      <c r="P38" s="3221"/>
      <c r="Q38" s="1803" t="str">
        <f>B38</f>
        <v>宗地面积</v>
      </c>
      <c r="R38" s="772" t="s">
        <v>17</v>
      </c>
      <c r="S38" s="773">
        <f t="shared" si="10"/>
        <v>99</v>
      </c>
      <c r="T38" s="772" t="s">
        <v>17</v>
      </c>
      <c r="U38" s="773">
        <f t="shared" si="11"/>
        <v>99</v>
      </c>
      <c r="V38" s="772" t="s">
        <v>17</v>
      </c>
      <c r="W38" s="773">
        <f t="shared" si="12"/>
        <v>99</v>
      </c>
      <c r="X38" s="1806"/>
      <c r="Y38" s="3221"/>
      <c r="Z38" s="1807" t="str">
        <f t="shared" si="13"/>
        <v>宗地面积</v>
      </c>
      <c r="AA38" s="1804">
        <f t="shared" si="3"/>
        <v>1.0101010101010102</v>
      </c>
      <c r="AB38" s="1804">
        <f t="shared" si="4"/>
        <v>1.0101010101010102</v>
      </c>
      <c r="AC38" s="1804">
        <f t="shared" si="5"/>
        <v>1.0101010101010102</v>
      </c>
    </row>
    <row r="39" spans="1:29" ht="15">
      <c r="A39" s="471"/>
      <c r="B39" s="421" t="s">
        <v>2732</v>
      </c>
      <c r="C39" s="2597" t="s">
        <v>3106</v>
      </c>
      <c r="D39" s="434">
        <v>100</v>
      </c>
      <c r="E39" s="2597" t="s">
        <v>3106</v>
      </c>
      <c r="F39" s="434">
        <f>SUMIF(119:119,E39,120:120)-SUMIF(119:119,C39,120:120)+100</f>
        <v>100</v>
      </c>
      <c r="G39" s="2597" t="s">
        <v>3106</v>
      </c>
      <c r="H39" s="434">
        <f>SUMIF(119:119,G39,120:120)-SUMIF(119:119,C39,120:120)+100</f>
        <v>100</v>
      </c>
      <c r="I39" s="2597" t="s">
        <v>3106</v>
      </c>
      <c r="J39" s="434">
        <f>SUMIF(119:119,I39,120:120)-SUMIF(119:119,C39,120:120)+100</f>
        <v>100</v>
      </c>
      <c r="K39" s="611">
        <v>2</v>
      </c>
      <c r="L39" s="1135"/>
      <c r="M39" s="1126"/>
      <c r="N39" s="1126"/>
      <c r="O39" s="1134"/>
      <c r="P39" s="3221"/>
      <c r="Q39" s="1803" t="str">
        <f t="shared" ref="Q39:Q45" si="14">B39</f>
        <v>宗地形状</v>
      </c>
      <c r="R39" s="772" t="s">
        <v>17</v>
      </c>
      <c r="S39" s="773">
        <f t="shared" si="10"/>
        <v>100</v>
      </c>
      <c r="T39" s="772" t="s">
        <v>17</v>
      </c>
      <c r="U39" s="773">
        <f t="shared" si="11"/>
        <v>100</v>
      </c>
      <c r="V39" s="772" t="s">
        <v>17</v>
      </c>
      <c r="W39" s="773">
        <f t="shared" si="12"/>
        <v>100</v>
      </c>
      <c r="X39" s="1806"/>
      <c r="Y39" s="3221"/>
      <c r="Z39" s="1807" t="str">
        <f t="shared" si="13"/>
        <v>宗地形状</v>
      </c>
      <c r="AA39" s="1804">
        <f t="shared" si="3"/>
        <v>1</v>
      </c>
      <c r="AB39" s="1804">
        <f t="shared" si="4"/>
        <v>1</v>
      </c>
      <c r="AC39" s="1804">
        <f t="shared" si="5"/>
        <v>1</v>
      </c>
    </row>
    <row r="40" spans="1:29" ht="15">
      <c r="A40" s="471"/>
      <c r="B40" s="421" t="s">
        <v>2733</v>
      </c>
      <c r="C40" s="2597" t="s">
        <v>3111</v>
      </c>
      <c r="D40" s="434">
        <v>100</v>
      </c>
      <c r="E40" s="2597" t="s">
        <v>3111</v>
      </c>
      <c r="F40" s="434">
        <f>SUMIF(121:121,E40,122:122)-SUMIF(121:121,C40,122:122)+100</f>
        <v>100</v>
      </c>
      <c r="G40" s="2597" t="s">
        <v>3111</v>
      </c>
      <c r="H40" s="434">
        <f>SUMIF(121:121,G40,122:122)-SUMIF(121:121,C40,122:122)+100</f>
        <v>100</v>
      </c>
      <c r="I40" s="2597" t="s">
        <v>3111</v>
      </c>
      <c r="J40" s="434">
        <f>SUMIF(121:121,I40,122:122)-SUMIF(121:121,C40,122:122)+100</f>
        <v>100</v>
      </c>
      <c r="K40" s="611">
        <v>2</v>
      </c>
      <c r="L40" s="1135"/>
      <c r="M40" s="1126"/>
      <c r="N40" s="1126"/>
      <c r="O40" s="1134"/>
      <c r="P40" s="3221"/>
      <c r="Q40" s="1803" t="str">
        <f t="shared" si="14"/>
        <v>临街宽度及深度</v>
      </c>
      <c r="R40" s="772" t="s">
        <v>17</v>
      </c>
      <c r="S40" s="773">
        <f t="shared" si="10"/>
        <v>100</v>
      </c>
      <c r="T40" s="772" t="s">
        <v>17</v>
      </c>
      <c r="U40" s="773">
        <f t="shared" si="11"/>
        <v>100</v>
      </c>
      <c r="V40" s="772" t="s">
        <v>17</v>
      </c>
      <c r="W40" s="773">
        <f t="shared" si="12"/>
        <v>100</v>
      </c>
      <c r="X40" s="1806"/>
      <c r="Y40" s="3221"/>
      <c r="Z40" s="1807" t="str">
        <f t="shared" si="13"/>
        <v>临街宽度及深度</v>
      </c>
      <c r="AA40" s="1804">
        <f t="shared" si="3"/>
        <v>1</v>
      </c>
      <c r="AB40" s="1804">
        <f t="shared" si="4"/>
        <v>1</v>
      </c>
      <c r="AC40" s="1804">
        <f t="shared" si="5"/>
        <v>1</v>
      </c>
    </row>
    <row r="41" spans="1:29" s="117" customFormat="1" ht="15">
      <c r="A41" s="472"/>
      <c r="B41" s="421" t="s">
        <v>2734</v>
      </c>
      <c r="C41" s="2685" t="s">
        <v>3116</v>
      </c>
      <c r="D41" s="135">
        <v>100</v>
      </c>
      <c r="E41" s="2685" t="s">
        <v>3116</v>
      </c>
      <c r="F41" s="434">
        <f>SUMIF(123:123,E41,124:124)-SUMIF(123:123,C41,124:124)+100</f>
        <v>100</v>
      </c>
      <c r="G41" s="2685" t="s">
        <v>3116</v>
      </c>
      <c r="H41" s="434">
        <f>SUMIF(123:123,G41,124:124)-SUMIF(123:123,C41,124:124)+100</f>
        <v>100</v>
      </c>
      <c r="I41" s="2685" t="s">
        <v>3116</v>
      </c>
      <c r="J41" s="434">
        <f>SUMIF(123:123,I41,124:124)-SUMIF(123:123,C41,124:124)+100</f>
        <v>100</v>
      </c>
      <c r="K41" s="611">
        <v>1</v>
      </c>
      <c r="L41" s="1127"/>
      <c r="M41" s="1128"/>
      <c r="N41" s="1128"/>
      <c r="O41" s="1129"/>
      <c r="P41" s="3221"/>
      <c r="Q41" s="1803" t="str">
        <f t="shared" si="14"/>
        <v>宗地开发程度</v>
      </c>
      <c r="R41" s="768" t="s">
        <v>17</v>
      </c>
      <c r="S41" s="769">
        <f t="shared" si="10"/>
        <v>100</v>
      </c>
      <c r="T41" s="768" t="s">
        <v>17</v>
      </c>
      <c r="U41" s="769">
        <f t="shared" si="11"/>
        <v>100</v>
      </c>
      <c r="V41" s="768" t="s">
        <v>17</v>
      </c>
      <c r="W41" s="769">
        <f t="shared" si="12"/>
        <v>100</v>
      </c>
      <c r="X41" s="770"/>
      <c r="Y41" s="3221"/>
      <c r="Z41" s="55" t="str">
        <f t="shared" si="13"/>
        <v>宗地开发程度</v>
      </c>
      <c r="AA41" s="771">
        <f t="shared" si="3"/>
        <v>1</v>
      </c>
      <c r="AB41" s="771">
        <f t="shared" si="4"/>
        <v>1</v>
      </c>
      <c r="AC41" s="771">
        <f t="shared" si="5"/>
        <v>1</v>
      </c>
    </row>
    <row r="42" spans="1:29" ht="15.75" thickBot="1">
      <c r="A42" s="471"/>
      <c r="B42" s="421" t="s">
        <v>2735</v>
      </c>
      <c r="C42" s="2597" t="s">
        <v>3049</v>
      </c>
      <c r="D42" s="434">
        <v>100</v>
      </c>
      <c r="E42" s="2597" t="s">
        <v>3049</v>
      </c>
      <c r="F42" s="434">
        <f>SUMIF(125:125,E42,126:126)-SUMIF(125:125,C42,126:126)+100</f>
        <v>100</v>
      </c>
      <c r="G42" s="2597" t="s">
        <v>3049</v>
      </c>
      <c r="H42" s="434">
        <f>SUMIF(125:125,G42,126:126)-SUMIF(125:125,C42,126:126)+100</f>
        <v>100</v>
      </c>
      <c r="I42" s="2597" t="s">
        <v>3049</v>
      </c>
      <c r="J42" s="434">
        <f>SUMIF(125:125,I42,126:126)-SUMIF(125:125,C42,126:126)+100</f>
        <v>100</v>
      </c>
      <c r="K42" s="611">
        <v>2</v>
      </c>
      <c r="L42" s="1135"/>
      <c r="M42" s="1126"/>
      <c r="N42" s="1126"/>
      <c r="O42" s="1134"/>
      <c r="P42" s="3221" t="s">
        <v>2545</v>
      </c>
      <c r="Q42" s="1803" t="str">
        <f t="shared" si="14"/>
        <v>工程地质条件</v>
      </c>
      <c r="R42" s="772" t="s">
        <v>17</v>
      </c>
      <c r="S42" s="773">
        <f t="shared" si="10"/>
        <v>100</v>
      </c>
      <c r="T42" s="772" t="s">
        <v>17</v>
      </c>
      <c r="U42" s="773">
        <f t="shared" si="11"/>
        <v>100</v>
      </c>
      <c r="V42" s="772" t="s">
        <v>17</v>
      </c>
      <c r="W42" s="773">
        <f t="shared" si="12"/>
        <v>100</v>
      </c>
      <c r="X42" s="1806"/>
      <c r="Y42" s="3221" t="s">
        <v>2545</v>
      </c>
      <c r="Z42" s="1807" t="str">
        <f t="shared" si="13"/>
        <v>工程地质条件</v>
      </c>
      <c r="AA42" s="1804">
        <f t="shared" si="3"/>
        <v>1</v>
      </c>
      <c r="AB42" s="1804">
        <f t="shared" si="4"/>
        <v>1</v>
      </c>
      <c r="AC42" s="1804">
        <f t="shared" si="5"/>
        <v>1</v>
      </c>
    </row>
    <row r="43" spans="1:29" ht="15" hidden="1">
      <c r="A43" s="471"/>
      <c r="B43" s="1382">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5"/>
      <c r="M43" s="1126"/>
      <c r="N43" s="1126"/>
      <c r="O43" s="1134"/>
      <c r="P43" s="3221"/>
      <c r="Q43" s="1803">
        <f t="shared" si="14"/>
        <v>111</v>
      </c>
      <c r="R43" s="772" t="s">
        <v>17</v>
      </c>
      <c r="S43" s="773">
        <f t="shared" si="10"/>
        <v>100</v>
      </c>
      <c r="T43" s="772" t="s">
        <v>17</v>
      </c>
      <c r="U43" s="773">
        <f t="shared" si="11"/>
        <v>100</v>
      </c>
      <c r="V43" s="772" t="s">
        <v>17</v>
      </c>
      <c r="W43" s="773">
        <f t="shared" si="12"/>
        <v>100</v>
      </c>
      <c r="X43" s="1806"/>
      <c r="Y43" s="3221"/>
      <c r="Z43" s="1807">
        <f t="shared" si="13"/>
        <v>111</v>
      </c>
      <c r="AA43" s="1804">
        <f t="shared" si="3"/>
        <v>1</v>
      </c>
      <c r="AB43" s="1804">
        <f t="shared" si="4"/>
        <v>1</v>
      </c>
      <c r="AC43" s="1804">
        <f t="shared" si="5"/>
        <v>1</v>
      </c>
    </row>
    <row r="44" spans="1:29" ht="15" hidden="1">
      <c r="A44" s="471"/>
      <c r="B44" s="1382">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5"/>
      <c r="M44" s="1126"/>
      <c r="N44" s="1126"/>
      <c r="O44" s="1134"/>
      <c r="P44" s="3221"/>
      <c r="Q44" s="1803">
        <f t="shared" si="14"/>
        <v>111</v>
      </c>
      <c r="R44" s="772" t="s">
        <v>17</v>
      </c>
      <c r="S44" s="773">
        <f t="shared" si="10"/>
        <v>100</v>
      </c>
      <c r="T44" s="772" t="s">
        <v>17</v>
      </c>
      <c r="U44" s="773">
        <f t="shared" si="11"/>
        <v>100</v>
      </c>
      <c r="V44" s="772" t="s">
        <v>17</v>
      </c>
      <c r="W44" s="773">
        <f t="shared" si="12"/>
        <v>100</v>
      </c>
      <c r="X44" s="1806"/>
      <c r="Y44" s="3221"/>
      <c r="Z44" s="1807">
        <f t="shared" si="13"/>
        <v>111</v>
      </c>
      <c r="AA44" s="1804">
        <f t="shared" si="3"/>
        <v>1</v>
      </c>
      <c r="AB44" s="1804">
        <f t="shared" si="4"/>
        <v>1</v>
      </c>
      <c r="AC44" s="1804">
        <f t="shared" si="5"/>
        <v>1</v>
      </c>
    </row>
    <row r="45" spans="1:29" s="470" customFormat="1" ht="15.75" hidden="1" thickBot="1">
      <c r="A45" s="467"/>
      <c r="B45" s="1382">
        <v>111</v>
      </c>
      <c r="C45" s="2686"/>
      <c r="D45" s="678">
        <v>100</v>
      </c>
      <c r="E45" s="672"/>
      <c r="F45" s="437">
        <f>SUMIF(131:131,E45,132:132)-SUMIF(131:131,C45,132:132)+100</f>
        <v>100</v>
      </c>
      <c r="G45" s="672"/>
      <c r="H45" s="437">
        <f>SUMIF(131:131,G45,132:132)-SUMIF(131:131,C45,132:132)+100</f>
        <v>100</v>
      </c>
      <c r="I45" s="672"/>
      <c r="J45" s="437">
        <f>SUMIF(131:131,I45,132:132)-SUMIF(131:131,C45,132:132)+100</f>
        <v>100</v>
      </c>
      <c r="K45" s="679"/>
      <c r="L45" s="1133"/>
      <c r="M45" s="1136"/>
      <c r="N45" s="1136"/>
      <c r="O45" s="1137"/>
      <c r="P45" s="3221"/>
      <c r="Q45" s="1803">
        <f t="shared" si="14"/>
        <v>111</v>
      </c>
      <c r="R45" s="775" t="s">
        <v>17</v>
      </c>
      <c r="S45" s="776">
        <f t="shared" si="10"/>
        <v>100</v>
      </c>
      <c r="T45" s="775" t="s">
        <v>17</v>
      </c>
      <c r="U45" s="776">
        <f t="shared" si="11"/>
        <v>100</v>
      </c>
      <c r="V45" s="775" t="s">
        <v>17</v>
      </c>
      <c r="W45" s="776">
        <f t="shared" si="12"/>
        <v>100</v>
      </c>
      <c r="X45" s="777"/>
      <c r="Y45" s="3221"/>
      <c r="Z45" s="778">
        <f t="shared" si="13"/>
        <v>111</v>
      </c>
      <c r="AA45" s="1804">
        <f t="shared" si="3"/>
        <v>1</v>
      </c>
      <c r="AB45" s="1804">
        <f t="shared" si="4"/>
        <v>1</v>
      </c>
      <c r="AC45" s="1804">
        <f t="shared" si="5"/>
        <v>1</v>
      </c>
    </row>
    <row r="46" spans="1:29" ht="15">
      <c r="A46" s="478" t="s">
        <v>2700</v>
      </c>
      <c r="B46" s="2687" t="s">
        <v>3161</v>
      </c>
      <c r="C46" s="680" t="s">
        <v>1</v>
      </c>
      <c r="D46" s="480"/>
      <c r="E46" s="481">
        <f>'土地案例+位置图'!AL2</f>
        <v>558</v>
      </c>
      <c r="F46" s="482"/>
      <c r="G46" s="483">
        <f>ROUND('土地案例+位置图'!AL3,0)</f>
        <v>562</v>
      </c>
      <c r="H46" s="484"/>
      <c r="I46" s="481">
        <f>ROUND('土地案例+位置图'!AL4,0)</f>
        <v>559</v>
      </c>
      <c r="J46" s="484"/>
      <c r="K46" s="781"/>
      <c r="L46" s="1138"/>
      <c r="M46" s="1139"/>
      <c r="N46" s="1126"/>
      <c r="O46" s="1139"/>
      <c r="P46" s="3201" t="str">
        <f>A46</f>
        <v>成交单价</v>
      </c>
      <c r="Q46" s="3201"/>
      <c r="R46" s="3218">
        <f>E46</f>
        <v>558</v>
      </c>
      <c r="S46" s="3218"/>
      <c r="T46" s="3218">
        <f>G46</f>
        <v>562</v>
      </c>
      <c r="U46" s="3218"/>
      <c r="V46" s="3218">
        <f>I46</f>
        <v>559</v>
      </c>
      <c r="W46" s="3218"/>
      <c r="X46" s="757"/>
      <c r="Y46" s="779"/>
      <c r="Z46" s="757"/>
      <c r="AA46" s="757"/>
      <c r="AB46" s="757"/>
      <c r="AC46" s="757"/>
    </row>
    <row r="47" spans="1:29" ht="15.75" thickBot="1">
      <c r="A47" s="485" t="s">
        <v>2649</v>
      </c>
      <c r="B47" s="681"/>
      <c r="C47" s="489">
        <f>R48</f>
        <v>422</v>
      </c>
      <c r="D47" s="488"/>
      <c r="E47" s="489">
        <f>R47</f>
        <v>421</v>
      </c>
      <c r="F47" s="490"/>
      <c r="G47" s="487">
        <f>T47</f>
        <v>424</v>
      </c>
      <c r="H47" s="488"/>
      <c r="I47" s="489">
        <f>V47</f>
        <v>422</v>
      </c>
      <c r="J47" s="488"/>
      <c r="K47" s="782"/>
      <c r="L47" s="1138"/>
      <c r="M47" s="1139"/>
      <c r="N47" s="1139"/>
      <c r="O47" s="1139"/>
      <c r="P47" s="3201" t="str">
        <f>A47</f>
        <v>比较价值（元/平方米）</v>
      </c>
      <c r="Q47" s="3201"/>
      <c r="R47" s="3240">
        <f>ROUND(PRODUCT(R46,AA7:AA45),0)</f>
        <v>421</v>
      </c>
      <c r="S47" s="3240"/>
      <c r="T47" s="3240">
        <f>ROUND(PRODUCT(T46,AB7:AB45),0)</f>
        <v>424</v>
      </c>
      <c r="U47" s="3240"/>
      <c r="V47" s="3240">
        <f>ROUND(PRODUCT(V46,AC7:AC45),0)</f>
        <v>422</v>
      </c>
      <c r="W47" s="3240"/>
      <c r="X47" s="757"/>
      <c r="Y47" s="757"/>
      <c r="Z47" s="757"/>
      <c r="AA47" s="757"/>
      <c r="AB47" s="757"/>
      <c r="AC47" s="757"/>
    </row>
    <row r="48" spans="1:29" ht="15.75" thickBot="1">
      <c r="A48" s="491" t="s">
        <v>2736</v>
      </c>
      <c r="B48" s="492"/>
      <c r="C48" s="493">
        <f>R48</f>
        <v>422</v>
      </c>
      <c r="D48" s="493"/>
      <c r="E48" s="493"/>
      <c r="F48" s="493"/>
      <c r="G48" s="493"/>
      <c r="H48" s="493"/>
      <c r="I48" s="493"/>
      <c r="J48" s="493"/>
      <c r="K48" s="783"/>
      <c r="L48" s="1138"/>
      <c r="M48" s="1139"/>
      <c r="N48" s="1139"/>
      <c r="O48" s="1139"/>
      <c r="P48" s="3237" t="str">
        <f>A48</f>
        <v>估价对象XX用房的比较价值（楼面单价，元/平方米）</v>
      </c>
      <c r="Q48" s="3238"/>
      <c r="R48" s="3239">
        <f>ROUND(AVERAGE(R47:V47),0)</f>
        <v>422</v>
      </c>
      <c r="S48" s="3239"/>
      <c r="T48" s="3239"/>
      <c r="U48" s="3239"/>
      <c r="V48" s="3239"/>
      <c r="W48" s="3239"/>
      <c r="X48" s="757"/>
      <c r="Y48" s="757"/>
      <c r="Z48" s="757"/>
      <c r="AA48" s="757"/>
      <c r="AB48" s="757"/>
      <c r="AC48" s="757"/>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6" t="s">
        <v>2651</v>
      </c>
      <c r="D51" s="497"/>
      <c r="E51" s="498">
        <f>IF(E46&lt;E47,E47/E46-1,E46/E47-1)</f>
        <v>0.32541567695961993</v>
      </c>
      <c r="F51" s="499" t="str">
        <f>IF(OR(E51&gt;=0.3,E51&lt;=-0.3),"超过30%","")</f>
        <v>超过30%</v>
      </c>
      <c r="G51" s="498">
        <f>IF(G46&lt;G47,G47/G46-1,G46/G47-1)</f>
        <v>0.32547169811320753</v>
      </c>
      <c r="H51" s="499" t="str">
        <f>IF(OR(G51&gt;=0.3,G51&lt;=-0.3),"超过30%","")</f>
        <v>超过30%</v>
      </c>
      <c r="I51" s="498">
        <f>IF(I46&lt;I47,I47/I46-1,I46/I47-1)</f>
        <v>0.32464454976303325</v>
      </c>
      <c r="J51" s="499" t="str">
        <f>IF(OR(I51&gt;=0.3,I51&lt;=-0.3),"超过30%","")</f>
        <v>超过30%</v>
      </c>
      <c r="K51" s="1100"/>
      <c r="L51" s="1101"/>
      <c r="M51" s="1139"/>
      <c r="N51" s="1139"/>
      <c r="O51" s="1139"/>
    </row>
    <row r="52" spans="1:15" ht="13.5" customHeight="1">
      <c r="A52" s="1139"/>
      <c r="B52" s="1139"/>
      <c r="C52" s="496" t="s">
        <v>2652</v>
      </c>
      <c r="D52" s="500"/>
      <c r="E52" s="498">
        <f>IF(E47&lt;G47,G47/E47-1,E47/G47-1)</f>
        <v>7.1258907363420665E-3</v>
      </c>
      <c r="F52" s="499" t="str">
        <f>IF(OR(E52&gt;=0.2,E52&lt;=-0.2),"超过20%","")</f>
        <v/>
      </c>
      <c r="G52" s="498">
        <f>IF(G47&lt;I47,I47/G47-1,G47/I47-1)</f>
        <v>4.7393364928909332E-3</v>
      </c>
      <c r="H52" s="499" t="str">
        <f>IF(OR(G52&gt;=0.2,G52&lt;=-0.2),"超过20%","")</f>
        <v/>
      </c>
      <c r="I52" s="498">
        <f>IF(I47&lt;E47,E47/I47-1,I47/E47-1)</f>
        <v>2.3752969121140222E-3</v>
      </c>
      <c r="J52" s="499" t="str">
        <f>IF(OR(I52&gt;=0.2,I52&lt;=-0.2),"超过20%","")</f>
        <v/>
      </c>
      <c r="K52" s="1100"/>
      <c r="L52" s="1101"/>
      <c r="M52" s="1139"/>
      <c r="N52" s="1139"/>
      <c r="O52" s="1139"/>
    </row>
    <row r="53" spans="1:15" s="501" customFormat="1" ht="13.5" customHeight="1">
      <c r="A53" s="1140"/>
      <c r="B53" s="1140"/>
      <c r="C53" s="496" t="s">
        <v>2653</v>
      </c>
      <c r="D53" s="500"/>
      <c r="E53" s="498">
        <f>IF(E46&lt;G46,G46/E46-1,E46/G46-1)</f>
        <v>7.1684587813620748E-3</v>
      </c>
      <c r="F53" s="499" t="str">
        <f>IF(OR(E53&gt;=0.3,E53&lt;=-0.3),"超过30%","")</f>
        <v/>
      </c>
      <c r="G53" s="498">
        <f>IF(G46&lt;I46,I46/G46-1,G46/I46-1)</f>
        <v>5.3667262969587792E-3</v>
      </c>
      <c r="H53" s="499" t="str">
        <f>IF(OR(G53&gt;=0.3,G53&lt;=-0.3),"超过30%","")</f>
        <v/>
      </c>
      <c r="I53" s="498">
        <f>IF(I46&lt;E46,E46/I46-1,I46/E46-1)</f>
        <v>1.7921146953405742E-3</v>
      </c>
      <c r="J53" s="499" t="str">
        <f>IF(OR(I53&gt;=0.3,I53&lt;=-0.3),"超过30%","")</f>
        <v/>
      </c>
      <c r="K53" s="1143"/>
      <c r="L53" s="1144"/>
      <c r="M53" s="1140"/>
      <c r="N53" s="1140"/>
      <c r="O53" s="1140"/>
    </row>
    <row r="54" spans="1:15" s="501" customFormat="1" ht="15" thickBot="1">
      <c r="A54" s="1140"/>
      <c r="B54" s="1141"/>
      <c r="C54" s="760"/>
      <c r="D54" s="758"/>
      <c r="E54" s="758"/>
      <c r="F54" s="758"/>
      <c r="G54" s="758"/>
      <c r="H54" s="758"/>
      <c r="I54" s="758"/>
      <c r="J54" s="758"/>
      <c r="K54" s="1143"/>
      <c r="L54" s="1144"/>
      <c r="M54" s="1140"/>
      <c r="N54" s="1140"/>
      <c r="O54" s="1140"/>
    </row>
    <row r="55" spans="1:15" ht="27" customHeight="1">
      <c r="A55" s="682" t="s">
        <v>2737</v>
      </c>
      <c r="B55" s="683" t="s">
        <v>2738</v>
      </c>
      <c r="C55" s="2688" t="s">
        <v>2739</v>
      </c>
      <c r="D55" s="2689" t="s">
        <v>2740</v>
      </c>
      <c r="E55" s="684" t="s">
        <v>2741</v>
      </c>
      <c r="F55" s="1102" t="s">
        <v>2742</v>
      </c>
      <c r="G55" s="3198" t="s">
        <v>2743</v>
      </c>
      <c r="H55" s="3199"/>
      <c r="I55" s="143" t="s">
        <v>2744</v>
      </c>
      <c r="J55" s="2690" t="str">
        <f>项目基本情况!F35</f>
        <v>河北省</v>
      </c>
      <c r="K55" s="2691" t="s">
        <v>2745</v>
      </c>
      <c r="L55" s="1101"/>
      <c r="M55" s="1139"/>
      <c r="N55" s="1139"/>
      <c r="O55" s="1139"/>
    </row>
    <row r="56" spans="1:15" s="690" customFormat="1">
      <c r="A56" s="686" t="s">
        <v>2746</v>
      </c>
      <c r="B56" s="687">
        <f>C48</f>
        <v>422</v>
      </c>
      <c r="C56" s="688">
        <v>1</v>
      </c>
      <c r="D56" s="1158">
        <v>1</v>
      </c>
      <c r="E56" s="688">
        <f>'数据-汇总表'!E8+'数据-汇总表'!E9</f>
        <v>7581.01</v>
      </c>
      <c r="F56" s="1098">
        <f t="shared" ref="F56:F65" si="15">ROUND(B56*E56/10000,0)</f>
        <v>320</v>
      </c>
      <c r="G56" s="3200"/>
      <c r="H56" s="3201"/>
      <c r="I56" s="1103">
        <v>1</v>
      </c>
      <c r="J56" s="1106">
        <v>1</v>
      </c>
      <c r="K56" s="1140"/>
      <c r="L56" s="937"/>
      <c r="M56" s="937"/>
      <c r="N56" s="937"/>
      <c r="O56" s="937"/>
    </row>
    <row r="57" spans="1:15" s="690" customFormat="1">
      <c r="A57" s="691" t="s">
        <v>2747</v>
      </c>
      <c r="B57" s="261">
        <f>ROUND($C$48*C57*D57,0)</f>
        <v>0</v>
      </c>
      <c r="C57" s="199">
        <f t="shared" ref="C57:C65" si="16">IF($C$55="北京市系数",I57,J57)</f>
        <v>0</v>
      </c>
      <c r="D57" s="1159">
        <v>0.25</v>
      </c>
      <c r="E57" s="692">
        <f>'数据-汇总表'!G20</f>
        <v>0</v>
      </c>
      <c r="F57" s="1098">
        <f t="shared" si="15"/>
        <v>0</v>
      </c>
      <c r="G57" s="3202" t="s">
        <v>2748</v>
      </c>
      <c r="H57" s="1099">
        <f>项目基本情况!B37</f>
        <v>0</v>
      </c>
      <c r="I57" s="1103">
        <f>SUMIF(修正!A45:A56,H57,修正!B45:B56)</f>
        <v>0</v>
      </c>
      <c r="J57" s="1107"/>
      <c r="K57" s="1139"/>
      <c r="L57" s="937"/>
      <c r="M57" s="937"/>
      <c r="N57" s="937"/>
      <c r="O57" s="937"/>
    </row>
    <row r="58" spans="1:15" s="690" customFormat="1">
      <c r="A58" s="691" t="s">
        <v>2749</v>
      </c>
      <c r="B58" s="261">
        <f t="shared" ref="B58:B65" si="17">ROUND($C$48*C58*D58,0)</f>
        <v>0</v>
      </c>
      <c r="C58" s="199">
        <f t="shared" si="16"/>
        <v>0</v>
      </c>
      <c r="D58" s="1159">
        <v>0.25</v>
      </c>
      <c r="E58" s="692"/>
      <c r="F58" s="1098">
        <f t="shared" si="15"/>
        <v>0</v>
      </c>
      <c r="G58" s="3202"/>
      <c r="H58" s="1099">
        <f>项目基本情况!B37</f>
        <v>0</v>
      </c>
      <c r="I58" s="1103">
        <f>SUMIF(修正!A45:A56,H58,修正!C45:C56)</f>
        <v>0</v>
      </c>
      <c r="J58" s="1107"/>
      <c r="K58" s="1140"/>
      <c r="L58" s="937"/>
      <c r="M58" s="937"/>
      <c r="N58" s="937"/>
      <c r="O58" s="937"/>
    </row>
    <row r="59" spans="1:15" s="690" customFormat="1">
      <c r="A59" s="691" t="s">
        <v>2750</v>
      </c>
      <c r="B59" s="261">
        <f t="shared" si="17"/>
        <v>0</v>
      </c>
      <c r="C59" s="199">
        <f t="shared" si="16"/>
        <v>0</v>
      </c>
      <c r="D59" s="1159">
        <v>0.25</v>
      </c>
      <c r="E59" s="692"/>
      <c r="F59" s="1098">
        <f t="shared" si="15"/>
        <v>0</v>
      </c>
      <c r="G59" s="3202"/>
      <c r="H59" s="1099">
        <f>项目基本情况!B37</f>
        <v>0</v>
      </c>
      <c r="I59" s="1103">
        <f>SUMIF(修正!A45:A56,H59,修正!D45:D56)</f>
        <v>0</v>
      </c>
      <c r="J59" s="1107"/>
      <c r="K59" s="1139"/>
      <c r="L59" s="937"/>
      <c r="M59" s="937"/>
      <c r="N59" s="937"/>
      <c r="O59" s="937"/>
    </row>
    <row r="60" spans="1:15" s="690" customFormat="1">
      <c r="A60" s="691" t="s">
        <v>2751</v>
      </c>
      <c r="B60" s="261">
        <f t="shared" si="17"/>
        <v>0</v>
      </c>
      <c r="C60" s="199">
        <f t="shared" si="16"/>
        <v>0</v>
      </c>
      <c r="D60" s="1159">
        <v>0.25</v>
      </c>
      <c r="E60" s="692"/>
      <c r="F60" s="1098">
        <f t="shared" si="15"/>
        <v>0</v>
      </c>
      <c r="G60" s="3202"/>
      <c r="H60" s="1099">
        <f>项目基本情况!B37</f>
        <v>0</v>
      </c>
      <c r="I60" s="1103">
        <f>SUMIF(修正!A45:A56,H60,修正!E45:E56)</f>
        <v>0</v>
      </c>
      <c r="J60" s="1107"/>
      <c r="K60" s="1140"/>
      <c r="L60" s="937"/>
      <c r="M60" s="937"/>
      <c r="N60" s="937"/>
      <c r="O60" s="937"/>
    </row>
    <row r="61" spans="1:15" s="690" customFormat="1">
      <c r="A61" s="691" t="s">
        <v>2752</v>
      </c>
      <c r="B61" s="261">
        <f t="shared" si="17"/>
        <v>0</v>
      </c>
      <c r="C61" s="199">
        <f t="shared" si="16"/>
        <v>0</v>
      </c>
      <c r="D61" s="1159">
        <v>0.25</v>
      </c>
      <c r="E61" s="260">
        <f>'数据-汇总表'!E11</f>
        <v>0</v>
      </c>
      <c r="F61" s="1098">
        <f t="shared" si="15"/>
        <v>0</v>
      </c>
      <c r="G61" s="2692" t="s">
        <v>2753</v>
      </c>
      <c r="H61" s="1099">
        <f>项目基本情况!C37</f>
        <v>0</v>
      </c>
      <c r="I61" s="1103">
        <f>SUMIF(修正!A45:A56,H61,修正!F45:F56)</f>
        <v>0</v>
      </c>
      <c r="J61" s="1107"/>
      <c r="K61" s="1139"/>
      <c r="L61" s="937"/>
      <c r="M61" s="937"/>
      <c r="N61" s="937"/>
      <c r="O61" s="937"/>
    </row>
    <row r="62" spans="1:15" s="690" customFormat="1">
      <c r="A62" s="691" t="s">
        <v>2754</v>
      </c>
      <c r="B62" s="261">
        <f t="shared" si="17"/>
        <v>0</v>
      </c>
      <c r="C62" s="199">
        <f t="shared" si="16"/>
        <v>0</v>
      </c>
      <c r="D62" s="1159">
        <v>0.25</v>
      </c>
      <c r="E62" s="260">
        <f>'数据-汇总表'!E12</f>
        <v>0</v>
      </c>
      <c r="F62" s="1098">
        <f t="shared" si="15"/>
        <v>0</v>
      </c>
      <c r="G62" s="1104" t="s">
        <v>27</v>
      </c>
      <c r="H62" s="1099">
        <f>IF(G62="商业",项目基本情况!B37,IF(G62="办公",项目基本情况!C37,IF(G62="住宅",项目基本情况!D37,项目基本情况!E37)))</f>
        <v>0</v>
      </c>
      <c r="I62" s="1103">
        <f>SUMIF(修正!A45:A56,H62,修正!G45:G56)</f>
        <v>0</v>
      </c>
      <c r="J62" s="1107"/>
      <c r="K62" s="1140"/>
      <c r="L62" s="937"/>
      <c r="M62" s="937"/>
      <c r="N62" s="937"/>
      <c r="O62" s="937"/>
    </row>
    <row r="63" spans="1:15" s="690" customFormat="1">
      <c r="A63" s="691" t="s">
        <v>2756</v>
      </c>
      <c r="B63" s="261">
        <f t="shared" si="17"/>
        <v>0</v>
      </c>
      <c r="C63" s="199">
        <f t="shared" si="16"/>
        <v>0</v>
      </c>
      <c r="D63" s="1159">
        <v>0.25</v>
      </c>
      <c r="E63" s="260">
        <f>'数据-汇总表'!E13</f>
        <v>0</v>
      </c>
      <c r="F63" s="1098">
        <f t="shared" si="15"/>
        <v>0</v>
      </c>
      <c r="G63" s="1104" t="s">
        <v>3225</v>
      </c>
      <c r="H63" s="1099">
        <f>IF(G63="商业",项目基本情况!B37,IF(G63="办公",项目基本情况!C37,IF(G63="住宅",项目基本情况!D37,项目基本情况!E37)))</f>
        <v>0</v>
      </c>
      <c r="I63" s="1103">
        <f>SUMIF(修正!A45:A56,H63,修正!H45:H56)</f>
        <v>0</v>
      </c>
      <c r="J63" s="1107"/>
      <c r="K63" s="1139"/>
      <c r="L63" s="937"/>
      <c r="M63" s="937"/>
      <c r="N63" s="937"/>
      <c r="O63" s="937"/>
    </row>
    <row r="64" spans="1:15" s="690" customFormat="1">
      <c r="A64" s="691" t="s">
        <v>2758</v>
      </c>
      <c r="B64" s="261">
        <f t="shared" si="17"/>
        <v>0</v>
      </c>
      <c r="C64" s="199">
        <f t="shared" si="16"/>
        <v>0</v>
      </c>
      <c r="D64" s="1159">
        <v>0.25</v>
      </c>
      <c r="E64" s="260">
        <f>'数据-汇总表'!E14</f>
        <v>0</v>
      </c>
      <c r="F64" s="1098">
        <f t="shared" si="15"/>
        <v>0</v>
      </c>
      <c r="G64" s="2692" t="s">
        <v>2748</v>
      </c>
      <c r="H64" s="1099">
        <f>项目基本情况!B37</f>
        <v>0</v>
      </c>
      <c r="I64" s="1103">
        <f>SUMIF(修正!A45:A56,H64,修正!H45:H56)</f>
        <v>0</v>
      </c>
      <c r="J64" s="1107"/>
      <c r="K64" s="1140"/>
      <c r="L64" s="937"/>
      <c r="M64" s="937"/>
      <c r="N64" s="937"/>
      <c r="O64" s="937"/>
    </row>
    <row r="65" spans="1:17" s="690" customFormat="1" ht="15" thickBot="1">
      <c r="A65" s="691" t="s">
        <v>2759</v>
      </c>
      <c r="B65" s="261">
        <f t="shared" si="17"/>
        <v>0</v>
      </c>
      <c r="C65" s="199">
        <f t="shared" si="16"/>
        <v>0</v>
      </c>
      <c r="D65" s="1159">
        <v>0.25</v>
      </c>
      <c r="E65" s="260">
        <f>'数据-汇总表'!E15</f>
        <v>0</v>
      </c>
      <c r="F65" s="1098">
        <f t="shared" si="15"/>
        <v>0</v>
      </c>
      <c r="G65" s="2693" t="s">
        <v>2753</v>
      </c>
      <c r="H65" s="1109">
        <f>项目基本情况!C37</f>
        <v>0</v>
      </c>
      <c r="I65" s="1105">
        <f>SUMIF(修正!A45:A56,H65,修正!H45:H56)</f>
        <v>0</v>
      </c>
      <c r="J65" s="1108"/>
      <c r="K65" s="1139"/>
      <c r="L65" s="937"/>
      <c r="M65" s="937"/>
      <c r="N65" s="937"/>
      <c r="O65" s="937"/>
    </row>
    <row r="66" spans="1:17" s="690" customFormat="1" ht="13.5" thickBot="1">
      <c r="A66" s="693" t="s">
        <v>2760</v>
      </c>
      <c r="B66" s="694" t="s">
        <v>28</v>
      </c>
      <c r="C66" s="694" t="s">
        <v>29</v>
      </c>
      <c r="D66" s="694" t="s">
        <v>1029</v>
      </c>
      <c r="E66" s="694">
        <f>IF(B46="楼面地价",SUM(E56:E65),'数据-汇总表'!D3)</f>
        <v>39950.5</v>
      </c>
      <c r="F66" s="695">
        <f>IF(B46="楼面地价",SUM(F56:F65),ROUND(C48*E66/10000,0))</f>
        <v>1686</v>
      </c>
      <c r="G66" s="785"/>
      <c r="H66" s="785"/>
      <c r="I66" s="785"/>
      <c r="J66" s="785"/>
      <c r="K66" s="1153"/>
      <c r="L66" s="937"/>
      <c r="M66" s="937"/>
      <c r="N66" s="937"/>
      <c r="O66" s="937"/>
    </row>
    <row r="67" spans="1:17">
      <c r="A67" s="757"/>
      <c r="B67" s="759"/>
      <c r="C67" s="760"/>
      <c r="D67" s="757"/>
      <c r="E67" s="757"/>
      <c r="F67" s="757"/>
      <c r="G67" s="757"/>
      <c r="H67" s="757"/>
      <c r="I67" s="757"/>
      <c r="J67" s="1139"/>
      <c r="K67" s="1100"/>
      <c r="L67" s="1101"/>
      <c r="M67" s="1139"/>
      <c r="N67" s="1139"/>
      <c r="O67" s="1139"/>
    </row>
    <row r="68" spans="1:17">
      <c r="A68" s="757"/>
      <c r="B68" s="759"/>
      <c r="C68" s="759" t="str">
        <f>YEAR(C7)&amp;"-"&amp;MONTH(C7)&amp;"-1"</f>
        <v>2018-4-1</v>
      </c>
      <c r="D68" s="759">
        <f>EDATE(C68,-3)</f>
        <v>43101</v>
      </c>
      <c r="E68" s="759">
        <f>EDATE(D68,-3)</f>
        <v>43009</v>
      </c>
      <c r="F68" s="759">
        <f t="shared" ref="F68:O68" si="18">EDATE(E68,-3)</f>
        <v>42917</v>
      </c>
      <c r="G68" s="759">
        <f t="shared" si="18"/>
        <v>42826</v>
      </c>
      <c r="H68" s="759">
        <f t="shared" si="18"/>
        <v>42736</v>
      </c>
      <c r="I68" s="759">
        <f t="shared" si="18"/>
        <v>42644</v>
      </c>
      <c r="J68" s="759">
        <f t="shared" si="18"/>
        <v>42552</v>
      </c>
      <c r="K68" s="759">
        <f t="shared" si="18"/>
        <v>42461</v>
      </c>
      <c r="L68" s="759">
        <f t="shared" si="18"/>
        <v>42370</v>
      </c>
      <c r="M68" s="759">
        <f t="shared" si="18"/>
        <v>42278</v>
      </c>
      <c r="N68" s="759">
        <f t="shared" si="18"/>
        <v>42186</v>
      </c>
      <c r="O68" s="759">
        <f t="shared" si="18"/>
        <v>42095</v>
      </c>
    </row>
    <row r="69" spans="1:17" ht="21.75" thickBot="1">
      <c r="A69" s="761" t="s">
        <v>2654</v>
      </c>
      <c r="B69" s="757"/>
      <c r="C69" s="762"/>
      <c r="D69" s="762"/>
      <c r="E69" s="762"/>
      <c r="F69" s="763"/>
      <c r="G69" s="763"/>
      <c r="H69" s="762"/>
      <c r="I69" s="762"/>
      <c r="J69" s="1154"/>
      <c r="K69" s="1155"/>
      <c r="L69" s="1156"/>
      <c r="M69" s="1154"/>
      <c r="N69" s="1154"/>
      <c r="O69" s="1154"/>
      <c r="P69" s="502"/>
      <c r="Q69" s="503"/>
    </row>
    <row r="70" spans="1:17" s="507" customFormat="1" ht="15">
      <c r="A70" s="2694" t="s">
        <v>2761</v>
      </c>
      <c r="B70" s="1354"/>
      <c r="C70" s="1565" t="str">
        <f>YEAR(C68)&amp;"-"&amp;ROUNDUP(MONTH(C68)/3,0)</f>
        <v>2018-2</v>
      </c>
      <c r="D70" s="1565" t="str">
        <f>YEAR(D68)&amp;"-"&amp;ROUNDUP(MONTH(D68)/3,0)</f>
        <v>2018-1</v>
      </c>
      <c r="E70" s="1565" t="str">
        <f t="shared" ref="E70:O70" si="19">YEAR(E68)&amp;"-"&amp;ROUNDUP(MONTH(E68)/3,0)</f>
        <v>2017-4</v>
      </c>
      <c r="F70" s="1565" t="str">
        <f t="shared" si="19"/>
        <v>2017-3</v>
      </c>
      <c r="G70" s="1565" t="str">
        <f t="shared" si="19"/>
        <v>2017-2</v>
      </c>
      <c r="H70" s="1565" t="str">
        <f t="shared" si="19"/>
        <v>2017-1</v>
      </c>
      <c r="I70" s="1565" t="str">
        <f t="shared" si="19"/>
        <v>2016-4</v>
      </c>
      <c r="J70" s="1565" t="str">
        <f t="shared" si="19"/>
        <v>2016-3</v>
      </c>
      <c r="K70" s="1565" t="str">
        <f t="shared" si="19"/>
        <v>2016-2</v>
      </c>
      <c r="L70" s="1565" t="str">
        <f t="shared" si="19"/>
        <v>2016-1</v>
      </c>
      <c r="M70" s="1565" t="str">
        <f t="shared" si="19"/>
        <v>2015-4</v>
      </c>
      <c r="N70" s="1565" t="str">
        <f t="shared" si="19"/>
        <v>2015-3</v>
      </c>
      <c r="O70" s="1565" t="str">
        <f t="shared" si="19"/>
        <v>2015-2</v>
      </c>
      <c r="P70" s="506"/>
    </row>
    <row r="71" spans="1:17" s="117" customFormat="1" ht="30" customHeight="1">
      <c r="A71" s="2695" t="s">
        <v>2762</v>
      </c>
      <c r="B71" s="331" t="str">
        <f>"北京市平均增长率"&amp;TEXT(SUMIF(基准地价修正!N21:N25,A71,基准地价修正!P21:P25),"0.00%")</f>
        <v>北京市平均增长率2.41%</v>
      </c>
      <c r="C71" s="602">
        <v>100</v>
      </c>
      <c r="D71" s="594">
        <f>C71-1</f>
        <v>99</v>
      </c>
      <c r="E71" s="594">
        <f t="shared" ref="E71:O71" si="20">D71-1</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03"/>
    </row>
    <row r="72" spans="1:17" s="117" customFormat="1" ht="15.75" thickBot="1">
      <c r="A72" s="514" t="s">
        <v>2565</v>
      </c>
      <c r="B72" s="515"/>
      <c r="C72" s="516"/>
      <c r="D72" s="517"/>
      <c r="E72" s="517"/>
      <c r="F72" s="517"/>
      <c r="G72" s="517"/>
      <c r="H72" s="517"/>
      <c r="I72" s="517"/>
      <c r="J72" s="517"/>
      <c r="K72" s="517"/>
      <c r="L72" s="517"/>
      <c r="M72" s="518"/>
      <c r="N72" s="517"/>
      <c r="O72" s="1157"/>
      <c r="P72" s="503"/>
      <c r="Q72" s="503"/>
    </row>
    <row r="73" spans="1:17" s="117" customFormat="1" ht="15">
      <c r="A73" s="520" t="s">
        <v>2530</v>
      </c>
      <c r="B73" s="509"/>
      <c r="C73" s="521" t="s">
        <v>2632</v>
      </c>
      <c r="D73" s="522"/>
      <c r="E73" s="522"/>
      <c r="F73" s="522"/>
      <c r="G73" s="522"/>
      <c r="H73" s="522"/>
      <c r="I73" s="522"/>
      <c r="J73" s="522"/>
      <c r="K73" s="522"/>
      <c r="L73" s="523"/>
      <c r="M73" s="524"/>
      <c r="N73" s="1146"/>
      <c r="O73" s="1146"/>
      <c r="P73" s="525"/>
      <c r="Q73" s="503"/>
    </row>
    <row r="74" spans="1:17" s="117" customFormat="1" ht="15.75" thickBot="1">
      <c r="A74" s="520"/>
      <c r="B74" s="509"/>
      <c r="C74" s="637">
        <v>100</v>
      </c>
      <c r="D74" s="511"/>
      <c r="E74" s="511"/>
      <c r="F74" s="511"/>
      <c r="G74" s="511"/>
      <c r="H74" s="511"/>
      <c r="I74" s="511"/>
      <c r="J74" s="511"/>
      <c r="K74" s="511"/>
      <c r="L74" s="511"/>
      <c r="M74" s="513"/>
      <c r="N74" s="1146"/>
      <c r="O74" s="1146"/>
      <c r="P74" s="503"/>
      <c r="Q74" s="503"/>
    </row>
    <row r="75" spans="1:17">
      <c r="A75" s="526" t="s">
        <v>2568</v>
      </c>
      <c r="B75" s="527" t="s">
        <v>2534</v>
      </c>
      <c r="C75" s="2943" t="s">
        <v>3103</v>
      </c>
      <c r="D75" s="529"/>
      <c r="E75" s="529"/>
      <c r="F75" s="529"/>
      <c r="G75" s="529"/>
      <c r="H75" s="529"/>
      <c r="I75" s="529"/>
      <c r="J75" s="529"/>
      <c r="K75" s="530"/>
      <c r="L75" s="531"/>
      <c r="M75" s="532"/>
      <c r="N75" s="1147"/>
      <c r="O75" s="1147"/>
      <c r="P75" s="45"/>
      <c r="Q75" s="503"/>
    </row>
    <row r="76" spans="1:17" ht="15.75" thickBot="1">
      <c r="A76" s="533"/>
      <c r="B76" s="534"/>
      <c r="C76" s="535">
        <v>100</v>
      </c>
      <c r="D76" s="535"/>
      <c r="E76" s="535"/>
      <c r="F76" s="535"/>
      <c r="G76" s="535"/>
      <c r="H76" s="535"/>
      <c r="I76" s="535"/>
      <c r="J76" s="535"/>
      <c r="K76" s="535"/>
      <c r="L76" s="535"/>
      <c r="M76" s="536"/>
      <c r="N76" s="1148"/>
      <c r="O76" s="1148"/>
      <c r="P76" s="45"/>
      <c r="Q76" s="503"/>
    </row>
    <row r="77" spans="1:17" ht="27.75" thickTop="1">
      <c r="A77" s="533"/>
      <c r="B77" s="537" t="s">
        <v>2537</v>
      </c>
      <c r="C77" s="538"/>
      <c r="D77" s="538"/>
      <c r="E77" s="538"/>
      <c r="F77" s="538"/>
      <c r="G77" s="538"/>
      <c r="H77" s="538"/>
      <c r="I77" s="538"/>
      <c r="J77" s="538"/>
      <c r="K77" s="539"/>
      <c r="L77" s="540"/>
      <c r="M77" s="541"/>
      <c r="N77" s="1147"/>
      <c r="O77" s="1147"/>
      <c r="P77" s="45"/>
      <c r="Q77" s="503"/>
    </row>
    <row r="78" spans="1:17" ht="15.75" thickBot="1">
      <c r="A78" s="533"/>
      <c r="B78" s="542"/>
      <c r="C78" s="543"/>
      <c r="D78" s="543"/>
      <c r="E78" s="543"/>
      <c r="F78" s="543"/>
      <c r="G78" s="543"/>
      <c r="H78" s="543"/>
      <c r="I78" s="543"/>
      <c r="J78" s="543"/>
      <c r="K78" s="543"/>
      <c r="L78" s="543"/>
      <c r="M78" s="544"/>
      <c r="N78" s="1148"/>
      <c r="O78" s="1148"/>
      <c r="P78" s="45"/>
      <c r="Q78" s="503"/>
    </row>
    <row r="79" spans="1:17" ht="15.75" thickTop="1">
      <c r="A79" s="533"/>
      <c r="B79" s="545" t="s">
        <v>2538</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5（含）-6</v>
      </c>
      <c r="I79" s="546" t="str">
        <f t="shared" si="21"/>
        <v>6（含）-7</v>
      </c>
      <c r="J79" s="546" t="str">
        <f t="shared" si="21"/>
        <v>7（含）-8</v>
      </c>
      <c r="K79" s="546" t="str">
        <f t="shared" si="21"/>
        <v>8（含）-9</v>
      </c>
      <c r="L79" s="546" t="str">
        <f t="shared" si="21"/>
        <v>9（含）-10</v>
      </c>
      <c r="M79" s="447" t="str">
        <f>M80&amp;"（含）"&amp;"-"&amp;P80</f>
        <v>10（含）-</v>
      </c>
      <c r="N79" s="1148"/>
      <c r="O79" s="1148"/>
      <c r="P79" s="45"/>
      <c r="Q79" s="503"/>
    </row>
    <row r="80" spans="1:17" ht="15">
      <c r="A80" s="533"/>
      <c r="B80" s="547"/>
      <c r="C80" s="548">
        <v>0</v>
      </c>
      <c r="D80" s="548">
        <v>1</v>
      </c>
      <c r="E80" s="548">
        <v>2</v>
      </c>
      <c r="F80" s="548">
        <v>3</v>
      </c>
      <c r="G80" s="548">
        <v>4</v>
      </c>
      <c r="H80" s="548">
        <v>5</v>
      </c>
      <c r="I80" s="548">
        <v>6</v>
      </c>
      <c r="J80" s="548">
        <v>7</v>
      </c>
      <c r="K80" s="549">
        <v>8</v>
      </c>
      <c r="L80" s="550">
        <v>9</v>
      </c>
      <c r="M80" s="551">
        <v>10</v>
      </c>
      <c r="N80" s="1147"/>
      <c r="O80" s="1147"/>
      <c r="P80" s="45"/>
      <c r="Q80" s="503"/>
    </row>
    <row r="81" spans="1:17" ht="15.75" thickBot="1">
      <c r="A81" s="533"/>
      <c r="B81" s="534"/>
      <c r="C81" s="543">
        <v>100</v>
      </c>
      <c r="D81" s="543">
        <f t="shared" ref="D81:M81" si="22">IF($B$46="单位面积地价",C81+$K11,C81-$K11)</f>
        <v>101</v>
      </c>
      <c r="E81" s="543">
        <f t="shared" si="22"/>
        <v>102</v>
      </c>
      <c r="F81" s="543">
        <f t="shared" si="22"/>
        <v>103</v>
      </c>
      <c r="G81" s="543">
        <f t="shared" si="22"/>
        <v>104</v>
      </c>
      <c r="H81" s="543">
        <f t="shared" si="22"/>
        <v>105</v>
      </c>
      <c r="I81" s="543">
        <f t="shared" si="22"/>
        <v>106</v>
      </c>
      <c r="J81" s="543">
        <f t="shared" si="22"/>
        <v>107</v>
      </c>
      <c r="K81" s="543">
        <f t="shared" si="22"/>
        <v>108</v>
      </c>
      <c r="L81" s="543">
        <f t="shared" si="22"/>
        <v>109</v>
      </c>
      <c r="M81" s="543">
        <f t="shared" si="22"/>
        <v>110</v>
      </c>
      <c r="N81" s="1148"/>
      <c r="O81" s="1148"/>
      <c r="P81" s="45"/>
      <c r="Q81" s="503"/>
    </row>
    <row r="82" spans="1:17" s="470" customFormat="1" ht="15.75" thickTop="1">
      <c r="A82" s="552"/>
      <c r="B82" s="537" t="str">
        <f>B12</f>
        <v>配建</v>
      </c>
      <c r="C82" s="553"/>
      <c r="D82" s="553"/>
      <c r="E82" s="553"/>
      <c r="F82" s="553"/>
      <c r="G82" s="553"/>
      <c r="H82" s="554"/>
      <c r="I82" s="554"/>
      <c r="J82" s="554"/>
      <c r="K82" s="554"/>
      <c r="L82" s="555"/>
      <c r="M82" s="556"/>
      <c r="N82" s="1149"/>
      <c r="O82" s="1149"/>
      <c r="P82" s="557"/>
      <c r="Q82" s="558"/>
    </row>
    <row r="83" spans="1:17" s="470" customFormat="1" ht="15.75" thickBot="1">
      <c r="A83" s="552"/>
      <c r="B83" s="542"/>
      <c r="C83" s="559"/>
      <c r="D83" s="535"/>
      <c r="E83" s="535"/>
      <c r="F83" s="535"/>
      <c r="G83" s="535"/>
      <c r="H83" s="535"/>
      <c r="I83" s="535"/>
      <c r="J83" s="535"/>
      <c r="K83" s="535"/>
      <c r="L83" s="535"/>
      <c r="M83" s="536"/>
      <c r="N83" s="1148"/>
      <c r="O83" s="1148"/>
      <c r="P83" s="557"/>
      <c r="Q83" s="558"/>
    </row>
    <row r="84" spans="1:17" s="470" customFormat="1" ht="15.75" thickTop="1">
      <c r="A84" s="552"/>
      <c r="B84" s="537">
        <f>B13</f>
        <v>111</v>
      </c>
      <c r="C84" s="553"/>
      <c r="D84" s="553"/>
      <c r="E84" s="553"/>
      <c r="F84" s="553"/>
      <c r="G84" s="553"/>
      <c r="H84" s="554"/>
      <c r="I84" s="554"/>
      <c r="J84" s="554"/>
      <c r="K84" s="554"/>
      <c r="L84" s="555"/>
      <c r="M84" s="556"/>
      <c r="N84" s="1149"/>
      <c r="O84" s="1149"/>
      <c r="P84" s="469"/>
      <c r="Q84" s="560"/>
    </row>
    <row r="85" spans="1:17" s="470" customFormat="1" ht="15.75" thickBot="1">
      <c r="A85" s="552"/>
      <c r="B85" s="542"/>
      <c r="C85" s="559"/>
      <c r="D85" s="559"/>
      <c r="E85" s="559"/>
      <c r="F85" s="559"/>
      <c r="G85" s="559"/>
      <c r="H85" s="561"/>
      <c r="I85" s="561"/>
      <c r="J85" s="561"/>
      <c r="K85" s="561"/>
      <c r="L85" s="561"/>
      <c r="M85" s="562"/>
      <c r="N85" s="1149"/>
      <c r="O85" s="1149"/>
      <c r="P85" s="557"/>
      <c r="Q85" s="558"/>
    </row>
    <row r="86" spans="1:17" s="470" customFormat="1" ht="15.75" thickTop="1">
      <c r="A86" s="552"/>
      <c r="B86" s="545">
        <f>B14</f>
        <v>111</v>
      </c>
      <c r="C86" s="522"/>
      <c r="D86" s="522"/>
      <c r="E86" s="522"/>
      <c r="F86" s="522"/>
      <c r="G86" s="522"/>
      <c r="H86" s="563"/>
      <c r="I86" s="563"/>
      <c r="J86" s="563"/>
      <c r="K86" s="563"/>
      <c r="L86" s="564"/>
      <c r="M86" s="565"/>
      <c r="N86" s="1149"/>
      <c r="O86" s="1149"/>
      <c r="P86" s="566"/>
      <c r="Q86" s="558"/>
    </row>
    <row r="87" spans="1:17" s="470" customFormat="1" ht="15.75" thickBot="1">
      <c r="A87" s="567"/>
      <c r="B87" s="568"/>
      <c r="C87" s="569"/>
      <c r="D87" s="569"/>
      <c r="E87" s="569"/>
      <c r="F87" s="569"/>
      <c r="G87" s="569"/>
      <c r="H87" s="570"/>
      <c r="I87" s="570"/>
      <c r="J87" s="570"/>
      <c r="K87" s="570"/>
      <c r="L87" s="570"/>
      <c r="M87" s="571"/>
      <c r="N87" s="1149"/>
      <c r="O87" s="1149"/>
      <c r="P87" s="557"/>
      <c r="Q87" s="558"/>
    </row>
    <row r="88" spans="1:17">
      <c r="A88" s="526" t="s">
        <v>2539</v>
      </c>
      <c r="B88" s="527" t="s">
        <v>2576</v>
      </c>
      <c r="C88" s="572" t="s">
        <v>2577</v>
      </c>
      <c r="D88" s="572" t="s">
        <v>2578</v>
      </c>
      <c r="E88" s="572" t="s">
        <v>2579</v>
      </c>
      <c r="F88" s="572" t="s">
        <v>2580</v>
      </c>
      <c r="G88" s="572" t="s">
        <v>2581</v>
      </c>
      <c r="H88" s="528"/>
      <c r="I88" s="528"/>
      <c r="J88" s="528"/>
      <c r="K88" s="573"/>
      <c r="L88" s="574"/>
      <c r="M88" s="575"/>
      <c r="N88" s="1147"/>
      <c r="O88" s="1147"/>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8"/>
      <c r="O89" s="1148"/>
      <c r="P89" s="45"/>
      <c r="Q89" s="503"/>
    </row>
    <row r="90" spans="1:17" ht="15.75" thickTop="1">
      <c r="A90" s="533"/>
      <c r="B90" s="537" t="s">
        <v>2763</v>
      </c>
      <c r="C90" s="577" t="s">
        <v>2577</v>
      </c>
      <c r="D90" s="577" t="s">
        <v>2578</v>
      </c>
      <c r="E90" s="577" t="s">
        <v>2579</v>
      </c>
      <c r="F90" s="577" t="s">
        <v>2580</v>
      </c>
      <c r="G90" s="577" t="s">
        <v>2581</v>
      </c>
      <c r="H90" s="538"/>
      <c r="I90" s="538"/>
      <c r="J90" s="538"/>
      <c r="K90" s="539"/>
      <c r="L90" s="540"/>
      <c r="M90" s="541"/>
      <c r="N90" s="1147"/>
      <c r="O90" s="1147"/>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8"/>
      <c r="O91" s="1148"/>
      <c r="P91" s="45"/>
      <c r="Q91" s="503"/>
    </row>
    <row r="92" spans="1:17" ht="15.75" thickTop="1">
      <c r="A92" s="533"/>
      <c r="B92" s="537" t="s">
        <v>2677</v>
      </c>
      <c r="C92" s="577" t="s">
        <v>2577</v>
      </c>
      <c r="D92" s="577" t="s">
        <v>2578</v>
      </c>
      <c r="E92" s="577" t="s">
        <v>2579</v>
      </c>
      <c r="F92" s="577" t="s">
        <v>2580</v>
      </c>
      <c r="G92" s="577" t="s">
        <v>2581</v>
      </c>
      <c r="H92" s="538"/>
      <c r="I92" s="538"/>
      <c r="J92" s="538"/>
      <c r="K92" s="539"/>
      <c r="L92" s="540"/>
      <c r="M92" s="541"/>
      <c r="N92" s="1147"/>
      <c r="O92" s="1147"/>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48"/>
      <c r="O93" s="1148"/>
      <c r="P93" s="45"/>
      <c r="Q93" s="503"/>
    </row>
    <row r="94" spans="1:17" ht="15.75" thickTop="1">
      <c r="A94" s="533"/>
      <c r="B94" s="537" t="s">
        <v>2582</v>
      </c>
      <c r="C94" s="577" t="s">
        <v>2577</v>
      </c>
      <c r="D94" s="577" t="s">
        <v>2578</v>
      </c>
      <c r="E94" s="577" t="s">
        <v>2579</v>
      </c>
      <c r="F94" s="577" t="s">
        <v>2580</v>
      </c>
      <c r="G94" s="577" t="s">
        <v>2581</v>
      </c>
      <c r="H94" s="538"/>
      <c r="I94" s="538"/>
      <c r="J94" s="538"/>
      <c r="K94" s="539"/>
      <c r="L94" s="540"/>
      <c r="M94" s="541"/>
      <c r="N94" s="1147"/>
      <c r="O94" s="1147"/>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8"/>
      <c r="O95" s="1148"/>
      <c r="P95" s="45"/>
      <c r="Q95" s="503"/>
    </row>
    <row r="96" spans="1:17" s="117" customFormat="1" ht="15.75" thickTop="1">
      <c r="A96" s="578"/>
      <c r="B96" s="537" t="s">
        <v>2764</v>
      </c>
      <c r="C96" s="577" t="s">
        <v>2577</v>
      </c>
      <c r="D96" s="577" t="s">
        <v>2578</v>
      </c>
      <c r="E96" s="577" t="s">
        <v>2579</v>
      </c>
      <c r="F96" s="577" t="s">
        <v>2580</v>
      </c>
      <c r="G96" s="577" t="s">
        <v>2581</v>
      </c>
      <c r="H96" s="577"/>
      <c r="I96" s="577"/>
      <c r="J96" s="577"/>
      <c r="K96" s="577"/>
      <c r="L96" s="696"/>
      <c r="M96" s="620"/>
      <c r="N96" s="1146"/>
      <c r="O96" s="1146"/>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48"/>
      <c r="O97" s="1148"/>
      <c r="P97" s="45"/>
      <c r="Q97" s="503"/>
    </row>
    <row r="98" spans="1:17" s="117" customFormat="1" ht="27.75" thickTop="1">
      <c r="A98" s="578"/>
      <c r="B98" s="537" t="s">
        <v>2765</v>
      </c>
      <c r="C98" s="572" t="s">
        <v>2577</v>
      </c>
      <c r="D98" s="572" t="s">
        <v>2578</v>
      </c>
      <c r="E98" s="572" t="s">
        <v>2579</v>
      </c>
      <c r="F98" s="572" t="s">
        <v>2580</v>
      </c>
      <c r="G98" s="572" t="s">
        <v>2581</v>
      </c>
      <c r="H98" s="577"/>
      <c r="I98" s="577"/>
      <c r="J98" s="577"/>
      <c r="K98" s="577"/>
      <c r="L98" s="577"/>
      <c r="M98" s="620"/>
      <c r="N98" s="1146"/>
      <c r="O98" s="1146"/>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48"/>
      <c r="O99" s="1148"/>
      <c r="P99" s="45"/>
      <c r="Q99" s="503"/>
    </row>
    <row r="100" spans="1:17" s="470" customFormat="1" ht="15.75" thickTop="1">
      <c r="A100" s="552"/>
      <c r="B100" s="537" t="s">
        <v>2634</v>
      </c>
      <c r="C100" s="572" t="s">
        <v>2577</v>
      </c>
      <c r="D100" s="572" t="s">
        <v>2578</v>
      </c>
      <c r="E100" s="572" t="s">
        <v>2579</v>
      </c>
      <c r="F100" s="572" t="s">
        <v>2580</v>
      </c>
      <c r="G100" s="572" t="s">
        <v>2581</v>
      </c>
      <c r="H100" s="599"/>
      <c r="I100" s="599"/>
      <c r="J100" s="599"/>
      <c r="K100" s="599"/>
      <c r="L100" s="600"/>
      <c r="M100" s="601"/>
      <c r="N100" s="1149"/>
      <c r="O100" s="1149"/>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49"/>
      <c r="O101" s="1149"/>
      <c r="P101" s="557"/>
      <c r="Q101" s="558"/>
    </row>
    <row r="102" spans="1:17" s="470" customFormat="1" ht="15.75" thickTop="1">
      <c r="A102" s="552"/>
      <c r="B102" s="545" t="s">
        <v>2635</v>
      </c>
      <c r="C102" s="658" t="s">
        <v>2655</v>
      </c>
      <c r="D102" s="658" t="s">
        <v>2656</v>
      </c>
      <c r="E102" s="658" t="s">
        <v>2657</v>
      </c>
      <c r="F102" s="658" t="s">
        <v>2658</v>
      </c>
      <c r="G102" s="658" t="s">
        <v>2659</v>
      </c>
      <c r="H102" s="599"/>
      <c r="I102" s="599"/>
      <c r="J102" s="599"/>
      <c r="K102" s="599"/>
      <c r="L102" s="599"/>
      <c r="M102" s="1380"/>
      <c r="N102" s="1149"/>
      <c r="O102" s="1149"/>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0"/>
      <c r="N103" s="1149"/>
      <c r="O103" s="1149"/>
      <c r="P103" s="557"/>
      <c r="Q103" s="558"/>
    </row>
    <row r="104" spans="1:17" ht="15.75" thickTop="1">
      <c r="A104" s="533"/>
      <c r="B104" s="537" t="str">
        <f>B31</f>
        <v>临街状况</v>
      </c>
      <c r="C104" s="538" t="s">
        <v>2766</v>
      </c>
      <c r="D104" s="538" t="s">
        <v>2767</v>
      </c>
      <c r="E104" s="538" t="s">
        <v>2768</v>
      </c>
      <c r="F104" s="538" t="s">
        <v>2769</v>
      </c>
      <c r="G104" s="538"/>
      <c r="H104" s="538"/>
      <c r="I104" s="538"/>
      <c r="J104" s="538"/>
      <c r="K104" s="539"/>
      <c r="L104" s="540"/>
      <c r="M104" s="541"/>
      <c r="N104" s="1147"/>
      <c r="O104" s="1147"/>
      <c r="P104" s="45"/>
      <c r="Q104" s="503"/>
    </row>
    <row r="105" spans="1:17" ht="15.75" thickBot="1">
      <c r="A105" s="533"/>
      <c r="B105" s="542"/>
      <c r="C105" s="543">
        <v>100</v>
      </c>
      <c r="D105" s="543">
        <f>C105-$K31</f>
        <v>98</v>
      </c>
      <c r="E105" s="543">
        <f t="shared" ref="E105:M105" si="23">D105-$K31</f>
        <v>96</v>
      </c>
      <c r="F105" s="543">
        <f t="shared" si="23"/>
        <v>94</v>
      </c>
      <c r="G105" s="543">
        <f t="shared" si="23"/>
        <v>92</v>
      </c>
      <c r="H105" s="543">
        <f t="shared" si="23"/>
        <v>90</v>
      </c>
      <c r="I105" s="543">
        <f t="shared" si="23"/>
        <v>88</v>
      </c>
      <c r="J105" s="543">
        <f t="shared" si="23"/>
        <v>86</v>
      </c>
      <c r="K105" s="543">
        <f t="shared" si="23"/>
        <v>84</v>
      </c>
      <c r="L105" s="543">
        <f t="shared" si="23"/>
        <v>82</v>
      </c>
      <c r="M105" s="543">
        <f t="shared" si="23"/>
        <v>80</v>
      </c>
      <c r="N105" s="1148"/>
      <c r="O105" s="1148"/>
      <c r="P105" s="45"/>
      <c r="Q105" s="503"/>
    </row>
    <row r="106" spans="1:17" ht="27.75" thickTop="1">
      <c r="A106" s="533"/>
      <c r="B106" s="537" t="s">
        <v>2671</v>
      </c>
      <c r="C106" s="2947" t="s">
        <v>3167</v>
      </c>
      <c r="D106" s="2947" t="s">
        <v>3169</v>
      </c>
      <c r="E106" s="2947" t="s">
        <v>3170</v>
      </c>
      <c r="F106" s="2947" t="s">
        <v>3172</v>
      </c>
      <c r="G106" s="2947" t="s">
        <v>3173</v>
      </c>
      <c r="H106" s="582"/>
      <c r="I106" s="582"/>
      <c r="J106" s="582"/>
      <c r="K106" s="583"/>
      <c r="L106" s="584"/>
      <c r="M106" s="585"/>
      <c r="N106" s="1147"/>
      <c r="O106" s="1147"/>
      <c r="P106" s="45"/>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48"/>
      <c r="O107" s="1148"/>
      <c r="P107" s="45"/>
      <c r="Q107" s="503"/>
    </row>
    <row r="108" spans="1:17" ht="15.75" thickTop="1">
      <c r="A108" s="533"/>
      <c r="B108" s="537" t="s">
        <v>2730</v>
      </c>
      <c r="C108" s="582"/>
      <c r="D108" s="582"/>
      <c r="E108" s="582"/>
      <c r="F108" s="582"/>
      <c r="G108" s="582"/>
      <c r="H108" s="582"/>
      <c r="I108" s="582"/>
      <c r="J108" s="582"/>
      <c r="K108" s="583"/>
      <c r="L108" s="584"/>
      <c r="M108" s="585"/>
      <c r="N108" s="1147"/>
      <c r="O108" s="1147"/>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8"/>
      <c r="O109" s="1148"/>
      <c r="P109" s="45"/>
      <c r="Q109" s="503"/>
    </row>
    <row r="110" spans="1:17" ht="15.75" thickTop="1">
      <c r="A110" s="533"/>
      <c r="B110" s="545">
        <f>B35</f>
        <v>111</v>
      </c>
      <c r="C110" s="553"/>
      <c r="D110" s="553"/>
      <c r="E110" s="553"/>
      <c r="F110" s="553"/>
      <c r="G110" s="586"/>
      <c r="H110" s="586"/>
      <c r="I110" s="586"/>
      <c r="J110" s="586"/>
      <c r="K110" s="587"/>
      <c r="L110" s="588"/>
      <c r="M110" s="589"/>
      <c r="N110" s="1147"/>
      <c r="O110" s="1147"/>
      <c r="P110" s="45"/>
      <c r="Q110" s="503"/>
    </row>
    <row r="111" spans="1:17" ht="15.75" thickBot="1">
      <c r="A111" s="533"/>
      <c r="B111" s="568"/>
      <c r="C111" s="559"/>
      <c r="D111" s="559"/>
      <c r="E111" s="559"/>
      <c r="F111" s="559"/>
      <c r="G111" s="590"/>
      <c r="H111" s="590"/>
      <c r="I111" s="590"/>
      <c r="J111" s="590"/>
      <c r="K111" s="590"/>
      <c r="L111" s="590"/>
      <c r="M111" s="591"/>
      <c r="N111" s="1148"/>
      <c r="O111" s="1148"/>
      <c r="P111" s="45"/>
      <c r="Q111" s="503"/>
    </row>
    <row r="112" spans="1:17" ht="15" thickTop="1">
      <c r="A112" s="673"/>
      <c r="B112" s="537">
        <f>B36</f>
        <v>111</v>
      </c>
      <c r="C112" s="522"/>
      <c r="D112" s="522"/>
      <c r="E112" s="522"/>
      <c r="F112" s="522"/>
      <c r="G112" s="582"/>
      <c r="H112" s="582"/>
      <c r="I112" s="582"/>
      <c r="J112" s="582"/>
      <c r="K112" s="583"/>
      <c r="L112" s="584"/>
      <c r="M112" s="585"/>
      <c r="N112" s="1147"/>
      <c r="O112" s="1147"/>
      <c r="P112" s="45"/>
      <c r="Q112" s="503"/>
    </row>
    <row r="113" spans="1:17" ht="15.75" thickBot="1">
      <c r="A113" s="533"/>
      <c r="B113" s="542"/>
      <c r="C113" s="569"/>
      <c r="D113" s="569"/>
      <c r="E113" s="569"/>
      <c r="F113" s="569"/>
      <c r="G113" s="535"/>
      <c r="H113" s="535"/>
      <c r="I113" s="535"/>
      <c r="J113" s="535"/>
      <c r="K113" s="535"/>
      <c r="L113" s="535"/>
      <c r="M113" s="536"/>
      <c r="N113" s="1148"/>
      <c r="O113" s="1148"/>
      <c r="P113" s="45"/>
      <c r="Q113" s="503"/>
    </row>
    <row r="114" spans="1:17" s="470" customFormat="1" ht="15" thickTop="1">
      <c r="A114" s="592"/>
      <c r="B114" s="593">
        <f>B37</f>
        <v>111</v>
      </c>
      <c r="C114" s="594"/>
      <c r="D114" s="594"/>
      <c r="E114" s="594"/>
      <c r="F114" s="594"/>
      <c r="G114" s="594"/>
      <c r="H114" s="594"/>
      <c r="I114" s="594"/>
      <c r="J114" s="595"/>
      <c r="K114" s="595"/>
      <c r="L114" s="596"/>
      <c r="M114" s="597"/>
      <c r="N114" s="1149"/>
      <c r="O114" s="1149"/>
      <c r="P114" s="557"/>
      <c r="Q114" s="558"/>
    </row>
    <row r="115" spans="1:17" s="470" customFormat="1" ht="15.75" thickBot="1">
      <c r="A115" s="552"/>
      <c r="B115" s="545"/>
      <c r="C115" s="511"/>
      <c r="D115" s="675"/>
      <c r="E115" s="675"/>
      <c r="F115" s="675"/>
      <c r="G115" s="675"/>
      <c r="H115" s="675"/>
      <c r="I115" s="675"/>
      <c r="J115" s="675"/>
      <c r="K115" s="675"/>
      <c r="L115" s="675"/>
      <c r="M115" s="697"/>
      <c r="N115" s="1148"/>
      <c r="O115" s="1148"/>
      <c r="P115" s="557"/>
      <c r="Q115" s="558"/>
    </row>
    <row r="116" spans="1:17" ht="28.5">
      <c r="A116" s="526" t="s">
        <v>2543</v>
      </c>
      <c r="B116" s="527" t="s">
        <v>2770</v>
      </c>
      <c r="C116" s="528" t="str">
        <f>C117&amp;"(含)"&amp;"-"&amp;D117</f>
        <v>0(含)-10000</v>
      </c>
      <c r="D116" s="528" t="str">
        <f t="shared" ref="D116:M116" si="26">D117&amp;"(含)"&amp;"-"&amp;E117</f>
        <v>10000(含)-20000</v>
      </c>
      <c r="E116" s="528" t="str">
        <f t="shared" si="26"/>
        <v>20000(含)-40000</v>
      </c>
      <c r="F116" s="528" t="str">
        <f t="shared" si="26"/>
        <v>40000(含)-80000</v>
      </c>
      <c r="G116" s="528" t="str">
        <f t="shared" si="26"/>
        <v>80000(含)-160000</v>
      </c>
      <c r="H116" s="528" t="str">
        <f t="shared" si="26"/>
        <v>160000(含)-320000</v>
      </c>
      <c r="I116" s="528" t="str">
        <f t="shared" si="26"/>
        <v>320000(含)-</v>
      </c>
      <c r="J116" s="528" t="str">
        <f t="shared" si="26"/>
        <v>(含)-</v>
      </c>
      <c r="K116" s="528" t="str">
        <f t="shared" si="26"/>
        <v>(含)-</v>
      </c>
      <c r="L116" s="528" t="str">
        <f t="shared" si="26"/>
        <v>(含)-</v>
      </c>
      <c r="M116" s="528" t="str">
        <f t="shared" si="26"/>
        <v>(含)-</v>
      </c>
      <c r="N116" s="1147"/>
      <c r="O116" s="1147"/>
      <c r="P116" s="45"/>
      <c r="Q116" s="503"/>
    </row>
    <row r="117" spans="1:17" ht="15">
      <c r="A117" s="533"/>
      <c r="B117" s="545"/>
      <c r="C117" s="594">
        <v>0</v>
      </c>
      <c r="D117" s="594">
        <v>10000</v>
      </c>
      <c r="E117" s="594">
        <v>20000</v>
      </c>
      <c r="F117" s="594">
        <v>40000</v>
      </c>
      <c r="G117" s="594">
        <v>80000</v>
      </c>
      <c r="H117" s="594">
        <v>160000</v>
      </c>
      <c r="I117" s="594">
        <v>320000</v>
      </c>
      <c r="J117" s="595"/>
      <c r="K117" s="595"/>
      <c r="L117" s="596"/>
      <c r="M117" s="597"/>
      <c r="N117" s="1147"/>
      <c r="O117" s="1147"/>
      <c r="P117" s="45"/>
      <c r="Q117" s="503"/>
    </row>
    <row r="118" spans="1:17" ht="15.75" thickBot="1">
      <c r="A118" s="533"/>
      <c r="B118" s="542"/>
      <c r="C118" s="569">
        <v>100</v>
      </c>
      <c r="D118" s="590">
        <f>C118+1</f>
        <v>101</v>
      </c>
      <c r="E118" s="590">
        <f t="shared" ref="E118:I118" si="27">D118+1</f>
        <v>102</v>
      </c>
      <c r="F118" s="590">
        <f t="shared" si="27"/>
        <v>103</v>
      </c>
      <c r="G118" s="590">
        <f t="shared" si="27"/>
        <v>104</v>
      </c>
      <c r="H118" s="590">
        <f t="shared" si="27"/>
        <v>105</v>
      </c>
      <c r="I118" s="590">
        <f t="shared" si="27"/>
        <v>106</v>
      </c>
      <c r="J118" s="590"/>
      <c r="K118" s="590"/>
      <c r="L118" s="590"/>
      <c r="M118" s="591"/>
      <c r="N118" s="1148"/>
      <c r="O118" s="1148"/>
      <c r="P118" s="45"/>
      <c r="Q118" s="503"/>
    </row>
    <row r="119" spans="1:17" ht="15" thickTop="1">
      <c r="A119" s="598"/>
      <c r="B119" s="537" t="s">
        <v>2771</v>
      </c>
      <c r="C119" s="2946" t="s">
        <v>3105</v>
      </c>
      <c r="D119" s="2946" t="s">
        <v>3107</v>
      </c>
      <c r="E119" s="2946" t="s">
        <v>3108</v>
      </c>
      <c r="F119" s="2946" t="s">
        <v>3109</v>
      </c>
      <c r="G119" s="582"/>
      <c r="H119" s="582"/>
      <c r="I119" s="582"/>
      <c r="J119" s="582"/>
      <c r="K119" s="583"/>
      <c r="L119" s="584"/>
      <c r="M119" s="585"/>
      <c r="N119" s="1147"/>
      <c r="O119" s="1147"/>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48"/>
      <c r="O120" s="1148"/>
      <c r="P120" s="45"/>
      <c r="Q120" s="503"/>
    </row>
    <row r="121" spans="1:17" ht="15" thickTop="1">
      <c r="A121" s="598"/>
      <c r="B121" s="537" t="s">
        <v>2772</v>
      </c>
      <c r="C121" s="2947" t="s">
        <v>3110</v>
      </c>
      <c r="D121" s="2947" t="s">
        <v>3112</v>
      </c>
      <c r="E121" s="2947" t="s">
        <v>3113</v>
      </c>
      <c r="F121" s="2946" t="s">
        <v>3114</v>
      </c>
      <c r="G121" s="582"/>
      <c r="H121" s="582"/>
      <c r="I121" s="582"/>
      <c r="J121" s="582"/>
      <c r="K121" s="583"/>
      <c r="L121" s="584"/>
      <c r="M121" s="585"/>
      <c r="N121" s="1147"/>
      <c r="O121" s="1147"/>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48"/>
      <c r="O122" s="1148"/>
      <c r="P122" s="45"/>
      <c r="Q122" s="503"/>
    </row>
    <row r="123" spans="1:17" s="470" customFormat="1" ht="15" thickTop="1">
      <c r="A123" s="592"/>
      <c r="B123" s="537" t="s">
        <v>2773</v>
      </c>
      <c r="C123" s="553" t="s">
        <v>3051</v>
      </c>
      <c r="D123" s="553" t="s">
        <v>3115</v>
      </c>
      <c r="E123" s="553" t="s">
        <v>3116</v>
      </c>
      <c r="F123" s="553" t="s">
        <v>3117</v>
      </c>
      <c r="G123" s="553" t="s">
        <v>3118</v>
      </c>
      <c r="H123" s="582"/>
      <c r="I123" s="582"/>
      <c r="J123" s="582"/>
      <c r="K123" s="583"/>
      <c r="L123" s="584"/>
      <c r="M123" s="585"/>
      <c r="N123" s="1149"/>
      <c r="O123" s="1149"/>
      <c r="P123" s="557"/>
      <c r="Q123" s="558"/>
    </row>
    <row r="124" spans="1:17" s="470" customFormat="1" ht="15.75" thickBot="1">
      <c r="A124" s="552"/>
      <c r="B124" s="542"/>
      <c r="C124" s="543">
        <v>100</v>
      </c>
      <c r="D124" s="543">
        <f>C124-$K41</f>
        <v>99</v>
      </c>
      <c r="E124" s="543">
        <f t="shared" ref="E124:M124" si="30">D124-$K41</f>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49"/>
      <c r="O124" s="1149"/>
      <c r="P124" s="557"/>
      <c r="Q124" s="558"/>
    </row>
    <row r="125" spans="1:17" ht="15" thickTop="1">
      <c r="A125" s="598"/>
      <c r="B125" s="537" t="s">
        <v>2774</v>
      </c>
      <c r="C125" s="553" t="s">
        <v>3050</v>
      </c>
      <c r="D125" s="553" t="s">
        <v>3049</v>
      </c>
      <c r="E125" s="582" t="s">
        <v>3119</v>
      </c>
      <c r="F125" s="582" t="s">
        <v>3120</v>
      </c>
      <c r="G125" s="582" t="s">
        <v>3121</v>
      </c>
      <c r="H125" s="582"/>
      <c r="I125" s="582"/>
      <c r="J125" s="582"/>
      <c r="K125" s="583"/>
      <c r="L125" s="584"/>
      <c r="M125" s="585"/>
      <c r="N125" s="1147"/>
      <c r="O125" s="1147"/>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48"/>
      <c r="O126" s="1148"/>
      <c r="P126" s="45"/>
      <c r="Q126" s="503"/>
    </row>
    <row r="127" spans="1:17" ht="15" thickTop="1">
      <c r="A127" s="598"/>
      <c r="B127" s="537">
        <f>B43</f>
        <v>111</v>
      </c>
      <c r="C127" s="553"/>
      <c r="D127" s="553"/>
      <c r="E127" s="553"/>
      <c r="F127" s="553"/>
      <c r="G127" s="553"/>
      <c r="H127" s="582"/>
      <c r="I127" s="582"/>
      <c r="J127" s="582"/>
      <c r="K127" s="583"/>
      <c r="L127" s="584"/>
      <c r="M127" s="585"/>
      <c r="N127" s="1147"/>
      <c r="O127" s="1147"/>
      <c r="P127" s="45"/>
      <c r="Q127" s="503"/>
    </row>
    <row r="128" spans="1:17" ht="15.75" thickBot="1">
      <c r="A128" s="533"/>
      <c r="B128" s="542"/>
      <c r="C128" s="559"/>
      <c r="D128" s="559"/>
      <c r="E128" s="559"/>
      <c r="F128" s="559"/>
      <c r="G128" s="535"/>
      <c r="H128" s="535"/>
      <c r="I128" s="535"/>
      <c r="J128" s="535"/>
      <c r="K128" s="535"/>
      <c r="L128" s="535"/>
      <c r="M128" s="536"/>
      <c r="N128" s="1148"/>
      <c r="O128" s="1148"/>
      <c r="P128" s="45"/>
      <c r="Q128" s="503"/>
    </row>
    <row r="129" spans="1:17" ht="15" thickTop="1">
      <c r="A129" s="598"/>
      <c r="B129" s="537">
        <f>B44</f>
        <v>111</v>
      </c>
      <c r="C129" s="522"/>
      <c r="D129" s="522"/>
      <c r="E129" s="522"/>
      <c r="F129" s="522"/>
      <c r="G129" s="582"/>
      <c r="H129" s="582"/>
      <c r="I129" s="582"/>
      <c r="J129" s="582"/>
      <c r="K129" s="583"/>
      <c r="L129" s="584"/>
      <c r="M129" s="585"/>
      <c r="N129" s="1147"/>
      <c r="O129" s="1147"/>
      <c r="P129" s="45"/>
      <c r="Q129" s="503"/>
    </row>
    <row r="130" spans="1:17" ht="15.75" thickBot="1">
      <c r="A130" s="533"/>
      <c r="B130" s="542"/>
      <c r="C130" s="569"/>
      <c r="D130" s="569"/>
      <c r="E130" s="569"/>
      <c r="F130" s="569"/>
      <c r="G130" s="535"/>
      <c r="H130" s="535"/>
      <c r="I130" s="535"/>
      <c r="J130" s="535"/>
      <c r="K130" s="535"/>
      <c r="L130" s="535"/>
      <c r="M130" s="536"/>
      <c r="N130" s="1148"/>
      <c r="O130" s="1148"/>
      <c r="P130" s="45"/>
      <c r="Q130" s="503"/>
    </row>
    <row r="131" spans="1:17" s="470" customFormat="1" ht="15" thickTop="1">
      <c r="A131" s="592"/>
      <c r="B131" s="537">
        <f>B45</f>
        <v>111</v>
      </c>
      <c r="C131" s="522"/>
      <c r="D131" s="522"/>
      <c r="E131" s="522"/>
      <c r="F131" s="522"/>
      <c r="G131" s="554"/>
      <c r="H131" s="554"/>
      <c r="I131" s="554"/>
      <c r="J131" s="554"/>
      <c r="K131" s="554"/>
      <c r="L131" s="555"/>
      <c r="M131" s="556"/>
      <c r="N131" s="1149"/>
      <c r="O131" s="1149"/>
      <c r="P131" s="557"/>
      <c r="Q131" s="558"/>
    </row>
    <row r="132" spans="1:17" s="470" customFormat="1" ht="15.75" thickBot="1">
      <c r="A132" s="567"/>
      <c r="B132" s="698"/>
      <c r="C132" s="569"/>
      <c r="D132" s="569"/>
      <c r="E132" s="569"/>
      <c r="F132" s="569"/>
      <c r="G132" s="590"/>
      <c r="H132" s="590"/>
      <c r="I132" s="590"/>
      <c r="J132" s="590"/>
      <c r="K132" s="590"/>
      <c r="L132" s="590"/>
      <c r="M132" s="591"/>
      <c r="N132" s="1149"/>
      <c r="O132" s="1149"/>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3" priority="14" stopIfTrue="1" operator="containsText" text="超过">
      <formula>NOT(ISERROR(SEARCH("超过",F51)))</formula>
    </cfRule>
  </conditionalFormatting>
  <conditionalFormatting sqref="J53">
    <cfRule type="containsText" dxfId="132" priority="13" stopIfTrue="1" operator="containsText" text="超过">
      <formula>NOT(ISERROR(SEARCH("超过",J53)))</formula>
    </cfRule>
  </conditionalFormatting>
  <conditionalFormatting sqref="H53">
    <cfRule type="containsText" dxfId="131" priority="12" stopIfTrue="1" operator="containsText" text="超过">
      <formula>NOT(ISERROR(SEARCH("超过",H53)))</formula>
    </cfRule>
  </conditionalFormatting>
  <conditionalFormatting sqref="F53">
    <cfRule type="containsText" dxfId="130" priority="11" stopIfTrue="1" operator="containsText" text="超过">
      <formula>NOT(ISERROR(SEARCH("超过",F53)))</formula>
    </cfRule>
  </conditionalFormatting>
  <conditionalFormatting sqref="F52 H52 J52">
    <cfRule type="containsText" dxfId="129" priority="10" stopIfTrue="1" operator="containsText" text="超过">
      <formula>NOT(ISERROR(SEARCH("超过",F52)))</formula>
    </cfRule>
  </conditionalFormatting>
  <conditionalFormatting sqref="E51">
    <cfRule type="expression" dxfId="128" priority="9" stopIfTrue="1">
      <formula>$F$51="超过30%"</formula>
    </cfRule>
  </conditionalFormatting>
  <conditionalFormatting sqref="G53">
    <cfRule type="expression" dxfId="127" priority="8" stopIfTrue="1">
      <formula>$H$53="超过30%"</formula>
    </cfRule>
  </conditionalFormatting>
  <conditionalFormatting sqref="E52">
    <cfRule type="expression" dxfId="126" priority="7" stopIfTrue="1">
      <formula>$F$52="超过20%"</formula>
    </cfRule>
  </conditionalFormatting>
  <conditionalFormatting sqref="E53">
    <cfRule type="expression" dxfId="125" priority="6" stopIfTrue="1">
      <formula>$F$53="超过30%"</formula>
    </cfRule>
  </conditionalFormatting>
  <conditionalFormatting sqref="G51">
    <cfRule type="expression" dxfId="124" priority="5" stopIfTrue="1">
      <formula>$H$53+$H$51="超过30%"</formula>
    </cfRule>
  </conditionalFormatting>
  <conditionalFormatting sqref="G52">
    <cfRule type="expression" dxfId="123" priority="4" stopIfTrue="1">
      <formula>$H$52="超过20%"</formula>
    </cfRule>
  </conditionalFormatting>
  <conditionalFormatting sqref="I51">
    <cfRule type="expression" dxfId="122" priority="3" stopIfTrue="1">
      <formula>$J$51="超过30%"</formula>
    </cfRule>
  </conditionalFormatting>
  <conditionalFormatting sqref="I52">
    <cfRule type="expression" dxfId="121" priority="2" stopIfTrue="1">
      <formula>$J$52="超过20%"</formula>
    </cfRule>
  </conditionalFormatting>
  <conditionalFormatting sqref="I53">
    <cfRule type="expression" dxfId="1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2306</v>
      </c>
      <c r="B1" s="1930"/>
      <c r="C1" s="2537" t="s">
        <v>2408</v>
      </c>
      <c r="D1" s="241"/>
      <c r="E1" s="241"/>
      <c r="F1" s="241"/>
      <c r="G1" s="1374">
        <f>MATCH(B1,'数据-取费表'!A6:A16,0)+5</f>
        <v>8</v>
      </c>
      <c r="H1" s="1277" t="str">
        <f>IF(ISERROR(FIND("住宅",B1)),"非住宅","住宅")</f>
        <v>非住宅</v>
      </c>
    </row>
    <row r="2" spans="1:8" s="243" customFormat="1" ht="18" customHeight="1">
      <c r="A2" s="244" t="s">
        <v>2307</v>
      </c>
      <c r="B2" s="245">
        <f ca="1">ROUND(IF(D2="——",C52/10000,C52/10000-E2),0)</f>
        <v>1805</v>
      </c>
      <c r="C2" s="242" t="s">
        <v>2308</v>
      </c>
      <c r="D2" s="2531" t="s">
        <v>70</v>
      </c>
      <c r="E2" s="1435" t="e">
        <f ca="1">SUMIF(INDIRECT("'"&amp;G2&amp;"'"&amp;"!A:A"),"承租人权益价值",INDIRECT("'"&amp;G2&amp;"'"&amp;"!c:c"))</f>
        <v>#REF!</v>
      </c>
      <c r="F2" s="2532" t="s">
        <v>2308</v>
      </c>
      <c r="G2" s="2533"/>
    </row>
    <row r="3" spans="1:8" s="243" customFormat="1" ht="18" customHeight="1" thickBot="1">
      <c r="A3" s="246" t="s">
        <v>2309</v>
      </c>
      <c r="B3" s="247">
        <f ca="1">ROUND(B2*10000/(IF(B1="",'数据-汇总表'!E3,INDIRECT("'数据-取费表'!k"&amp;$G$1))),0)</f>
        <v>2154</v>
      </c>
      <c r="C3" s="242" t="s">
        <v>2310</v>
      </c>
      <c r="D3" s="242"/>
      <c r="E3" s="242"/>
      <c r="F3" s="242"/>
      <c r="G3" s="242"/>
    </row>
    <row r="4" spans="1:8" s="251" customFormat="1" ht="15.75">
      <c r="A4" s="248" t="s">
        <v>2311</v>
      </c>
      <c r="B4" s="249"/>
      <c r="C4" s="249"/>
      <c r="D4" s="249"/>
      <c r="E4" s="249"/>
      <c r="F4" s="249"/>
      <c r="G4" s="250"/>
    </row>
    <row r="5" spans="1:8" s="257" customFormat="1" ht="13.5" customHeight="1">
      <c r="A5" s="298" t="s">
        <v>2312</v>
      </c>
      <c r="B5" s="253" t="s">
        <v>2313</v>
      </c>
      <c r="C5" s="254">
        <f ca="1">C6+C7+C8</f>
        <v>1675594</v>
      </c>
      <c r="D5" s="254" t="s">
        <v>2314</v>
      </c>
      <c r="E5" s="255" t="s">
        <v>2315</v>
      </c>
      <c r="F5" s="255" t="s">
        <v>2316</v>
      </c>
      <c r="G5" s="256"/>
    </row>
    <row r="6" spans="1:8" s="257" customFormat="1" ht="13.5" customHeight="1">
      <c r="A6" s="945" t="s">
        <v>2317</v>
      </c>
      <c r="B6" s="258" t="s">
        <v>2318</v>
      </c>
      <c r="C6" s="259"/>
      <c r="D6" s="260"/>
      <c r="E6" s="261"/>
      <c r="F6" s="261"/>
      <c r="G6" s="262"/>
    </row>
    <row r="7" spans="1:8" s="257" customFormat="1" ht="13.5" customHeight="1">
      <c r="A7" s="945" t="s">
        <v>2319</v>
      </c>
      <c r="B7" s="258" t="s">
        <v>2320</v>
      </c>
      <c r="C7" s="263">
        <f>ROUND(C6*F7,0)</f>
        <v>0</v>
      </c>
      <c r="D7" s="263"/>
      <c r="E7" s="261"/>
      <c r="F7" s="264">
        <f>'数据-取费表'!B48+'数据-取费表'!B49</f>
        <v>3.0499999999999999E-2</v>
      </c>
      <c r="G7" s="262"/>
    </row>
    <row r="8" spans="1:8" s="266" customFormat="1">
      <c r="A8" s="945" t="s">
        <v>2321</v>
      </c>
      <c r="B8" s="258" t="s">
        <v>2322</v>
      </c>
      <c r="C8" s="263">
        <f ca="1">IF(G8="已包含在土地购买价格中",0,C9+C10)</f>
        <v>1675594</v>
      </c>
      <c r="D8" s="265"/>
      <c r="E8" s="263"/>
      <c r="F8" s="264"/>
      <c r="G8" s="2534"/>
    </row>
    <row r="9" spans="1:8" s="257" customFormat="1" ht="13.5" customHeight="1">
      <c r="A9" s="946" t="s">
        <v>800</v>
      </c>
      <c r="B9" s="267" t="s">
        <v>2323</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2325</v>
      </c>
      <c r="C10" s="268">
        <f ca="1">ROUND(D10*E10,0)</f>
        <v>1675594</v>
      </c>
      <c r="D10" s="1028">
        <f ca="1">IF(B1="",'数据-汇总表'!E6,IF(INDIRECT("'数据-取费表'!c"&amp;$G$1)="住宅",INDIRECT("'数据-取费表'!s"&amp;$G$1),INDIRECT("'数据-取费表'!k"&amp;$G$1)+INDIRECT("'数据-取费表'!s"&amp;$G$1)))</f>
        <v>8377.9700000000012</v>
      </c>
      <c r="E10" s="268">
        <f>'数据-取费表'!B28</f>
        <v>200</v>
      </c>
      <c r="F10" s="264"/>
      <c r="G10" s="269"/>
    </row>
    <row r="11" spans="1:8" s="257" customFormat="1" ht="13.5" hidden="1" customHeight="1">
      <c r="A11" s="270" t="s">
        <v>7</v>
      </c>
      <c r="B11" s="258" t="s">
        <v>2326</v>
      </c>
      <c r="C11" s="254"/>
      <c r="D11" s="1030"/>
      <c r="E11" s="261"/>
      <c r="F11" s="261"/>
      <c r="G11" s="262"/>
    </row>
    <row r="12" spans="1:8" s="257" customFormat="1" ht="13.5" hidden="1" customHeight="1">
      <c r="A12" s="270" t="s">
        <v>8</v>
      </c>
      <c r="B12" s="258" t="s">
        <v>2409</v>
      </c>
      <c r="C12" s="254">
        <v>0</v>
      </c>
      <c r="D12" s="1030"/>
      <c r="E12" s="271"/>
      <c r="F12" s="264">
        <v>3.0499999999999999E-2</v>
      </c>
      <c r="G12" s="262"/>
    </row>
    <row r="13" spans="1:8" s="257" customFormat="1" ht="13.5" hidden="1" customHeight="1">
      <c r="A13" s="270" t="s">
        <v>9</v>
      </c>
      <c r="B13" s="258" t="s">
        <v>2410</v>
      </c>
      <c r="C13" s="254"/>
      <c r="D13" s="1030"/>
      <c r="E13" s="261"/>
      <c r="F13" s="261"/>
      <c r="G13" s="262"/>
    </row>
    <row r="14" spans="1:8" s="257" customFormat="1" ht="13.5" hidden="1" customHeight="1">
      <c r="A14" s="270" t="s">
        <v>10</v>
      </c>
      <c r="B14" s="258" t="s">
        <v>2322</v>
      </c>
      <c r="C14" s="254"/>
      <c r="D14" s="1030"/>
      <c r="E14" s="261"/>
      <c r="F14" s="261"/>
      <c r="G14" s="262" t="s">
        <v>2411</v>
      </c>
    </row>
    <row r="15" spans="1:8" s="257" customFormat="1" ht="13.5" hidden="1" customHeight="1">
      <c r="A15" s="270" t="s">
        <v>11</v>
      </c>
      <c r="B15" s="258" t="s">
        <v>2412</v>
      </c>
      <c r="C15" s="263"/>
      <c r="D15" s="1030"/>
      <c r="E15" s="261"/>
      <c r="F15" s="261"/>
      <c r="G15" s="262" t="s">
        <v>2413</v>
      </c>
    </row>
    <row r="16" spans="1:8" s="257" customFormat="1" ht="13.5" hidden="1" customHeight="1">
      <c r="A16" s="270" t="s">
        <v>12</v>
      </c>
      <c r="B16" s="258" t="s">
        <v>2322</v>
      </c>
      <c r="C16" s="263"/>
      <c r="D16" s="1030"/>
      <c r="E16" s="261"/>
      <c r="F16" s="261"/>
      <c r="G16" s="262"/>
    </row>
    <row r="17" spans="1:7" s="257" customFormat="1" ht="13.5" hidden="1" customHeight="1">
      <c r="A17" s="270" t="s">
        <v>13</v>
      </c>
      <c r="B17" s="258" t="s">
        <v>2414</v>
      </c>
      <c r="C17" s="272"/>
      <c r="D17" s="1031"/>
      <c r="E17" s="272"/>
      <c r="F17" s="272"/>
      <c r="G17" s="262" t="s">
        <v>2413</v>
      </c>
    </row>
    <row r="18" spans="1:7" s="257" customFormat="1" ht="13.5" hidden="1" customHeight="1">
      <c r="A18" s="270" t="s">
        <v>14</v>
      </c>
      <c r="B18" s="258" t="s">
        <v>2415</v>
      </c>
      <c r="C18" s="263">
        <v>0</v>
      </c>
      <c r="D18" s="1030"/>
      <c r="E18" s="261"/>
      <c r="F18" s="264">
        <v>3.0499999999999999E-2</v>
      </c>
      <c r="G18" s="262" t="s">
        <v>2416</v>
      </c>
    </row>
    <row r="19" spans="1:7" s="266" customFormat="1" ht="13.5" customHeight="1">
      <c r="A19" s="298" t="s">
        <v>2417</v>
      </c>
      <c r="B19" s="253" t="s">
        <v>2418</v>
      </c>
      <c r="C19" s="254">
        <f ca="1">IF(G19="已包含在土地取得成本中","0",ROUND(D19*E19,0))</f>
        <v>1675594</v>
      </c>
      <c r="D19" s="1032">
        <f ca="1">D9+D10</f>
        <v>8377.9700000000012</v>
      </c>
      <c r="E19" s="254">
        <f>'数据-取费表'!B31</f>
        <v>200</v>
      </c>
      <c r="F19" s="274"/>
      <c r="G19" s="2534"/>
    </row>
    <row r="20" spans="1:7" s="257" customFormat="1" ht="13.5" customHeight="1">
      <c r="A20" s="298" t="s">
        <v>2419</v>
      </c>
      <c r="B20" s="253" t="s">
        <v>2420</v>
      </c>
      <c r="C20" s="275">
        <f ca="1">ROUND((C5+C19)*F20,0)</f>
        <v>67024</v>
      </c>
      <c r="D20" s="275"/>
      <c r="E20" s="275"/>
      <c r="F20" s="276">
        <f>'数据-取费表'!B37</f>
        <v>0.02</v>
      </c>
      <c r="G20" s="277" t="s">
        <v>2421</v>
      </c>
    </row>
    <row r="21" spans="1:7" s="257" customFormat="1" ht="13.5" customHeight="1">
      <c r="A21" s="298" t="s">
        <v>2422</v>
      </c>
      <c r="B21" s="253" t="s">
        <v>2423</v>
      </c>
      <c r="C21" s="278">
        <f>F21</f>
        <v>0.01</v>
      </c>
      <c r="D21" s="279" t="s">
        <v>2424</v>
      </c>
      <c r="E21" s="275"/>
      <c r="F21" s="276">
        <f>'数据-取费表'!B38</f>
        <v>0.01</v>
      </c>
      <c r="G21" s="277" t="s">
        <v>2425</v>
      </c>
    </row>
    <row r="22" spans="1:7" s="257" customFormat="1" ht="13.5" customHeight="1">
      <c r="A22" s="298" t="s">
        <v>2426</v>
      </c>
      <c r="B22" s="253" t="s">
        <v>2427</v>
      </c>
      <c r="C22" s="1375">
        <f ca="1">ROUND(SUM(C23:C25),0)</f>
        <v>147234</v>
      </c>
      <c r="D22" s="278">
        <f ca="1">C26</f>
        <v>2.0000000000000001E-4</v>
      </c>
      <c r="E22" s="279" t="s">
        <v>2424</v>
      </c>
      <c r="F22" s="280">
        <f ca="1">'数据-取费表'!B40</f>
        <v>4.3499999999999997E-2</v>
      </c>
      <c r="G22" s="277" t="str">
        <f>IF('数据-取费表'!B22&lt;=1,"单利计息","复利计息")</f>
        <v>单利计息</v>
      </c>
    </row>
    <row r="23" spans="1:7" s="257" customFormat="1" ht="13.5" customHeight="1">
      <c r="A23" s="947" t="s">
        <v>2317</v>
      </c>
      <c r="B23" s="258" t="s">
        <v>2428</v>
      </c>
      <c r="C23" s="1376">
        <f ca="1">ROUND(IF('数据-取费表'!B22&lt;=1,C5*F22*'数据-取费表'!B22,C5*(POWER((1+F22),'数据-取费表'!B22)-1)),0)</f>
        <v>72888</v>
      </c>
      <c r="D23" s="281"/>
      <c r="E23" s="281"/>
      <c r="F23" s="282"/>
      <c r="G23" s="283" t="s">
        <v>2429</v>
      </c>
    </row>
    <row r="24" spans="1:7" s="257" customFormat="1" ht="13.5" customHeight="1">
      <c r="A24" s="947" t="s">
        <v>2319</v>
      </c>
      <c r="B24" s="258" t="s">
        <v>2430</v>
      </c>
      <c r="C24" s="1376">
        <f ca="1">ROUND(IF('数据-取费表'!B22&lt;=1,C19*F22*('数据-取费表'!B19/2+'数据-取费表'!B20),C19*(POWER((1+F22),('数据-取费表'!B19/2+'数据-取费表'!B20))-1)),0)</f>
        <v>72888</v>
      </c>
      <c r="D24" s="281"/>
      <c r="E24" s="281"/>
      <c r="F24" s="282"/>
      <c r="G24" s="283" t="s">
        <v>2431</v>
      </c>
    </row>
    <row r="25" spans="1:7" s="257" customFormat="1" ht="24">
      <c r="A25" s="947" t="s">
        <v>2321</v>
      </c>
      <c r="B25" s="258" t="s">
        <v>2432</v>
      </c>
      <c r="C25" s="1376">
        <f ca="1">ROUND(IF('数据-取费表'!B22&lt;=1,C20*F22*'数据-取费表'!B22/2,C20*(POWER((1+F22),'数据-取费表'!B22/2)-1)),0)</f>
        <v>1458</v>
      </c>
      <c r="D25" s="281"/>
      <c r="E25" s="284"/>
      <c r="F25" s="282"/>
      <c r="G25" s="285" t="s">
        <v>2433</v>
      </c>
    </row>
    <row r="26" spans="1:7" s="257" customFormat="1">
      <c r="A26" s="947" t="s">
        <v>795</v>
      </c>
      <c r="B26" s="258" t="s">
        <v>2356</v>
      </c>
      <c r="C26" s="281">
        <f ca="1">ROUND(IF('数据-取费表'!B22&lt;=1,F21*F22*'数据-取费表'!B22/2,F21*(POWER((1+F22),'数据-取费表'!B22/2)-1)),4)</f>
        <v>2.0000000000000001E-4</v>
      </c>
      <c r="D26" s="281"/>
      <c r="E26" s="284"/>
      <c r="F26" s="282"/>
      <c r="G26" s="286"/>
    </row>
    <row r="27" spans="1:7" s="257" customFormat="1" ht="24.75">
      <c r="A27" s="298" t="s">
        <v>2357</v>
      </c>
      <c r="B27" s="287" t="s">
        <v>2358</v>
      </c>
      <c r="C27" s="288">
        <f ca="1">C28</f>
        <v>307639</v>
      </c>
      <c r="D27" s="278">
        <f ca="1">C29</f>
        <v>8.9999999999999998E-4</v>
      </c>
      <c r="E27" s="279" t="s">
        <v>2359</v>
      </c>
      <c r="F27" s="289">
        <f ca="1">IF(B1="",'数据-取费表'!Q16,INDIRECT("'数据-取费表'!q"&amp;$G$1))</f>
        <v>0.09</v>
      </c>
      <c r="G27" s="290" t="s">
        <v>2360</v>
      </c>
    </row>
    <row r="28" spans="1:7" s="257" customFormat="1" ht="13.5" customHeight="1">
      <c r="A28" s="947" t="s">
        <v>791</v>
      </c>
      <c r="B28" s="291" t="s">
        <v>2361</v>
      </c>
      <c r="C28" s="292">
        <f ca="1">ROUND((C5+C19+C20)*F27,0)</f>
        <v>307639</v>
      </c>
      <c r="D28" s="278"/>
      <c r="E28" s="279"/>
      <c r="F28" s="289"/>
      <c r="G28" s="290"/>
    </row>
    <row r="29" spans="1:7" s="257" customFormat="1" ht="13.5" customHeight="1">
      <c r="A29" s="947" t="s">
        <v>792</v>
      </c>
      <c r="B29" s="291" t="s">
        <v>2362</v>
      </c>
      <c r="C29" s="281">
        <f ca="1">ROUND(C21*F27,4)</f>
        <v>8.9999999999999998E-4</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4139680</v>
      </c>
      <c r="D31" s="273"/>
      <c r="E31" s="254"/>
      <c r="F31" s="293"/>
      <c r="G31" s="277" t="s">
        <v>2367</v>
      </c>
    </row>
    <row r="32" spans="1:7" s="251" customFormat="1" ht="15.75">
      <c r="A32" s="295" t="s">
        <v>2434</v>
      </c>
      <c r="B32" s="296"/>
      <c r="C32" s="296"/>
      <c r="D32" s="296"/>
      <c r="E32" s="296"/>
      <c r="F32" s="296"/>
      <c r="G32" s="297"/>
    </row>
    <row r="33" spans="1:7" s="257" customFormat="1" ht="13.5" customHeight="1">
      <c r="A33" s="298" t="s">
        <v>782</v>
      </c>
      <c r="B33" s="253" t="s">
        <v>2435</v>
      </c>
      <c r="C33" s="299">
        <f ca="1">SUM(C34:C38)</f>
        <v>14713322</v>
      </c>
      <c r="D33" s="275"/>
      <c r="E33" s="255"/>
      <c r="F33" s="284"/>
      <c r="G33" s="277"/>
    </row>
    <row r="34" spans="1:7" s="301" customFormat="1" ht="13.5" customHeight="1">
      <c r="A34" s="947" t="s">
        <v>791</v>
      </c>
      <c r="B34" s="258" t="s">
        <v>2370</v>
      </c>
      <c r="C34" s="263">
        <f ca="1">ROUND(IF(B1="",SUMPRODUCT('数据-取费表'!K6:K14,'数据-取费表'!L6:L14),INDIRECT("'数据-取费表'!l"&amp;$G$1)*INDIRECT("'数据-取费表'!k"&amp;$G$1)+'数据-取费表'!L14*INDIRECT("'数据-取费表'!S"&amp;$G$1)),0)</f>
        <v>12476295</v>
      </c>
      <c r="D34" s="260"/>
      <c r="E34" s="263"/>
      <c r="F34" s="300"/>
      <c r="G34" s="262"/>
    </row>
    <row r="35" spans="1:7" ht="13.5" customHeight="1">
      <c r="A35" s="947" t="s">
        <v>796</v>
      </c>
      <c r="B35" s="258" t="s">
        <v>2372</v>
      </c>
      <c r="C35" s="263">
        <f ca="1">ROUND(C34*F35,0)</f>
        <v>374289</v>
      </c>
      <c r="D35" s="263"/>
      <c r="E35" s="263"/>
      <c r="F35" s="302">
        <f>'数据-取费表'!B33</f>
        <v>0.03</v>
      </c>
      <c r="G35" s="262" t="s">
        <v>2373</v>
      </c>
    </row>
    <row r="36" spans="1:7" ht="24">
      <c r="A36" s="947" t="s">
        <v>797</v>
      </c>
      <c r="B36" s="258" t="s">
        <v>2374</v>
      </c>
      <c r="C36" s="263">
        <f ca="1">ROUND(IF(B1="",SUM('数据-取费表'!AP6:AP13)*F36,IF(INDIRECT("'数据-取费表'!c"&amp;$G$1)="住宅",INDIRECT("'数据-取费表'!k"&amp;$G$1)*INDIRECT("'数据-取费表'!l"&amp;$G$1)*F36,0)),0)</f>
        <v>0</v>
      </c>
      <c r="D36" s="263"/>
      <c r="E36" s="263"/>
      <c r="F36" s="302">
        <f>'数据-取费表'!B34</f>
        <v>0</v>
      </c>
      <c r="G36" s="303" t="s">
        <v>2375</v>
      </c>
    </row>
    <row r="37" spans="1:7" s="301" customFormat="1" ht="13.5" customHeight="1">
      <c r="A37" s="947" t="s">
        <v>798</v>
      </c>
      <c r="B37" s="258" t="s">
        <v>2376</v>
      </c>
      <c r="C37" s="292">
        <f ca="1">ROUND(E37*D37,0)</f>
        <v>1675594</v>
      </c>
      <c r="D37" s="260">
        <f ca="1">D19</f>
        <v>8377.9700000000012</v>
      </c>
      <c r="E37" s="292">
        <f>'数据-取费表'!B35</f>
        <v>200</v>
      </c>
      <c r="F37" s="302"/>
      <c r="G37" s="304"/>
    </row>
    <row r="38" spans="1:7" ht="13.5" customHeight="1">
      <c r="A38" s="947" t="s">
        <v>799</v>
      </c>
      <c r="B38" s="258" t="s">
        <v>2378</v>
      </c>
      <c r="C38" s="263">
        <f ca="1">ROUND(C34*F38,0)</f>
        <v>187144</v>
      </c>
      <c r="D38" s="263"/>
      <c r="E38" s="263"/>
      <c r="F38" s="302">
        <f>'数据-取费表'!B36</f>
        <v>1.4999999999999999E-2</v>
      </c>
      <c r="G38" s="262" t="s">
        <v>2373</v>
      </c>
    </row>
    <row r="39" spans="1:7" s="257" customFormat="1" ht="13.5" customHeight="1">
      <c r="A39" s="298" t="s">
        <v>2379</v>
      </c>
      <c r="B39" s="253" t="s">
        <v>2380</v>
      </c>
      <c r="C39" s="275">
        <f ca="1">ROUND(C33*F20,0)</f>
        <v>294266</v>
      </c>
      <c r="D39" s="275"/>
      <c r="E39" s="275"/>
      <c r="F39" s="276"/>
      <c r="G39" s="277" t="s">
        <v>2381</v>
      </c>
    </row>
    <row r="40" spans="1:7" s="257" customFormat="1" ht="13.5" customHeight="1">
      <c r="A40" s="298" t="s">
        <v>2382</v>
      </c>
      <c r="B40" s="253" t="s">
        <v>2383</v>
      </c>
      <c r="C40" s="1721">
        <f>F21</f>
        <v>0.01</v>
      </c>
      <c r="D40" s="279" t="s">
        <v>2384</v>
      </c>
      <c r="E40" s="275"/>
      <c r="F40" s="276"/>
      <c r="G40" s="277" t="s">
        <v>2385</v>
      </c>
    </row>
    <row r="41" spans="1:7" s="257" customFormat="1" ht="13.5" customHeight="1">
      <c r="A41" s="298" t="s">
        <v>2386</v>
      </c>
      <c r="B41" s="253" t="s">
        <v>2387</v>
      </c>
      <c r="C41" s="275">
        <f ca="1">ROUND(SUM(C42:C43),0)</f>
        <v>326415</v>
      </c>
      <c r="D41" s="278">
        <f ca="1">C44</f>
        <v>2.0000000000000001E-4</v>
      </c>
      <c r="E41" s="279" t="s">
        <v>2384</v>
      </c>
      <c r="F41" s="280"/>
      <c r="G41" s="277" t="str">
        <f>IF('数据-取费表'!B22&lt;=1,"单利计息","复利计息")</f>
        <v>单利计息</v>
      </c>
    </row>
    <row r="42" spans="1:7" ht="13.5" customHeight="1">
      <c r="A42" s="947" t="s">
        <v>791</v>
      </c>
      <c r="B42" s="258" t="s">
        <v>2388</v>
      </c>
      <c r="C42" s="281">
        <f ca="1">ROUND(IF('数据-取费表'!B22&lt;=1,C33*F22*'数据-取费表'!B20/2,C33*(POWER((1+F22),'数据-取费表'!B20/2)-1)),0)</f>
        <v>320015</v>
      </c>
      <c r="D42" s="281"/>
      <c r="E42" s="281"/>
      <c r="F42" s="282"/>
      <c r="G42" s="3241" t="s">
        <v>2436</v>
      </c>
    </row>
    <row r="43" spans="1:7" ht="13.5" customHeight="1">
      <c r="A43" s="947" t="s">
        <v>792</v>
      </c>
      <c r="B43" s="258" t="s">
        <v>2390</v>
      </c>
      <c r="C43" s="281">
        <f ca="1">ROUND(IF('数据-取费表'!B22&lt;=1,C39*F22*'数据-取费表'!B20/2,C39*(POWER((1+F22),'数据-取费表'!B20/2)-1)),0)</f>
        <v>6400</v>
      </c>
      <c r="D43" s="281"/>
      <c r="E43" s="281"/>
      <c r="F43" s="282"/>
      <c r="G43" s="3242"/>
    </row>
    <row r="44" spans="1:7" ht="13.5" customHeight="1">
      <c r="A44" s="947" t="s">
        <v>793</v>
      </c>
      <c r="B44" s="258" t="s">
        <v>2391</v>
      </c>
      <c r="C44" s="281">
        <f ca="1">ROUND(IF('数据-取费表'!B22&lt;=1,C40*F22*'数据-取费表'!B20/2,C40*(POWER((1+F22),'数据-取费表'!B20/2)-1)),4)</f>
        <v>2.0000000000000001E-4</v>
      </c>
      <c r="D44" s="281"/>
      <c r="E44" s="281"/>
      <c r="F44" s="282"/>
      <c r="G44" s="3243"/>
    </row>
    <row r="45" spans="1:7" s="257" customFormat="1" ht="13.5" customHeight="1">
      <c r="A45" s="298" t="s">
        <v>2392</v>
      </c>
      <c r="B45" s="287" t="s">
        <v>2358</v>
      </c>
      <c r="C45" s="288">
        <f ca="1">C46</f>
        <v>1350683</v>
      </c>
      <c r="D45" s="278">
        <f ca="1">C47</f>
        <v>8.9999999999999998E-4</v>
      </c>
      <c r="E45" s="279" t="s">
        <v>2384</v>
      </c>
      <c r="F45" s="289"/>
      <c r="G45" s="290" t="s">
        <v>2393</v>
      </c>
    </row>
    <row r="46" spans="1:7" s="257" customFormat="1" ht="13.5" customHeight="1">
      <c r="A46" s="947" t="s">
        <v>791</v>
      </c>
      <c r="B46" s="291" t="s">
        <v>2394</v>
      </c>
      <c r="C46" s="292">
        <f ca="1">ROUND((C33+C39)*F27,0)</f>
        <v>1350683</v>
      </c>
      <c r="D46" s="306"/>
      <c r="E46" s="279"/>
      <c r="F46" s="289"/>
      <c r="G46" s="290"/>
    </row>
    <row r="47" spans="1:7" s="257" customFormat="1" ht="13.5" customHeight="1">
      <c r="A47" s="947" t="s">
        <v>792</v>
      </c>
      <c r="B47" s="291" t="s">
        <v>2395</v>
      </c>
      <c r="C47" s="281">
        <f ca="1">ROUND(C40*F27,4)</f>
        <v>8.9999999999999998E-4</v>
      </c>
      <c r="D47" s="306"/>
      <c r="E47" s="279"/>
      <c r="F47" s="289"/>
      <c r="G47" s="290"/>
    </row>
    <row r="48" spans="1:7" s="257" customFormat="1" ht="13.5" customHeight="1">
      <c r="A48" s="298" t="s">
        <v>2357</v>
      </c>
      <c r="B48" s="253" t="s">
        <v>2396</v>
      </c>
      <c r="C48" s="305">
        <f>ROUND(F30/(1+'数据-取费表'!C42),4)</f>
        <v>5.33E-2</v>
      </c>
      <c r="D48" s="279" t="s">
        <v>2384</v>
      </c>
      <c r="E48" s="275"/>
      <c r="F48" s="280"/>
      <c r="G48" s="277" t="s">
        <v>2397</v>
      </c>
    </row>
    <row r="49" spans="1:7" ht="16.5" customHeight="1">
      <c r="A49" s="298" t="s">
        <v>2363</v>
      </c>
      <c r="B49" s="253" t="s">
        <v>2437</v>
      </c>
      <c r="C49" s="275">
        <f ca="1">ROUND((C33+C39+C41+C45)/(1-C40-D41-D45-C48),0)</f>
        <v>17833140</v>
      </c>
      <c r="D49" s="275"/>
      <c r="E49" s="275"/>
      <c r="F49" s="307"/>
      <c r="G49" s="277" t="s">
        <v>2399</v>
      </c>
    </row>
    <row r="50" spans="1:7" s="301" customFormat="1">
      <c r="A50" s="298" t="s">
        <v>2400</v>
      </c>
      <c r="B50" s="253" t="s">
        <v>2401</v>
      </c>
      <c r="C50" s="275"/>
      <c r="D50" s="275"/>
      <c r="E50" s="275"/>
      <c r="F50" s="307">
        <f>IF('数据-取费表'!B24=0,'数据-取费表'!N16,1)</f>
        <v>0.78</v>
      </c>
      <c r="G50" s="290"/>
    </row>
    <row r="51" spans="1:7" ht="16.5" customHeight="1">
      <c r="A51" s="298" t="s">
        <v>2403</v>
      </c>
      <c r="B51" s="253" t="s">
        <v>2438</v>
      </c>
      <c r="C51" s="275">
        <f ca="1">ROUND(C49*F50,0)</f>
        <v>13909849</v>
      </c>
      <c r="D51" s="275"/>
      <c r="E51" s="275"/>
      <c r="F51" s="307"/>
      <c r="G51" s="277" t="s">
        <v>2405</v>
      </c>
    </row>
    <row r="52" spans="1:7" s="251" customFormat="1" ht="16.5" thickBot="1">
      <c r="A52" s="308" t="s">
        <v>2406</v>
      </c>
      <c r="B52" s="309"/>
      <c r="C52" s="310">
        <f ca="1">C31+C51</f>
        <v>18049529</v>
      </c>
      <c r="D52" s="309"/>
      <c r="E52" s="309"/>
      <c r="F52" s="309"/>
      <c r="G52" s="311"/>
    </row>
    <row r="55" spans="1:7" ht="15">
      <c r="B55" s="313" t="s">
        <v>2407</v>
      </c>
      <c r="C55" s="314"/>
    </row>
    <row r="56" spans="1:7">
      <c r="B56" s="316" t="s">
        <v>1513</v>
      </c>
      <c r="C56" s="318">
        <f ca="1">1-C57</f>
        <v>0.22899999999999998</v>
      </c>
    </row>
    <row r="57" spans="1:7">
      <c r="B57" s="316" t="s">
        <v>1514</v>
      </c>
      <c r="C57" s="317">
        <f ca="1">ROUND(C51/C52,3)</f>
        <v>0.77100000000000002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2439</v>
      </c>
      <c r="B1" s="1574"/>
      <c r="C1" s="1575"/>
      <c r="D1" s="1573"/>
      <c r="E1" s="319"/>
      <c r="F1" s="319"/>
      <c r="G1" s="1574"/>
      <c r="H1" s="319"/>
      <c r="I1" s="319"/>
      <c r="J1" s="319"/>
      <c r="K1" s="319">
        <f>MATCH(C1,'数据-取费表'!A6:A16,0)+5</f>
        <v>8</v>
      </c>
    </row>
    <row r="2" spans="1:33" ht="18" customHeight="1">
      <c r="A2" s="244" t="s">
        <v>2307</v>
      </c>
      <c r="B2" s="247">
        <f ca="1">C32</f>
        <v>0</v>
      </c>
      <c r="C2" s="319" t="s">
        <v>2440</v>
      </c>
      <c r="D2" s="319"/>
      <c r="E2" s="319"/>
      <c r="F2" s="319"/>
      <c r="G2" s="319"/>
      <c r="H2" s="319"/>
      <c r="I2" s="319"/>
      <c r="J2" s="319"/>
      <c r="K2" s="319"/>
    </row>
    <row r="3" spans="1:33" ht="18" customHeight="1" thickBot="1">
      <c r="A3" s="246" t="s">
        <v>2309</v>
      </c>
      <c r="B3" s="247">
        <f ca="1">ROUND(B2*10000/IF(C1="",'数据-汇总表'!E3,INDIRECT("'数据-取费表'!K"&amp;$K$1)),0)</f>
        <v>0</v>
      </c>
      <c r="C3" s="319" t="s">
        <v>2441</v>
      </c>
      <c r="D3" s="319"/>
      <c r="E3" s="319"/>
      <c r="F3" s="319"/>
      <c r="G3" s="319"/>
      <c r="H3" s="319"/>
      <c r="I3" s="319"/>
      <c r="J3" s="319"/>
      <c r="K3" s="319"/>
    </row>
    <row r="4" spans="1:33" s="952" customFormat="1" ht="16.5" customHeight="1">
      <c r="A4" s="949" t="s">
        <v>2442</v>
      </c>
      <c r="B4" s="950"/>
      <c r="C4" s="992">
        <f>SUM(C8:K8)</f>
        <v>0</v>
      </c>
      <c r="D4" s="950"/>
      <c r="E4" s="950"/>
      <c r="F4" s="950"/>
      <c r="G4" s="950"/>
      <c r="H4" s="950"/>
      <c r="I4" s="950"/>
      <c r="J4" s="950"/>
      <c r="K4" s="951"/>
    </row>
    <row r="5" spans="1:33" s="956" customFormat="1" ht="24.75">
      <c r="A5" s="953" t="s">
        <v>2443</v>
      </c>
      <c r="B5" s="954" t="s">
        <v>2444</v>
      </c>
      <c r="C5" s="2538" t="s">
        <v>2445</v>
      </c>
      <c r="D5" s="2538" t="s">
        <v>2446</v>
      </c>
      <c r="E5" s="2538" t="s">
        <v>2447</v>
      </c>
      <c r="F5" s="2538"/>
      <c r="G5" s="2538"/>
      <c r="H5" s="2538"/>
      <c r="I5" s="2538"/>
      <c r="J5" s="2538"/>
      <c r="K5" s="2538"/>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2448</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2449</v>
      </c>
      <c r="B7" s="139" t="s">
        <v>2450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39" t="s">
        <v>2451</v>
      </c>
      <c r="B8" s="176" t="s">
        <v>2452</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2453</v>
      </c>
      <c r="B9" s="950"/>
      <c r="C9" s="950"/>
      <c r="D9" s="950"/>
      <c r="E9" s="950"/>
      <c r="F9" s="950"/>
      <c r="G9" s="950"/>
      <c r="H9" s="950"/>
      <c r="I9" s="950"/>
      <c r="J9" s="950"/>
      <c r="K9" s="951"/>
    </row>
    <row r="10" spans="1:33" s="966" customFormat="1" ht="13.5" customHeight="1">
      <c r="A10" s="953" t="s">
        <v>2454</v>
      </c>
      <c r="B10" s="8" t="s">
        <v>2455</v>
      </c>
      <c r="C10" s="962" t="s">
        <v>2456</v>
      </c>
      <c r="D10" s="963" t="s">
        <v>2457</v>
      </c>
      <c r="E10" s="963" t="s">
        <v>2458</v>
      </c>
      <c r="F10" s="963" t="s">
        <v>2459</v>
      </c>
      <c r="G10" s="8"/>
      <c r="H10" s="964"/>
      <c r="I10" s="964"/>
      <c r="J10" s="964"/>
      <c r="K10" s="965"/>
    </row>
    <row r="11" spans="1:33" s="971" customFormat="1" ht="13.5" customHeight="1">
      <c r="A11" s="967" t="s">
        <v>1334</v>
      </c>
      <c r="B11" s="968" t="s">
        <v>2460</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1335</v>
      </c>
      <c r="B12" s="968" t="s">
        <v>2461</v>
      </c>
      <c r="C12" s="24">
        <f ca="1">ROUND(C11*F12,0)</f>
        <v>0</v>
      </c>
      <c r="D12" s="969"/>
      <c r="E12" s="374"/>
      <c r="F12" s="972">
        <f>'数据-取费表'!B33</f>
        <v>0.03</v>
      </c>
      <c r="G12" s="8" t="s">
        <v>2462</v>
      </c>
      <c r="H12" s="964"/>
      <c r="I12" s="964"/>
      <c r="J12" s="964"/>
      <c r="K12" s="965"/>
    </row>
    <row r="13" spans="1:33" s="971" customFormat="1" ht="13.5" customHeight="1">
      <c r="A13" s="967" t="s">
        <v>1336</v>
      </c>
      <c r="B13" s="968" t="s">
        <v>2463</v>
      </c>
      <c r="C13" s="24">
        <f ca="1">ROUND(IF(C1="",SUMIF('数据-取费表'!C:C,"住宅",'数据-取费表'!P:P)*F13,IF(INDIRECT("'数据-取费表'!c"&amp;$K$1)="住宅",INDIRECT("'数据-取费表'!P"&amp;$K$1)*F13,0)),0)</f>
        <v>0</v>
      </c>
      <c r="D13" s="1029"/>
      <c r="E13" s="374"/>
      <c r="F13" s="972">
        <f>'数据-取费表'!B34</f>
        <v>0</v>
      </c>
      <c r="G13" s="8" t="s">
        <v>2464</v>
      </c>
      <c r="H13" s="964"/>
      <c r="I13" s="964"/>
      <c r="J13" s="964"/>
      <c r="K13" s="965"/>
    </row>
    <row r="14" spans="1:33" s="973" customFormat="1" ht="13.5" customHeight="1">
      <c r="A14" s="967" t="s">
        <v>1337</v>
      </c>
      <c r="B14" s="968" t="s">
        <v>2465</v>
      </c>
      <c r="C14" s="24">
        <f ca="1">ROUND(D14*E14*F11/10000,0)</f>
        <v>0</v>
      </c>
      <c r="D14" s="1029">
        <f ca="1">IF(C1="",'数据-汇总表'!E3,INDIRECT("'数据-取费表'!K"&amp;$K$1)+INDIRECT("'数据-取费表'!S"&amp;$K$1))</f>
        <v>8377.9700000000012</v>
      </c>
      <c r="E14" s="24">
        <f>'数据-取费表'!B35</f>
        <v>200</v>
      </c>
      <c r="F14" s="972"/>
      <c r="G14" s="8" t="s">
        <v>2466</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2467</v>
      </c>
      <c r="C15" s="979">
        <f ca="1">ROUND(C11*F15,0)</f>
        <v>0</v>
      </c>
      <c r="D15" s="974"/>
      <c r="E15" s="979"/>
      <c r="F15" s="980">
        <f>'数据-取费表'!B36</f>
        <v>1.4999999999999999E-2</v>
      </c>
      <c r="G15" s="139" t="s">
        <v>2468</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2469</v>
      </c>
      <c r="C16" s="979">
        <f ca="1">SUM(C11:C15)</f>
        <v>0</v>
      </c>
      <c r="D16" s="974"/>
      <c r="E16" s="979"/>
      <c r="F16" s="980"/>
      <c r="G16" s="139"/>
      <c r="H16" s="1571"/>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2470</v>
      </c>
      <c r="C17" s="24">
        <f ca="1">ROUND(D17*E17/10000,0)</f>
        <v>0</v>
      </c>
      <c r="D17" s="1029">
        <f ca="1">D14</f>
        <v>8377.9700000000012</v>
      </c>
      <c r="E17" s="24">
        <f>'数据-取费表'!B32</f>
        <v>0</v>
      </c>
      <c r="F17" s="974"/>
      <c r="G17" s="139" t="s">
        <v>2471</v>
      </c>
      <c r="H17" s="1571"/>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2472</v>
      </c>
      <c r="C18" s="24">
        <f ca="1">C19+C20-IF(C1="",'数据-取费表'!B29,IF(G18="已全部缴纳",C19+C20,H18))</f>
        <v>0</v>
      </c>
      <c r="D18" s="1029"/>
      <c r="E18" s="24"/>
      <c r="F18" s="972"/>
      <c r="G18" s="2540"/>
      <c r="H18" s="1570"/>
      <c r="I18" s="2541" t="s">
        <v>2473</v>
      </c>
      <c r="J18" s="975"/>
      <c r="K18" s="976"/>
    </row>
    <row r="19" spans="1:33" s="971" customFormat="1" ht="13.5" customHeight="1">
      <c r="A19" s="967" t="s">
        <v>805</v>
      </c>
      <c r="B19" s="968" t="s">
        <v>2474</v>
      </c>
      <c r="C19" s="24">
        <f ca="1">ROUND(D19*E19/10000,0)</f>
        <v>0</v>
      </c>
      <c r="D19" s="1029">
        <f ca="1">IF(C1="",'数据-汇总表'!E5,IF(INDIRECT("'数据-取费表'!c"&amp;$K$1)="住宅",INDIRECT("'数据-取费表'!k"&amp;$K$1),0))</f>
        <v>0</v>
      </c>
      <c r="E19" s="24">
        <f>'数据-取费表'!B27</f>
        <v>0</v>
      </c>
      <c r="F19" s="972"/>
      <c r="G19" s="15"/>
      <c r="H19" s="1572"/>
      <c r="I19" s="977"/>
      <c r="J19" s="977"/>
      <c r="K19" s="978"/>
    </row>
    <row r="20" spans="1:33" s="971" customFormat="1" ht="13.5" customHeight="1">
      <c r="A20" s="967" t="s">
        <v>806</v>
      </c>
      <c r="B20" s="968" t="s">
        <v>2475</v>
      </c>
      <c r="C20" s="24">
        <f ca="1">ROUND(D20*E20/10000,0)</f>
        <v>168</v>
      </c>
      <c r="D20" s="1029">
        <f ca="1">IF(C1="",'数据-汇总表'!E6,IF(INDIRECT("'数据-取费表'!c"&amp;$K$1)="住宅",INDIRECT("'数据-取费表'!s"&amp;$K$1),INDIRECT("'数据-取费表'!k"&amp;$K$1)+INDIRECT("'数据-取费表'!s"&amp;$K$1)))</f>
        <v>8377.9700000000012</v>
      </c>
      <c r="E20" s="24">
        <f>'数据-取费表'!B28</f>
        <v>200</v>
      </c>
      <c r="F20" s="972"/>
      <c r="G20" s="15"/>
      <c r="H20" s="977"/>
      <c r="I20" s="977"/>
      <c r="J20" s="977"/>
      <c r="K20" s="978"/>
    </row>
    <row r="21" spans="1:33" s="971" customFormat="1" ht="13.5" customHeight="1">
      <c r="A21" s="957" t="s">
        <v>802</v>
      </c>
      <c r="B21" s="981" t="s">
        <v>2476</v>
      </c>
      <c r="C21" s="982">
        <f ca="1">C16+C17+C18</f>
        <v>0</v>
      </c>
      <c r="D21" s="983"/>
      <c r="E21" s="324"/>
      <c r="F21" s="324"/>
      <c r="G21" s="139" t="s">
        <v>2477</v>
      </c>
      <c r="H21" s="975"/>
      <c r="I21" s="975"/>
      <c r="J21" s="975"/>
      <c r="K21" s="976"/>
    </row>
    <row r="22" spans="1:33" s="971" customFormat="1" ht="13.5" customHeight="1">
      <c r="A22" s="957" t="s">
        <v>2449</v>
      </c>
      <c r="B22" s="981" t="s">
        <v>2478</v>
      </c>
      <c r="C22" s="982">
        <f ca="1">ROUND(C21*F22,0)</f>
        <v>0</v>
      </c>
      <c r="D22" s="324"/>
      <c r="E22" s="324"/>
      <c r="F22" s="984">
        <f>'数据-取费表'!B37</f>
        <v>0.02</v>
      </c>
      <c r="G22" s="8" t="s">
        <v>2479</v>
      </c>
      <c r="H22" s="964"/>
      <c r="I22" s="964"/>
      <c r="J22" s="964"/>
      <c r="K22" s="965"/>
    </row>
    <row r="23" spans="1:33" s="971" customFormat="1" ht="13.5" customHeight="1">
      <c r="A23" s="957" t="s">
        <v>2451</v>
      </c>
      <c r="B23" s="981" t="s">
        <v>2480</v>
      </c>
      <c r="C23" s="982">
        <f ca="1">ROUND(C4*F23*F11,0)</f>
        <v>0</v>
      </c>
      <c r="D23" s="324"/>
      <c r="E23" s="324"/>
      <c r="F23" s="984">
        <f>'数据-取费表'!B38</f>
        <v>0.01</v>
      </c>
      <c r="G23" s="8" t="s">
        <v>2481</v>
      </c>
      <c r="H23" s="964"/>
      <c r="I23" s="964"/>
      <c r="J23" s="964"/>
      <c r="K23" s="965"/>
    </row>
    <row r="24" spans="1:33" s="971" customFormat="1" ht="13.5" customHeight="1">
      <c r="A24" s="957" t="s">
        <v>2482</v>
      </c>
      <c r="B24" s="981" t="s">
        <v>2483</v>
      </c>
      <c r="C24" s="323">
        <f>ROUND(F24/(1+'数据-取费表'!C42),4)</f>
        <v>2.9000000000000001E-2</v>
      </c>
      <c r="D24" s="324" t="s">
        <v>15</v>
      </c>
      <c r="E24" s="324"/>
      <c r="F24" s="984">
        <f>'数据-取费表'!B48+'数据-取费表'!B49</f>
        <v>3.0499999999999999E-2</v>
      </c>
      <c r="G24" s="8" t="s">
        <v>2484</v>
      </c>
      <c r="H24" s="986"/>
      <c r="I24" s="986"/>
      <c r="J24" s="986"/>
      <c r="K24" s="987"/>
    </row>
    <row r="25" spans="1:33" s="971" customFormat="1" ht="13.5" customHeight="1">
      <c r="A25" s="957" t="s">
        <v>2485</v>
      </c>
      <c r="B25" s="983" t="s">
        <v>2486</v>
      </c>
      <c r="C25" s="1351">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6"/>
      <c r="I25" s="986"/>
      <c r="J25" s="986"/>
      <c r="K25" s="987"/>
    </row>
    <row r="26" spans="1:33" s="989" customFormat="1" ht="13.5" customHeight="1">
      <c r="A26" s="967" t="s">
        <v>803</v>
      </c>
      <c r="B26" s="988" t="s">
        <v>2487</v>
      </c>
      <c r="C26" s="1352">
        <f ca="1">ROUND(IF('数据-取费表'!B22&lt;=1,(1+C24)*F25*'数据-取费表'!B24,(1+C24)*(POWER((1+F25),'数据-取费表'!B24)-1)),4)</f>
        <v>0</v>
      </c>
      <c r="D26" s="327"/>
      <c r="E26" s="328"/>
      <c r="F26" s="329"/>
      <c r="G26" s="2542" t="str">
        <f>IF('数据-取费表'!B22&lt;=1,"（(1)+取得税费率/(1+5%)）×年利率×建设期","（(1)+取得税费率）/(1+5%)×((1+年利率)^建设期-1)")</f>
        <v>（(1)+取得税费率/(1+5%)）×年利率×建设期</v>
      </c>
      <c r="H26" s="975"/>
      <c r="I26" s="975"/>
      <c r="J26" s="975"/>
      <c r="K26" s="976"/>
    </row>
    <row r="27" spans="1:33" s="989" customFormat="1" ht="13.5" customHeight="1">
      <c r="A27" s="967" t="s">
        <v>804</v>
      </c>
      <c r="B27" s="988" t="s">
        <v>2488</v>
      </c>
      <c r="C27" s="1353">
        <f ca="1">ROUND(IF('数据-取费表'!B22&lt;=1,(C21+C22+C23)*F25*'数据-取费表'!B24/2,(C21+C22+C23)*(POWER((1+F25),'数据-取费表'!B24/2)-1)),0)</f>
        <v>0</v>
      </c>
      <c r="D27" s="327"/>
      <c r="E27" s="328"/>
      <c r="F27" s="329"/>
      <c r="G27" s="2542" t="str">
        <f>IF('数据-取费表'!B22&lt;=1,"（1）-（3）项×年利率×建设期÷2","（1）-（3）项×((1+年利率)^(建设期÷2)-1)")</f>
        <v>（1）-（3）项×年利率×建设期÷2</v>
      </c>
      <c r="H27" s="975"/>
      <c r="I27" s="975"/>
      <c r="J27" s="975"/>
      <c r="K27" s="976"/>
    </row>
    <row r="28" spans="1:33" s="332" customFormat="1" ht="13.5" customHeight="1">
      <c r="A28" s="957" t="s">
        <v>2489</v>
      </c>
      <c r="B28" s="2543" t="s">
        <v>2490</v>
      </c>
      <c r="C28" s="330">
        <f ca="1">C30</f>
        <v>0</v>
      </c>
      <c r="D28" s="323">
        <f ca="1">C29</f>
        <v>0</v>
      </c>
      <c r="E28" s="325" t="s">
        <v>15</v>
      </c>
      <c r="F28" s="331">
        <f ca="1">IF(C1="",'数据-取费表'!Q16,INDIRECT("'数据-取费表'!q"&amp;$K$1))</f>
        <v>0.09</v>
      </c>
      <c r="G28" s="985"/>
      <c r="H28" s="986"/>
      <c r="I28" s="986"/>
      <c r="J28" s="986"/>
      <c r="K28" s="987"/>
    </row>
    <row r="29" spans="1:33" s="334" customFormat="1" ht="13.5" customHeight="1">
      <c r="A29" s="967" t="s">
        <v>803</v>
      </c>
      <c r="B29" s="990" t="s">
        <v>2491</v>
      </c>
      <c r="C29" s="327">
        <f ca="1">ROUND((1+C24)*F28*'数据-取费表'!B24/'数据-取费表'!B20,4)</f>
        <v>0</v>
      </c>
      <c r="D29" s="327"/>
      <c r="E29" s="328"/>
      <c r="F29" s="333"/>
      <c r="G29" s="139" t="s">
        <v>2492</v>
      </c>
      <c r="H29" s="975"/>
      <c r="I29" s="975"/>
      <c r="J29" s="975"/>
      <c r="K29" s="976"/>
    </row>
    <row r="30" spans="1:33" s="334" customFormat="1" ht="13.5" customHeight="1">
      <c r="A30" s="967" t="s">
        <v>804</v>
      </c>
      <c r="B30" s="990" t="s">
        <v>2493</v>
      </c>
      <c r="C30" s="335">
        <f ca="1">ROUND((C21+C22+C23)*F28,0)</f>
        <v>0</v>
      </c>
      <c r="D30" s="327"/>
      <c r="E30" s="328"/>
      <c r="F30" s="333"/>
      <c r="G30" s="139"/>
      <c r="H30" s="975"/>
      <c r="I30" s="975"/>
      <c r="J30" s="975"/>
      <c r="K30" s="976"/>
    </row>
    <row r="31" spans="1:33" s="971" customFormat="1" ht="13.5" customHeight="1" thickBot="1">
      <c r="A31" s="2544" t="s">
        <v>2494</v>
      </c>
      <c r="B31" s="1001" t="s">
        <v>2495</v>
      </c>
      <c r="C31" s="1002">
        <f>ROUND(C4*F31/(1+'数据-取费表'!C42),0)</f>
        <v>0</v>
      </c>
      <c r="D31" s="1003"/>
      <c r="E31" s="1004"/>
      <c r="F31" s="1005">
        <f>'数据-取费表'!B41</f>
        <v>5.6000000000000001E-2</v>
      </c>
      <c r="G31" s="1006" t="s">
        <v>2496</v>
      </c>
      <c r="H31" s="1007"/>
      <c r="I31" s="1007"/>
      <c r="J31" s="1007"/>
      <c r="K31" s="1008"/>
    </row>
    <row r="32" spans="1:33" s="966" customFormat="1" ht="13.5" customHeight="1" thickBot="1">
      <c r="A32" s="996" t="s">
        <v>2497</v>
      </c>
      <c r="B32" s="997"/>
      <c r="C32" s="998">
        <f ca="1">ROUND((C4-C21-C22-C23-C25-C28-C31)/(1+C24+D25+D28),0)</f>
        <v>0</v>
      </c>
      <c r="D32" s="997"/>
      <c r="E32" s="997"/>
      <c r="F32" s="997"/>
      <c r="G32" s="999" t="s">
        <v>2498</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F13"/>
  <sheetViews>
    <sheetView workbookViewId="0">
      <selection activeCell="H9" sqref="H9"/>
    </sheetView>
  </sheetViews>
  <sheetFormatPr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45" t="s">
        <v>2506</v>
      </c>
      <c r="B1" s="2546"/>
      <c r="C1" s="2546"/>
      <c r="D1" s="2546"/>
      <c r="E1" s="2547"/>
    </row>
    <row r="2" spans="1:6" ht="15.75">
      <c r="A2" s="2548" t="s">
        <v>2307</v>
      </c>
      <c r="B2" s="2549">
        <f ca="1">SUMIF(B6:B13,"&lt;&gt;#ref!",B6:B13)</f>
        <v>9131</v>
      </c>
      <c r="C2" s="2550" t="s">
        <v>2499</v>
      </c>
      <c r="D2" s="2551" t="s">
        <v>2500</v>
      </c>
      <c r="E2" s="2552">
        <f>SUM(E6:E13)</f>
        <v>8377.9700000000012</v>
      </c>
    </row>
    <row r="3" spans="1:6" ht="15.75">
      <c r="A3" s="2548" t="s">
        <v>1395</v>
      </c>
      <c r="B3" s="2549">
        <f ca="1">ROUND(B2*10000/E2,0)</f>
        <v>10899</v>
      </c>
      <c r="C3" s="2550" t="s">
        <v>2507</v>
      </c>
      <c r="D3" s="2553"/>
      <c r="E3" s="2554"/>
    </row>
    <row r="4" spans="1:6" ht="15.75">
      <c r="A4" s="2555"/>
      <c r="B4" s="2553"/>
      <c r="C4" s="2553"/>
      <c r="D4" s="2553"/>
      <c r="E4" s="2554"/>
    </row>
    <row r="5" spans="1:6" ht="15">
      <c r="A5" s="2556" t="s">
        <v>2501</v>
      </c>
      <c r="B5" s="3248" t="s">
        <v>2502</v>
      </c>
      <c r="C5" s="3248"/>
      <c r="D5" s="2557"/>
      <c r="E5" s="2558" t="s">
        <v>2503</v>
      </c>
      <c r="F5" s="2559" t="s">
        <v>2504</v>
      </c>
    </row>
    <row r="6" spans="1:6">
      <c r="A6" s="2560" t="str">
        <f>'数据-取费表'!AN6</f>
        <v>收益法-工业</v>
      </c>
      <c r="B6" s="2559">
        <f ca="1">IF(F6="是",'数据-取费表'!AO6,0)</f>
        <v>7187</v>
      </c>
      <c r="C6" s="2550" t="s">
        <v>2499</v>
      </c>
      <c r="D6" s="2553"/>
      <c r="E6" s="2561">
        <f>IF(OR(A6=0,F6="否"),0,'数据-取费表'!K6+'数据-取费表'!S6)</f>
        <v>5936.130000000001</v>
      </c>
      <c r="F6" s="2562" t="s">
        <v>2505</v>
      </c>
    </row>
    <row r="7" spans="1:6">
      <c r="A7" s="2560" t="str">
        <f>'数据-取费表'!AN7</f>
        <v>收益法-办公</v>
      </c>
      <c r="B7" s="2559">
        <f ca="1">IF(F7="是",'数据-取费表'!AO7,0)</f>
        <v>1944</v>
      </c>
      <c r="C7" s="2550" t="s">
        <v>2499</v>
      </c>
      <c r="D7" s="2553"/>
      <c r="E7" s="2561">
        <f>IF(OR(A7=0,F7="否"),0,'数据-取费表'!K7+'数据-取费表'!S7)</f>
        <v>2441.84</v>
      </c>
      <c r="F7" s="2562" t="s">
        <v>2505</v>
      </c>
    </row>
    <row r="8" spans="1:6">
      <c r="A8" s="2560">
        <f>'数据-取费表'!AN8</f>
        <v>0</v>
      </c>
      <c r="B8" s="2559">
        <f>IF(F8="是",'数据-取费表'!AO8,0)</f>
        <v>0</v>
      </c>
      <c r="C8" s="2550" t="s">
        <v>2499</v>
      </c>
      <c r="D8" s="2553"/>
      <c r="E8" s="2561">
        <f>IF(OR(A8=0,F8="否"),0,'数据-取费表'!K8+'数据-取费表'!S8)</f>
        <v>0</v>
      </c>
      <c r="F8" s="2562"/>
    </row>
    <row r="9" spans="1:6">
      <c r="A9" s="2560">
        <f>'数据-取费表'!AN9</f>
        <v>0</v>
      </c>
      <c r="B9" s="2559">
        <f>IF(F9="是",'数据-取费表'!AO9,0)</f>
        <v>0</v>
      </c>
      <c r="C9" s="2550" t="s">
        <v>2499</v>
      </c>
      <c r="D9" s="2553"/>
      <c r="E9" s="2561">
        <f>IF(OR(A9=0,F9="否"),0,'数据-取费表'!K9+'数据-取费表'!S9)</f>
        <v>0</v>
      </c>
      <c r="F9" s="2562"/>
    </row>
    <row r="10" spans="1:6">
      <c r="A10" s="2560">
        <f>'数据-取费表'!AN10</f>
        <v>0</v>
      </c>
      <c r="B10" s="2559">
        <f>IF(F10="是",'数据-取费表'!AO10,0)</f>
        <v>0</v>
      </c>
      <c r="C10" s="2550" t="s">
        <v>2499</v>
      </c>
      <c r="D10" s="2553"/>
      <c r="E10" s="2561">
        <f>IF(OR(A10=0,F10="否"),0,'数据-取费表'!K10+'数据-取费表'!S10)</f>
        <v>0</v>
      </c>
      <c r="F10" s="2562"/>
    </row>
    <row r="11" spans="1:6">
      <c r="A11" s="2560">
        <f>'数据-取费表'!AN11</f>
        <v>0</v>
      </c>
      <c r="B11" s="2559">
        <f>IF(F11="是",'数据-取费表'!AO11,0)</f>
        <v>0</v>
      </c>
      <c r="C11" s="2550" t="s">
        <v>2499</v>
      </c>
      <c r="D11" s="2553"/>
      <c r="E11" s="2561">
        <f>IF(OR(A11=0,F11="否"),0,'数据-取费表'!K11+'数据-取费表'!S11)</f>
        <v>0</v>
      </c>
      <c r="F11" s="2562"/>
    </row>
    <row r="12" spans="1:6">
      <c r="A12" s="2560">
        <f>'数据-取费表'!AN12</f>
        <v>0</v>
      </c>
      <c r="B12" s="2559">
        <f>IF(F12="是",'数据-取费表'!AO12,0)</f>
        <v>0</v>
      </c>
      <c r="C12" s="2550" t="s">
        <v>2499</v>
      </c>
      <c r="D12" s="2553"/>
      <c r="E12" s="2561">
        <f>IF(OR(A12=0,F12="否"),0,'数据-取费表'!K12+'数据-取费表'!S12)</f>
        <v>0</v>
      </c>
      <c r="F12" s="2562"/>
    </row>
    <row r="13" spans="1:6" ht="15" thickBot="1">
      <c r="A13" s="2563">
        <f>'数据-取费表'!AN13</f>
        <v>0</v>
      </c>
      <c r="B13" s="2559">
        <f>IF(F13="是",'数据-取费表'!AO13,0)</f>
        <v>0</v>
      </c>
      <c r="C13" s="2564" t="s">
        <v>2499</v>
      </c>
      <c r="D13" s="2565"/>
      <c r="E13" s="2561">
        <f>IF(OR(A13=0,F13="否"),0,'数据-取费表'!K13+'数据-取费表'!S13)</f>
        <v>0</v>
      </c>
      <c r="F13" s="2562"/>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7"/>
  </sheetPr>
  <dimension ref="A1:AK83"/>
  <sheetViews>
    <sheetView zoomScale="90" zoomScaleNormal="90" zoomScaleSheetLayoutView="90" workbookViewId="0">
      <selection activeCell="I39" sqref="I39"/>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8" customWidth="1"/>
    <col min="12" max="12" width="16.375" style="301" customWidth="1"/>
    <col min="13" max="13" width="13" style="301"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1"/>
  </cols>
  <sheetData>
    <row r="1" spans="1:37" s="336" customFormat="1" ht="21">
      <c r="A1" s="1826" t="s">
        <v>1589</v>
      </c>
      <c r="B1" s="780"/>
      <c r="C1" s="1830" t="s">
        <v>3260</v>
      </c>
      <c r="D1" s="1813" t="s">
        <v>70</v>
      </c>
      <c r="E1" s="1814" t="s">
        <v>1387</v>
      </c>
      <c r="F1" s="1278">
        <f ca="1">J53</f>
        <v>27</v>
      </c>
      <c r="G1" s="1829">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1515</v>
      </c>
      <c r="B2" s="1837">
        <f ca="1">C40+J29+L46</f>
        <v>7187</v>
      </c>
      <c r="C2" s="1838" t="s">
        <v>1516</v>
      </c>
      <c r="D2" s="1838"/>
      <c r="E2" s="1839"/>
      <c r="F2" s="1840"/>
      <c r="G2" s="1841"/>
      <c r="H2" s="1833"/>
      <c r="I2" s="1833"/>
      <c r="J2" s="1833"/>
      <c r="K2" s="1834"/>
      <c r="L2" s="1833"/>
      <c r="M2" s="1833"/>
    </row>
    <row r="3" spans="1:37" ht="18" customHeight="1" thickBot="1">
      <c r="A3" s="1842" t="s">
        <v>1517</v>
      </c>
      <c r="B3" s="1843">
        <f ca="1">IF(ISERROR(B2*10000/F43),0,ROUND(B2*10000/F43,0))</f>
        <v>13380</v>
      </c>
      <c r="C3" s="1838" t="s">
        <v>1518</v>
      </c>
      <c r="D3" s="1838"/>
      <c r="E3" s="1839"/>
      <c r="F3" s="1840"/>
      <c r="G3" s="1841"/>
      <c r="H3" s="742" t="s">
        <v>1588</v>
      </c>
      <c r="I3" s="1833"/>
      <c r="J3" s="1833"/>
      <c r="K3" s="1834"/>
      <c r="L3" s="1833"/>
      <c r="M3" s="1833"/>
    </row>
    <row r="4" spans="1:37" ht="18" customHeight="1">
      <c r="A4" s="339" t="s">
        <v>1396</v>
      </c>
      <c r="B4" s="340" t="s">
        <v>1397</v>
      </c>
      <c r="C4" s="340" t="s">
        <v>1398</v>
      </c>
      <c r="D4" s="340" t="s">
        <v>1399</v>
      </c>
      <c r="E4" s="341" t="s">
        <v>1400</v>
      </c>
      <c r="F4" s="342"/>
      <c r="G4" s="1844"/>
      <c r="H4" s="339" t="s">
        <v>1396</v>
      </c>
      <c r="I4" s="340" t="s">
        <v>1397</v>
      </c>
      <c r="J4" s="340" t="s">
        <v>1398</v>
      </c>
      <c r="K4" s="340" t="s">
        <v>1399</v>
      </c>
      <c r="L4" s="341" t="s">
        <v>1400</v>
      </c>
      <c r="M4" s="342"/>
    </row>
    <row r="5" spans="1:37" ht="18" customHeight="1">
      <c r="A5" s="343">
        <v>1</v>
      </c>
      <c r="B5" s="344" t="s">
        <v>1401</v>
      </c>
      <c r="C5" s="1287">
        <f ca="1">C6+C10+C12</f>
        <v>404</v>
      </c>
      <c r="D5" s="1815" t="s">
        <v>1402</v>
      </c>
      <c r="E5" s="1288"/>
      <c r="F5" s="1289"/>
      <c r="G5" s="1844"/>
      <c r="H5" s="343">
        <v>1</v>
      </c>
      <c r="I5" s="344" t="s">
        <v>1401</v>
      </c>
      <c r="J5" s="1287">
        <f ca="1">J6+J10+J12</f>
        <v>0</v>
      </c>
      <c r="K5" s="1815" t="s">
        <v>1402</v>
      </c>
      <c r="L5" s="1288"/>
      <c r="M5" s="1289"/>
    </row>
    <row r="6" spans="1:37" ht="18" customHeight="1">
      <c r="A6" s="1286" t="s">
        <v>1035</v>
      </c>
      <c r="B6" s="3251" t="s">
        <v>1403</v>
      </c>
      <c r="C6" s="1291">
        <f ca="1">ROUND(F6*F8*F7*(1-F9)/10000,0)</f>
        <v>403</v>
      </c>
      <c r="D6" s="163" t="s">
        <v>3012</v>
      </c>
      <c r="E6" s="346" t="s">
        <v>1405</v>
      </c>
      <c r="F6" s="347">
        <f ca="1">INDIRECT("'数据-取费表'!u"&amp;$G$1)</f>
        <v>4240000</v>
      </c>
      <c r="G6" s="1844"/>
      <c r="H6" s="1286" t="s">
        <v>1035</v>
      </c>
      <c r="I6" s="3251" t="s">
        <v>1403</v>
      </c>
      <c r="J6" s="345">
        <f ca="1">ROUND(M6*M8*M7*(1-M9)/10000,0)</f>
        <v>0</v>
      </c>
      <c r="K6" s="163" t="s">
        <v>3011</v>
      </c>
      <c r="L6" s="346" t="s">
        <v>1405</v>
      </c>
      <c r="M6" s="347">
        <f ca="1">INDIRECT("'数据-取费表'!z"&amp;$G$1)</f>
        <v>0</v>
      </c>
    </row>
    <row r="7" spans="1:37" ht="18" customHeight="1">
      <c r="A7" s="1290"/>
      <c r="B7" s="3252"/>
      <c r="C7" s="1292"/>
      <c r="D7" s="351"/>
      <c r="E7" s="1293" t="s">
        <v>1406</v>
      </c>
      <c r="F7" s="347">
        <f ca="1">IF(INDIRECT("'数据-取费表'!ah"&amp;$G$1)="",INDIRECT("'数据-取费表'!k"&amp;$G$1),INDIRECT("'数据-取费表'!ah"&amp;$G$1))</f>
        <v>1</v>
      </c>
      <c r="G7" s="1844"/>
      <c r="H7" s="348"/>
      <c r="I7" s="3252"/>
      <c r="J7" s="350"/>
      <c r="K7" s="351"/>
      <c r="L7" s="346" t="s">
        <v>1406</v>
      </c>
      <c r="M7" s="347">
        <f ca="1">F7</f>
        <v>1</v>
      </c>
    </row>
    <row r="8" spans="1:37" ht="18" customHeight="1">
      <c r="A8" s="348"/>
      <c r="B8" s="3252"/>
      <c r="C8" s="350"/>
      <c r="D8" s="351"/>
      <c r="E8" s="346" t="s">
        <v>1407</v>
      </c>
      <c r="F8" s="347">
        <f ca="1">INDIRECT("'数据-取费表'!ai"&amp;$G$1)</f>
        <v>1</v>
      </c>
      <c r="G8" s="1844"/>
      <c r="H8" s="348"/>
      <c r="I8" s="3252"/>
      <c r="J8" s="350"/>
      <c r="K8" s="351"/>
      <c r="L8" s="346" t="s">
        <v>1407</v>
      </c>
      <c r="M8" s="347">
        <f ca="1">INDIRECT("'数据-取费表'!ai"&amp;$G$1)</f>
        <v>1</v>
      </c>
    </row>
    <row r="9" spans="1:37" ht="18" customHeight="1">
      <c r="A9" s="348"/>
      <c r="B9" s="3253"/>
      <c r="C9" s="350"/>
      <c r="D9" s="351"/>
      <c r="E9" s="346" t="s">
        <v>1408</v>
      </c>
      <c r="F9" s="356">
        <f ca="1">INDIRECT("'数据-取费表'!w"&amp;$G$1)</f>
        <v>0.05</v>
      </c>
      <c r="G9" s="1844"/>
      <c r="H9" s="348"/>
      <c r="I9" s="3253"/>
      <c r="J9" s="350"/>
      <c r="K9" s="351"/>
      <c r="L9" s="357" t="s">
        <v>1408</v>
      </c>
      <c r="M9" s="358">
        <f ca="1">INDIRECT("'数据-取费表'!ab"&amp;$G$1)</f>
        <v>0</v>
      </c>
    </row>
    <row r="10" spans="1:37" ht="18" customHeight="1">
      <c r="A10" s="1286" t="s">
        <v>1039</v>
      </c>
      <c r="B10" s="1816" t="s">
        <v>1409</v>
      </c>
      <c r="C10" s="360">
        <f ca="1">ROUND(IF(F10="押一",C6/12*F11,IF(F10="押二",C6/12*2*F11,IF(F10="押三",C6/12*3*F11,C11*F11))),0)</f>
        <v>1</v>
      </c>
      <c r="D10" s="1817" t="s">
        <v>3021</v>
      </c>
      <c r="E10" s="357" t="s">
        <v>1410</v>
      </c>
      <c r="F10" s="1361" t="s">
        <v>3122</v>
      </c>
      <c r="G10" s="1844"/>
      <c r="H10" s="1286" t="s">
        <v>1039</v>
      </c>
      <c r="I10" s="1816" t="s">
        <v>1409</v>
      </c>
      <c r="J10" s="345">
        <f ca="1">ROUND(IF(M10="押一",J6/12*M11,IF(M10="押二",J6/12*2*M11,IF(M10="押三",J6/12*3*M11,J11*M11))),0)</f>
        <v>0</v>
      </c>
      <c r="K10" s="1817" t="s">
        <v>3020</v>
      </c>
      <c r="L10" s="357" t="s">
        <v>1410</v>
      </c>
      <c r="M10" s="1361" t="s">
        <v>1411</v>
      </c>
    </row>
    <row r="11" spans="1:37" ht="18" customHeight="1">
      <c r="A11" s="352"/>
      <c r="B11" s="1818" t="s">
        <v>1388</v>
      </c>
      <c r="C11" s="1173"/>
      <c r="D11" s="1819"/>
      <c r="E11" s="357" t="s">
        <v>1412</v>
      </c>
      <c r="F11" s="358">
        <f ca="1">'数据-取费表'!B39</f>
        <v>1.4999999999999999E-2</v>
      </c>
      <c r="G11" s="1844"/>
      <c r="H11" s="1294"/>
      <c r="I11" s="1818" t="s">
        <v>1388</v>
      </c>
      <c r="J11" s="1173"/>
      <c r="K11" s="746"/>
      <c r="L11" s="357" t="s">
        <v>1412</v>
      </c>
      <c r="M11" s="1051">
        <f ca="1">'数据-取费表'!B39</f>
        <v>1.4999999999999999E-2</v>
      </c>
    </row>
    <row r="12" spans="1:37" ht="18" customHeight="1" thickBot="1">
      <c r="A12" s="1328" t="s">
        <v>1075</v>
      </c>
      <c r="B12" s="1820" t="s">
        <v>1413</v>
      </c>
      <c r="C12" s="1329"/>
      <c r="D12" s="1330"/>
      <c r="E12" s="1335"/>
      <c r="F12" s="1331"/>
      <c r="G12" s="1844"/>
      <c r="H12" s="1328" t="s">
        <v>1075</v>
      </c>
      <c r="I12" s="1820" t="s">
        <v>1413</v>
      </c>
      <c r="J12" s="1329"/>
      <c r="K12" s="1343"/>
      <c r="L12" s="1335"/>
      <c r="M12" s="1344"/>
    </row>
    <row r="13" spans="1:37" ht="18" customHeight="1" thickTop="1">
      <c r="A13" s="1324">
        <v>2</v>
      </c>
      <c r="B13" s="1325" t="s">
        <v>1414</v>
      </c>
      <c r="C13" s="354">
        <f ca="1">ROUND(C29*F13,0)</f>
        <v>899</v>
      </c>
      <c r="D13" s="1326" t="s">
        <v>1415</v>
      </c>
      <c r="E13" s="1326" t="s">
        <v>1416</v>
      </c>
      <c r="F13" s="1327">
        <f ca="1">INDIRECT("'数据-取费表'!y"&amp;$G$1)</f>
        <v>0.78</v>
      </c>
      <c r="G13" s="1844"/>
      <c r="H13" s="1324">
        <v>2</v>
      </c>
      <c r="I13" s="1325" t="s">
        <v>1414</v>
      </c>
      <c r="J13" s="1285">
        <f ca="1">ROUND(J14*J15,0)</f>
        <v>0</v>
      </c>
      <c r="K13" s="1332" t="s">
        <v>1415</v>
      </c>
      <c r="L13" s="1845"/>
      <c r="M13" s="1846"/>
    </row>
    <row r="14" spans="1:37" ht="18" customHeight="1">
      <c r="A14" s="1196" t="s">
        <v>1034</v>
      </c>
      <c r="B14" s="346" t="s">
        <v>1417</v>
      </c>
      <c r="C14" s="362">
        <f ca="1">INDIRECT("'数据-取费表'!m"&amp;$G$1)+INDIRECT("'数据-取费表'!t"&amp;$G$1)</f>
        <v>806</v>
      </c>
      <c r="D14" s="1793" t="s">
        <v>1418</v>
      </c>
      <c r="E14" s="1787"/>
      <c r="F14" s="363"/>
      <c r="G14" s="1844"/>
      <c r="H14" s="1196" t="s">
        <v>1035</v>
      </c>
      <c r="I14" s="346" t="s">
        <v>1419</v>
      </c>
      <c r="J14" s="24">
        <f ca="1">C29</f>
        <v>1153</v>
      </c>
      <c r="K14" s="15"/>
      <c r="L14" s="975"/>
      <c r="M14" s="976"/>
    </row>
    <row r="15" spans="1:37" s="1851" customFormat="1" ht="18" customHeight="1" thickBot="1">
      <c r="A15" s="1196" t="s">
        <v>1036</v>
      </c>
      <c r="B15" s="346" t="s">
        <v>1420</v>
      </c>
      <c r="C15" s="24">
        <f ca="1">ROUND(C14*F15,0)</f>
        <v>24</v>
      </c>
      <c r="D15" s="364" t="s">
        <v>1421</v>
      </c>
      <c r="E15" s="364" t="s">
        <v>1422</v>
      </c>
      <c r="F15" s="365">
        <f>'数据-取费表'!B33</f>
        <v>0.03</v>
      </c>
      <c r="G15" s="1847"/>
      <c r="H15" s="1334" t="s">
        <v>1039</v>
      </c>
      <c r="I15" s="1335" t="s">
        <v>1416</v>
      </c>
      <c r="J15" s="1344">
        <f ca="1">INDIRECT("'数据-取费表'!ad"&amp;$G$1)</f>
        <v>0</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1389</v>
      </c>
      <c r="B16" s="346" t="s">
        <v>1423</v>
      </c>
      <c r="C16" s="24">
        <f ca="1">ROUND(INDIRECT("'数据-取费表'!m"&amp;$G$1)*F16,0)</f>
        <v>0</v>
      </c>
      <c r="D16" s="346" t="s">
        <v>1421</v>
      </c>
      <c r="E16" s="346" t="s">
        <v>1422</v>
      </c>
      <c r="F16" s="366">
        <f ca="1">IF(INDIRECT("'数据-取费表'!c"&amp;$G$1)="住宅",'数据-取费表'!B34,0)</f>
        <v>0</v>
      </c>
      <c r="G16" s="1844"/>
      <c r="H16" s="1324" t="s">
        <v>1030</v>
      </c>
      <c r="I16" s="1325" t="s">
        <v>1424</v>
      </c>
      <c r="J16" s="354">
        <f ca="1">ROUND(J17+J22+J23+J24,0)</f>
        <v>25</v>
      </c>
      <c r="K16" s="1332" t="s">
        <v>1425</v>
      </c>
      <c r="L16" s="1333"/>
      <c r="M16" s="1289"/>
    </row>
    <row r="17" spans="1:37" s="1851" customFormat="1" ht="18" customHeight="1">
      <c r="A17" s="1196" t="s">
        <v>1390</v>
      </c>
      <c r="B17" s="346" t="s">
        <v>1426</v>
      </c>
      <c r="C17" s="24">
        <f ca="1">ROUND(F17*(F43+INDIRECT("'数据-取费表'!S"&amp;$G$1))/10000,0)</f>
        <v>119</v>
      </c>
      <c r="D17" s="346" t="s">
        <v>1427</v>
      </c>
      <c r="E17" s="346" t="s">
        <v>1428</v>
      </c>
      <c r="F17" s="26">
        <f>'数据-取费表'!B35</f>
        <v>200</v>
      </c>
      <c r="G17" s="1847"/>
      <c r="H17" s="1196" t="s">
        <v>1035</v>
      </c>
      <c r="I17" s="346" t="s">
        <v>1429</v>
      </c>
      <c r="J17" s="24">
        <f ca="1">ROUND(IF(项目基本情况!B11="自然人",J5*M17,J18+J19+J20),1)</f>
        <v>13.9</v>
      </c>
      <c r="K17" s="1793" t="s">
        <v>1430</v>
      </c>
      <c r="L17" s="1791" t="s">
        <v>1431</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1391</v>
      </c>
      <c r="B18" s="346" t="s">
        <v>1432</v>
      </c>
      <c r="C18" s="24">
        <f ca="1">ROUND(C14*F18,0)</f>
        <v>12</v>
      </c>
      <c r="D18" s="346" t="s">
        <v>1421</v>
      </c>
      <c r="E18" s="346" t="s">
        <v>1422</v>
      </c>
      <c r="F18" s="366">
        <f>'数据-取费表'!B36</f>
        <v>1.4999999999999999E-2</v>
      </c>
      <c r="G18" s="1847"/>
      <c r="H18" s="1196" t="s">
        <v>1034</v>
      </c>
      <c r="I18" s="346" t="s">
        <v>1433</v>
      </c>
      <c r="J18" s="24">
        <f ca="1">ROUND(J5*M18/(1+'数据-取费表'!C42),2)</f>
        <v>0</v>
      </c>
      <c r="K18" s="1791" t="s">
        <v>1434</v>
      </c>
      <c r="L18" s="346" t="s">
        <v>1422</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1035</v>
      </c>
      <c r="B19" s="346" t="s">
        <v>1435</v>
      </c>
      <c r="C19" s="24">
        <f ca="1">SUM(C14:C18)</f>
        <v>961</v>
      </c>
      <c r="D19" s="139" t="s">
        <v>1436</v>
      </c>
      <c r="E19" s="1811"/>
      <c r="F19" s="26"/>
      <c r="G19" s="1844"/>
      <c r="H19" s="1196" t="s">
        <v>1036</v>
      </c>
      <c r="I19" s="346" t="s">
        <v>1437</v>
      </c>
      <c r="J19" s="24">
        <f ca="1">IF(K19="按租金收入计税",ROUND(J5*M19,2),ROUND(C29*M19*0.7,2))</f>
        <v>9.69</v>
      </c>
      <c r="K19" s="1821" t="s">
        <v>1438</v>
      </c>
      <c r="L19" s="346" t="s">
        <v>1422</v>
      </c>
      <c r="M19" s="366">
        <f>IF(K19="按租金收入计税",'数据-取费表'!B51,'数据-取费表'!B50)</f>
        <v>1.2E-2</v>
      </c>
    </row>
    <row r="20" spans="1:37" s="1851" customFormat="1" ht="18" customHeight="1">
      <c r="A20" s="1196" t="s">
        <v>1039</v>
      </c>
      <c r="B20" s="346" t="s">
        <v>1439</v>
      </c>
      <c r="C20" s="24">
        <f ca="1">ROUND(C19*F20,0)</f>
        <v>19</v>
      </c>
      <c r="D20" s="368" t="s">
        <v>1440</v>
      </c>
      <c r="E20" s="346" t="s">
        <v>1422</v>
      </c>
      <c r="F20" s="366">
        <f>'数据-取费表'!B37</f>
        <v>0.02</v>
      </c>
      <c r="G20" s="1847"/>
      <c r="H20" s="1196" t="s">
        <v>1389</v>
      </c>
      <c r="I20" s="163" t="s">
        <v>1441</v>
      </c>
      <c r="J20" s="25">
        <f ca="1">ROUND(M20*M21/10000,2)</f>
        <v>4.25</v>
      </c>
      <c r="K20" s="369" t="s">
        <v>1442</v>
      </c>
      <c r="L20" s="346" t="s">
        <v>1443</v>
      </c>
      <c r="M20" s="370">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1075</v>
      </c>
      <c r="B21" s="346" t="s">
        <v>1444</v>
      </c>
      <c r="C21" s="24" t="s">
        <v>18</v>
      </c>
      <c r="D21" s="368" t="s">
        <v>1445</v>
      </c>
      <c r="E21" s="346" t="s">
        <v>1446</v>
      </c>
      <c r="F21" s="366">
        <f>'数据-取费表'!B38</f>
        <v>0.01</v>
      </c>
      <c r="G21" s="1847"/>
      <c r="H21" s="371"/>
      <c r="I21" s="355"/>
      <c r="J21" s="29"/>
      <c r="K21" s="372"/>
      <c r="L21" s="346" t="s">
        <v>1447</v>
      </c>
      <c r="M21" s="347">
        <f ca="1">INDIRECT("'数据-取费表'!r"&amp;$G$1)</f>
        <v>28306.55</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1392</v>
      </c>
      <c r="B22" s="346" t="s">
        <v>1448</v>
      </c>
      <c r="C22" s="24"/>
      <c r="D22" s="139" t="str">
        <f>IF(F23&lt;=1,"单利计息。","复利计息。")&amp;"建造成本、管理费用、销售费用产生的利息。"</f>
        <v>单利计息。建造成本、管理费用、销售费用产生的利息。</v>
      </c>
      <c r="E22" s="1811"/>
      <c r="F22" s="26"/>
      <c r="G22" s="1844"/>
      <c r="H22" s="1196" t="s">
        <v>1039</v>
      </c>
      <c r="I22" s="346" t="s">
        <v>1449</v>
      </c>
      <c r="J22" s="24">
        <f ca="1">ROUND(J14*M22,1)</f>
        <v>11.5</v>
      </c>
      <c r="K22" s="1791" t="s">
        <v>1450</v>
      </c>
      <c r="L22" s="346" t="s">
        <v>1422</v>
      </c>
      <c r="M22" s="373">
        <f ca="1">INDIRECT("'数据-取费表'!Ak"&amp;$G$1)</f>
        <v>0.01</v>
      </c>
    </row>
    <row r="23" spans="1:37" s="1851" customFormat="1" ht="18" customHeight="1">
      <c r="A23" s="1196" t="s">
        <v>1034</v>
      </c>
      <c r="B23" s="346" t="s">
        <v>1451</v>
      </c>
      <c r="C23" s="24">
        <f ca="1">IF('数据-取费表'!B22&lt;=1,ROUND(C19*F24*F23/2,0)+ROUND(C20*F24*F23/2,0),ROUND(C19*(POWER((1+F24),F23/2)-1),0)+ROUND(C20*(POWER((1+F24),F23/2)-1),0))</f>
        <v>21</v>
      </c>
      <c r="D23" s="374" t="str">
        <f>IF(F23&lt;=1,"(建造成本+管理费用)×利率×(建设周期÷2)","(建造成本+管理费用)×((1+利率)^(建设周期÷2)-1)")</f>
        <v>(建造成本+管理费用)×利率×(建设周期÷2)</v>
      </c>
      <c r="E23" s="346" t="s">
        <v>1452</v>
      </c>
      <c r="F23" s="370">
        <f>'数据-取费表'!B20</f>
        <v>1</v>
      </c>
      <c r="G23" s="1847"/>
      <c r="H23" s="1196" t="s">
        <v>1075</v>
      </c>
      <c r="I23" s="346" t="s">
        <v>1453</v>
      </c>
      <c r="J23" s="24">
        <f ca="1">ROUND(J13*M23,1)</f>
        <v>0</v>
      </c>
      <c r="K23" s="1791" t="s">
        <v>1454</v>
      </c>
      <c r="L23" s="346" t="s">
        <v>1455</v>
      </c>
      <c r="M23" s="375">
        <f ca="1">INDIRECT("'数据-取费表'!Al"&amp;$G$1)</f>
        <v>1E-3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1456</v>
      </c>
      <c r="B24" s="346" t="s">
        <v>1457</v>
      </c>
      <c r="C24" s="24">
        <f ca="1">ROUND(IF('数据-取费表'!B22&lt;=1,F21*F24*F23/2,F21*(POWER((1+F24),F23/2)-1)),4)</f>
        <v>2.0000000000000001E-4</v>
      </c>
      <c r="D24" s="374" t="str">
        <f>IF(F23&lt;=1,"销售费用×利率×(建设周期÷2)","销售费用×((1+利率)^(建设周期÷2)-1)")</f>
        <v>销售费用×利率×(建设周期÷2)</v>
      </c>
      <c r="E24" s="346" t="s">
        <v>1458</v>
      </c>
      <c r="F24" s="376">
        <f ca="1">'数据-取费表'!B40</f>
        <v>4.3499999999999997E-2</v>
      </c>
      <c r="G24" s="1847"/>
      <c r="H24" s="1334" t="s">
        <v>1393</v>
      </c>
      <c r="I24" s="1335" t="s">
        <v>1439</v>
      </c>
      <c r="J24" s="1336">
        <f ca="1">ROUND(J5*M24,1)</f>
        <v>0</v>
      </c>
      <c r="K24" s="1337" t="s">
        <v>1459</v>
      </c>
      <c r="L24" s="1335" t="s">
        <v>1455</v>
      </c>
      <c r="M24" s="1331">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6" t="s">
        <v>1460</v>
      </c>
      <c r="B25" s="346" t="s">
        <v>1461</v>
      </c>
      <c r="C25" s="24"/>
      <c r="D25" s="139" t="s">
        <v>1462</v>
      </c>
      <c r="E25" s="1811"/>
      <c r="F25" s="26"/>
      <c r="G25" s="1844"/>
      <c r="H25" s="1324" t="s">
        <v>1031</v>
      </c>
      <c r="I25" s="1339" t="s">
        <v>1463</v>
      </c>
      <c r="J25" s="354">
        <f ca="1">J5-J16</f>
        <v>-25</v>
      </c>
      <c r="K25" s="1340" t="s">
        <v>1464</v>
      </c>
      <c r="L25" s="1341"/>
      <c r="M25" s="1342"/>
    </row>
    <row r="26" spans="1:37">
      <c r="A26" s="1196" t="s">
        <v>1034</v>
      </c>
      <c r="B26" s="346" t="s">
        <v>1465</v>
      </c>
      <c r="C26" s="24">
        <f ca="1">ROUND((C19+C20)*F26,0)</f>
        <v>78</v>
      </c>
      <c r="D26" s="368" t="s">
        <v>1466</v>
      </c>
      <c r="E26" s="357" t="s">
        <v>1467</v>
      </c>
      <c r="F26" s="356">
        <f ca="1">INDIRECT("'数据-取费表'!q"&amp;$G$1)</f>
        <v>0.08</v>
      </c>
      <c r="G26" s="1844"/>
      <c r="H26" s="343" t="s">
        <v>1032</v>
      </c>
      <c r="I26" s="344" t="s">
        <v>1468</v>
      </c>
      <c r="J26" s="345">
        <f ca="1">IF(J5&lt;&gt;0,ROUND(J25*(1-((1+M28)/(1+M26))^M27)/(M26-M28),0),0)</f>
        <v>0</v>
      </c>
      <c r="K26" s="369" t="s">
        <v>1469</v>
      </c>
      <c r="L26" s="346" t="s">
        <v>1470</v>
      </c>
      <c r="M26" s="356">
        <f ca="1">INDIRECT("'数据-取费表'!I"&amp;$G$1)</f>
        <v>0.04</v>
      </c>
    </row>
    <row r="27" spans="1:37" ht="18" customHeight="1">
      <c r="A27" s="1196" t="s">
        <v>1036</v>
      </c>
      <c r="B27" s="346" t="s">
        <v>1471</v>
      </c>
      <c r="C27" s="24">
        <f ca="1">ROUND(F21*F26,4)</f>
        <v>8.0000000000000004E-4</v>
      </c>
      <c r="D27" s="368" t="s">
        <v>1472</v>
      </c>
      <c r="E27" s="364"/>
      <c r="F27" s="365"/>
      <c r="G27" s="1844"/>
      <c r="H27" s="348"/>
      <c r="I27" s="349"/>
      <c r="J27" s="350"/>
      <c r="K27" s="377" t="s">
        <v>1473</v>
      </c>
      <c r="L27" s="346" t="s">
        <v>1474</v>
      </c>
      <c r="M27" s="378">
        <f ca="1">INDIRECT("'数据-取费表'!ag"&amp;$G$1)</f>
        <v>0</v>
      </c>
    </row>
    <row r="28" spans="1:37" s="1851" customFormat="1" ht="18" customHeight="1">
      <c r="A28" s="1196" t="s">
        <v>1037</v>
      </c>
      <c r="B28" s="346" t="s">
        <v>1475</v>
      </c>
      <c r="C28" s="24">
        <f>ROUND(F28/(1+'数据-取费表'!C42),4)</f>
        <v>5.33E-2</v>
      </c>
      <c r="D28" s="368" t="s">
        <v>1476</v>
      </c>
      <c r="E28" s="346" t="s">
        <v>1422</v>
      </c>
      <c r="F28" s="366">
        <f>'数据-取费表'!B41</f>
        <v>5.6000000000000001E-2</v>
      </c>
      <c r="G28" s="1847"/>
      <c r="H28" s="352"/>
      <c r="I28" s="353"/>
      <c r="J28" s="354"/>
      <c r="K28" s="372"/>
      <c r="L28" s="346" t="s">
        <v>1477</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1038</v>
      </c>
      <c r="B29" s="1335" t="s">
        <v>1478</v>
      </c>
      <c r="C29" s="1336">
        <f ca="1">ROUND((C19+C20+C23+C26)/(1-F21-C24-C27-C28),0)</f>
        <v>1153</v>
      </c>
      <c r="D29" s="1337"/>
      <c r="E29" s="1335"/>
      <c r="F29" s="1338"/>
      <c r="G29" s="1847"/>
      <c r="H29" s="379" t="s">
        <v>1033</v>
      </c>
      <c r="I29" s="380" t="s">
        <v>1479</v>
      </c>
      <c r="J29" s="381">
        <f ca="1">ROUND(J26/(1+F40)^F41,0)</f>
        <v>0</v>
      </c>
      <c r="K29" s="382" t="s">
        <v>1480</v>
      </c>
      <c r="L29" s="383"/>
      <c r="M29" s="384">
        <f ca="1">INDIRECT("'数据-取费表'!k"&amp;$G$1)</f>
        <v>5371.4500000000007</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1030</v>
      </c>
      <c r="B30" s="1325" t="s">
        <v>1424</v>
      </c>
      <c r="C30" s="354">
        <f ca="1">ROUND(C31+C36+C37+C38,0)</f>
        <v>91</v>
      </c>
      <c r="D30" s="1332" t="s">
        <v>1425</v>
      </c>
      <c r="E30" s="1333"/>
      <c r="F30" s="1289"/>
      <c r="G30" s="1844"/>
      <c r="H30" s="743"/>
      <c r="I30" s="744"/>
      <c r="J30" s="745"/>
      <c r="K30" s="746"/>
      <c r="L30" s="747"/>
      <c r="M30" s="748"/>
    </row>
    <row r="31" spans="1:37" ht="18" customHeight="1">
      <c r="A31" s="1196" t="s">
        <v>1035</v>
      </c>
      <c r="B31" s="346" t="s">
        <v>1429</v>
      </c>
      <c r="C31" s="24">
        <f ca="1">ROUND(IF(项目基本情况!B11="自然人",C5*F31,C32+C33+C34),1)</f>
        <v>74.3</v>
      </c>
      <c r="D31" s="1793" t="s">
        <v>1430</v>
      </c>
      <c r="E31" s="1791" t="s">
        <v>1481</v>
      </c>
      <c r="F31" s="367" t="str">
        <f ca="1">IF(项目基本情况!B11="企业","",IF(INDIRECT("'数据-取费表'!c"&amp;$G$1)="住宅",5%,IF(F6*F7*F8/12/(1+'数据-取费表'!C42)&gt;20000,12%,7%)))</f>
        <v/>
      </c>
      <c r="G31" s="1844"/>
      <c r="H31" s="743"/>
      <c r="I31" s="744"/>
      <c r="J31" s="745"/>
      <c r="K31" s="746"/>
      <c r="L31" s="747"/>
      <c r="M31" s="748"/>
    </row>
    <row r="32" spans="1:37" ht="18" customHeight="1">
      <c r="A32" s="1196" t="s">
        <v>1034</v>
      </c>
      <c r="B32" s="346" t="s">
        <v>1433</v>
      </c>
      <c r="C32" s="24">
        <f ca="1">IF(项目基本情况!B11="自然人","——",ROUND(C5*F32/(1+'数据-取费表'!C42),2))</f>
        <v>21.55</v>
      </c>
      <c r="D32" s="1791" t="s">
        <v>1434</v>
      </c>
      <c r="E32" s="346" t="s">
        <v>1422</v>
      </c>
      <c r="F32" s="376">
        <f>'数据-取费表'!B41</f>
        <v>5.6000000000000001E-2</v>
      </c>
      <c r="G32" s="1844"/>
      <c r="H32" s="743"/>
      <c r="I32" s="744"/>
      <c r="J32" s="745"/>
      <c r="K32" s="746"/>
      <c r="L32" s="747"/>
      <c r="M32" s="748"/>
    </row>
    <row r="33" spans="1:18" ht="18" customHeight="1">
      <c r="A33" s="1196" t="s">
        <v>1036</v>
      </c>
      <c r="B33" s="346" t="s">
        <v>1437</v>
      </c>
      <c r="C33" s="24">
        <f ca="1">IF(项目基本情况!B11="自然人","——",IF(D33="按租金收入计税",ROUND(C5*F33,2),IF(D33="按房产原值计税",ROUND(C29*F33*0.7,2),INDIRECT("'数据-取费表'!Aj"&amp;$G$1))))</f>
        <v>48.48</v>
      </c>
      <c r="D33" s="1821" t="s">
        <v>3224</v>
      </c>
      <c r="E33" s="346" t="s">
        <v>1422</v>
      </c>
      <c r="F33" s="366">
        <f>IF(D33="按票据","——",IF(D33="按租金收入计税",'数据-取费表'!B51,'数据-取费表'!B50))</f>
        <v>0.12</v>
      </c>
      <c r="G33" s="1844"/>
      <c r="H33" s="1852"/>
      <c r="I33" s="1853"/>
      <c r="J33" s="1854"/>
      <c r="K33" s="1855"/>
      <c r="L33" s="1852"/>
      <c r="M33" s="1852"/>
    </row>
    <row r="34" spans="1:18" ht="18" customHeight="1">
      <c r="A34" s="1286" t="s">
        <v>1389</v>
      </c>
      <c r="B34" s="163" t="s">
        <v>1441</v>
      </c>
      <c r="C34" s="25">
        <f ca="1">IF(项目基本情况!B11="自然人","——",ROUND(F34*F35/10000,2))</f>
        <v>4.25</v>
      </c>
      <c r="D34" s="369" t="s">
        <v>1442</v>
      </c>
      <c r="E34" s="346" t="s">
        <v>1443</v>
      </c>
      <c r="F34" s="370">
        <f>'数据-取费表'!B52</f>
        <v>1.5</v>
      </c>
      <c r="G34" s="1844"/>
      <c r="H34" s="743"/>
      <c r="I34" s="1853"/>
      <c r="J34" s="1854"/>
      <c r="K34" s="1856"/>
      <c r="L34" s="1857"/>
      <c r="M34" s="1857"/>
    </row>
    <row r="35" spans="1:18" ht="18" customHeight="1">
      <c r="A35" s="1348"/>
      <c r="B35" s="1346"/>
      <c r="C35" s="29"/>
      <c r="D35" s="372"/>
      <c r="E35" s="346" t="s">
        <v>1447</v>
      </c>
      <c r="F35" s="347">
        <f ca="1">INDIRECT("'数据-取费表'!r"&amp;$G$1)</f>
        <v>28306.55</v>
      </c>
      <c r="G35" s="1844"/>
      <c r="H35" s="743"/>
      <c r="I35" s="1853"/>
      <c r="J35" s="1854"/>
      <c r="K35" s="1855"/>
      <c r="L35" s="1852"/>
      <c r="M35" s="1852"/>
    </row>
    <row r="36" spans="1:18" ht="18" customHeight="1">
      <c r="A36" s="1347" t="s">
        <v>1039</v>
      </c>
      <c r="B36" s="346" t="s">
        <v>1449</v>
      </c>
      <c r="C36" s="24">
        <f ca="1">ROUND(C29*F36,1)</f>
        <v>11.5</v>
      </c>
      <c r="D36" s="1791" t="s">
        <v>1482</v>
      </c>
      <c r="E36" s="346" t="s">
        <v>1422</v>
      </c>
      <c r="F36" s="373">
        <f ca="1">INDIRECT("'数据-取费表'!Ak"&amp;$G$1)</f>
        <v>0.01</v>
      </c>
      <c r="G36" s="1844"/>
      <c r="H36" s="1852"/>
      <c r="I36" s="1853"/>
      <c r="J36" s="1854"/>
      <c r="K36" s="749"/>
      <c r="L36" s="1852"/>
      <c r="M36" s="1852"/>
    </row>
    <row r="37" spans="1:18" ht="18" customHeight="1">
      <c r="A37" s="1196" t="s">
        <v>1075</v>
      </c>
      <c r="B37" s="346" t="s">
        <v>1453</v>
      </c>
      <c r="C37" s="24">
        <f ca="1">ROUND(C13*F37,1)</f>
        <v>0.9</v>
      </c>
      <c r="D37" s="1791" t="s">
        <v>1454</v>
      </c>
      <c r="E37" s="346" t="s">
        <v>1455</v>
      </c>
      <c r="F37" s="375">
        <f ca="1">INDIRECT("'数据-取费表'!Al"&amp;$G$1)</f>
        <v>1E-3</v>
      </c>
      <c r="G37" s="1844"/>
      <c r="H37" s="1852"/>
      <c r="I37" s="1853"/>
      <c r="J37" s="1854"/>
      <c r="K37" s="749"/>
      <c r="L37" s="1852"/>
      <c r="M37" s="1852"/>
    </row>
    <row r="38" spans="1:18" ht="18" customHeight="1" thickBot="1">
      <c r="A38" s="1334" t="s">
        <v>1393</v>
      </c>
      <c r="B38" s="1335" t="s">
        <v>1439</v>
      </c>
      <c r="C38" s="1336">
        <f ca="1">ROUND(C5*F38,1)</f>
        <v>4</v>
      </c>
      <c r="D38" s="1337" t="s">
        <v>1459</v>
      </c>
      <c r="E38" s="1335" t="s">
        <v>1455</v>
      </c>
      <c r="F38" s="1331">
        <f ca="1">INDIRECT("'数据-取费表'!Am"&amp;$G$1)</f>
        <v>0.01</v>
      </c>
      <c r="G38" s="1844"/>
      <c r="H38" s="1852"/>
      <c r="I38" s="1853"/>
      <c r="J38" s="1854"/>
      <c r="K38" s="1858"/>
      <c r="L38" s="1852"/>
      <c r="M38" s="1852"/>
    </row>
    <row r="39" spans="1:18" ht="24.6" customHeight="1" thickTop="1">
      <c r="A39" s="1324" t="s">
        <v>1031</v>
      </c>
      <c r="B39" s="1339" t="s">
        <v>1483</v>
      </c>
      <c r="C39" s="354">
        <f ca="1">C5-C30</f>
        <v>313</v>
      </c>
      <c r="D39" s="1340" t="s">
        <v>1484</v>
      </c>
      <c r="E39" s="1341"/>
      <c r="F39" s="1342"/>
      <c r="G39" s="1844"/>
      <c r="H39" s="1852"/>
      <c r="I39" s="1853"/>
      <c r="J39" s="1854"/>
      <c r="K39" s="1858"/>
      <c r="L39" s="1852"/>
      <c r="M39" s="1852"/>
    </row>
    <row r="40" spans="1:18" ht="18" customHeight="1">
      <c r="A40" s="343" t="s">
        <v>1032</v>
      </c>
      <c r="B40" s="344" t="s">
        <v>1485</v>
      </c>
      <c r="C40" s="345">
        <f ca="1">ROUND(C39*(1-((1+F42)/(1+F40))^F41)/(F40-F42),0)</f>
        <v>7187</v>
      </c>
      <c r="D40" s="369" t="s">
        <v>1469</v>
      </c>
      <c r="E40" s="346" t="s">
        <v>1470</v>
      </c>
      <c r="F40" s="356">
        <f ca="1">INDIRECT("'数据-取费表'!I"&amp;$G$1)</f>
        <v>0.04</v>
      </c>
      <c r="G40" s="1844"/>
      <c r="H40" s="1832"/>
      <c r="I40" s="1853"/>
      <c r="J40" s="1854"/>
      <c r="K40" s="1858"/>
      <c r="L40" s="1832"/>
      <c r="M40" s="1832"/>
    </row>
    <row r="41" spans="1:18" ht="18" customHeight="1">
      <c r="A41" s="348"/>
      <c r="B41" s="349"/>
      <c r="C41" s="350"/>
      <c r="D41" s="377" t="s">
        <v>1486</v>
      </c>
      <c r="E41" s="346" t="s">
        <v>1474</v>
      </c>
      <c r="F41" s="378">
        <f ca="1">IF(INDIRECT("'数据-取费表'!af"&amp;$G$1)=0,INDIRECT("'数据-取费表'!ae"&amp;$G$1),INDIRECT("'数据-取费表'!af"&amp;$G$1))</f>
        <v>27</v>
      </c>
      <c r="G41" s="1844"/>
      <c r="H41" s="730"/>
      <c r="I41" s="1853"/>
      <c r="J41" s="1854"/>
      <c r="K41" s="749"/>
      <c r="L41" s="730"/>
      <c r="M41" s="730"/>
    </row>
    <row r="42" spans="1:18" ht="18" customHeight="1">
      <c r="A42" s="352"/>
      <c r="B42" s="353"/>
      <c r="C42" s="354"/>
      <c r="D42" s="372"/>
      <c r="E42" s="346" t="s">
        <v>1477</v>
      </c>
      <c r="F42" s="356">
        <f ca="1">INDIRECT("'数据-取费表'!v"&amp;$G$1)</f>
        <v>0.03</v>
      </c>
      <c r="G42" s="1844"/>
      <c r="H42" s="730"/>
      <c r="I42" s="1853"/>
      <c r="J42" s="1854"/>
      <c r="K42" s="749"/>
      <c r="L42" s="730"/>
      <c r="M42" s="730"/>
    </row>
    <row r="43" spans="1:18" ht="18" customHeight="1" thickBot="1">
      <c r="A43" s="379" t="s">
        <v>1033</v>
      </c>
      <c r="B43" s="380" t="s">
        <v>1487</v>
      </c>
      <c r="C43" s="381">
        <f ca="1">ROUND(C40*10000/F43,0)</f>
        <v>13380</v>
      </c>
      <c r="D43" s="382" t="s">
        <v>1488</v>
      </c>
      <c r="E43" s="383" t="s">
        <v>1489</v>
      </c>
      <c r="F43" s="384">
        <f ca="1">INDIRECT("'数据-取费表'!k"&amp;$G$1)</f>
        <v>5371.4500000000007</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4"/>
      <c r="O45" s="1862" t="s">
        <v>1519</v>
      </c>
      <c r="P45" s="1832"/>
      <c r="Q45" s="1832"/>
      <c r="R45" s="1832"/>
    </row>
    <row r="46" spans="1:18" s="1835" customFormat="1" ht="13.5" thickBot="1">
      <c r="A46" s="1863" t="s">
        <v>1520</v>
      </c>
      <c r="C46" s="1864">
        <f ca="1">C68-C40</f>
        <v>-9049</v>
      </c>
      <c r="D46" s="1865" t="str">
        <f>C2</f>
        <v>万元</v>
      </c>
      <c r="E46" s="1859"/>
      <c r="F46" s="1859"/>
      <c r="I46" s="1866" t="s">
        <v>1521</v>
      </c>
      <c r="J46" s="1867"/>
      <c r="K46" s="1868"/>
      <c r="L46" s="1869" t="str">
        <f ca="1">IF(M47="住宅",0,IF(L48&gt;J51,L60,J60))</f>
        <v>0</v>
      </c>
      <c r="O46" s="1870" t="s">
        <v>1522</v>
      </c>
      <c r="P46" s="1871" t="s">
        <v>1523</v>
      </c>
      <c r="Q46" s="1872" t="s">
        <v>1524</v>
      </c>
      <c r="R46" s="1872" t="s">
        <v>1525</v>
      </c>
    </row>
    <row r="47" spans="1:18" s="1835" customFormat="1" ht="13.5" thickBot="1">
      <c r="A47" s="1160" t="s">
        <v>1396</v>
      </c>
      <c r="B47" s="1192" t="s">
        <v>1397</v>
      </c>
      <c r="C47" s="1362" t="s">
        <v>1398</v>
      </c>
      <c r="D47" s="1192" t="s">
        <v>1399</v>
      </c>
      <c r="E47" s="1274" t="s">
        <v>1400</v>
      </c>
      <c r="F47" s="1275"/>
      <c r="G47" s="790"/>
      <c r="I47" s="1873" t="s">
        <v>1526</v>
      </c>
      <c r="J47" s="1874" t="s">
        <v>3288</v>
      </c>
      <c r="K47" s="1875" t="s">
        <v>1527</v>
      </c>
      <c r="L47" s="1876">
        <f ca="1">INDIRECT("'数据-取费表'!d"&amp;$G$1)</f>
        <v>50</v>
      </c>
      <c r="M47" s="1831" t="str">
        <f>IF(ISNUMBER(FIND("住宅",C1)),"住宅","非住宅")</f>
        <v>非住宅</v>
      </c>
      <c r="O47" s="1877" t="s">
        <v>1040</v>
      </c>
      <c r="P47" s="1878" t="s">
        <v>1528</v>
      </c>
      <c r="Q47" s="1879">
        <f ca="1">C40+J29</f>
        <v>7187</v>
      </c>
      <c r="R47" s="1879" t="s">
        <v>1529</v>
      </c>
    </row>
    <row r="48" spans="1:18" s="1835" customFormat="1" ht="28.5" thickBot="1">
      <c r="A48" s="1355" t="s">
        <v>1135</v>
      </c>
      <c r="B48" s="344" t="s">
        <v>1401</v>
      </c>
      <c r="C48" s="1810">
        <f ca="1">C49+C53+C55</f>
        <v>0</v>
      </c>
      <c r="D48" s="1357"/>
      <c r="E48" s="1358"/>
      <c r="F48" s="1176"/>
      <c r="G48" s="790"/>
      <c r="H48" s="791"/>
      <c r="I48" s="1880" t="s">
        <v>1530</v>
      </c>
      <c r="J48" s="1881" t="s">
        <v>3287</v>
      </c>
      <c r="K48" s="1882" t="s">
        <v>1531</v>
      </c>
      <c r="L48" s="1883">
        <f ca="1">INDIRECT("'数据-取费表'!f"&amp;$G$1)</f>
        <v>27</v>
      </c>
      <c r="O48" s="1877" t="s">
        <v>1041</v>
      </c>
      <c r="P48" s="1878" t="s">
        <v>1532</v>
      </c>
      <c r="Q48" s="1879" t="str">
        <f ca="1">J60</f>
        <v>0</v>
      </c>
      <c r="R48" s="1879" t="s">
        <v>1533</v>
      </c>
    </row>
    <row r="49" spans="1:18" s="1835" customFormat="1" ht="13.5" thickBot="1">
      <c r="A49" s="1189" t="s">
        <v>1136</v>
      </c>
      <c r="B49" s="1822" t="s">
        <v>1490</v>
      </c>
      <c r="C49" s="1359">
        <f ca="1">ROUND(F49*F51*F50*(1-F52)/10000,0)</f>
        <v>0</v>
      </c>
      <c r="D49" s="1271" t="s">
        <v>3013</v>
      </c>
      <c r="E49" s="1823" t="s">
        <v>1491</v>
      </c>
      <c r="F49" s="1276"/>
      <c r="G49" s="1884"/>
      <c r="H49" s="791"/>
      <c r="I49" s="1880" t="s">
        <v>1534</v>
      </c>
      <c r="J49" s="1885">
        <v>2002</v>
      </c>
      <c r="K49" s="1882" t="s">
        <v>1535</v>
      </c>
      <c r="L49" s="1886"/>
      <c r="O49" s="1887" t="s">
        <v>1042</v>
      </c>
      <c r="P49" s="1878" t="s">
        <v>1536</v>
      </c>
      <c r="Q49" s="1879">
        <f ca="1">C29</f>
        <v>1153</v>
      </c>
      <c r="R49" s="1879" t="s">
        <v>1529</v>
      </c>
    </row>
    <row r="50" spans="1:18" s="1835" customFormat="1" ht="13.5" thickBot="1">
      <c r="A50" s="1190"/>
      <c r="B50" s="1193"/>
      <c r="C50" s="1363"/>
      <c r="D50" s="1167"/>
      <c r="E50" s="1272" t="s">
        <v>1406</v>
      </c>
      <c r="F50" s="1273">
        <f ca="1">F7</f>
        <v>1</v>
      </c>
      <c r="H50" s="791"/>
      <c r="I50" s="1880" t="s">
        <v>1537</v>
      </c>
      <c r="J50" s="1888">
        <f>SUMPRODUCT((I63:I65=J47)*(J62:L62=J48)*(J63:L65))</f>
        <v>70</v>
      </c>
      <c r="K50" s="1882" t="s">
        <v>1538</v>
      </c>
      <c r="L50" s="1886"/>
      <c r="M50" s="1889"/>
      <c r="O50" s="1887" t="s">
        <v>1043</v>
      </c>
      <c r="P50" s="1878" t="s">
        <v>1539</v>
      </c>
      <c r="Q50" s="1890" t="e">
        <f ca="1">J58</f>
        <v>#VALUE!</v>
      </c>
      <c r="R50" s="1879"/>
    </row>
    <row r="51" spans="1:18" s="1835" customFormat="1" ht="13.5" thickBot="1">
      <c r="A51" s="1191"/>
      <c r="B51" s="1193"/>
      <c r="C51" s="1194"/>
      <c r="D51" s="1167"/>
      <c r="E51" s="1195" t="s">
        <v>1407</v>
      </c>
      <c r="F51" s="347">
        <f ca="1">F8</f>
        <v>1</v>
      </c>
      <c r="I51" s="1891" t="s">
        <v>1540</v>
      </c>
      <c r="J51" s="1892">
        <f>IF(J49="",J50,J49+J50-YEAR('数据-取费表'!B2))</f>
        <v>54</v>
      </c>
      <c r="K51" s="1893" t="s">
        <v>1541</v>
      </c>
      <c r="L51" s="1894">
        <f ca="1">ROUND(-PV(INDIRECT("'数据-取费表'!h"&amp;$G$1),L48,(C39-C13*C76),0),0)</f>
        <v>4089</v>
      </c>
      <c r="M51" s="1895"/>
      <c r="O51" s="1887" t="s">
        <v>1044</v>
      </c>
      <c r="P51" s="1878" t="s">
        <v>1542</v>
      </c>
      <c r="Q51" s="1890">
        <f>J52</f>
        <v>9.0000000000000011E-2</v>
      </c>
      <c r="R51" s="1879"/>
    </row>
    <row r="52" spans="1:18" s="1835" customFormat="1" ht="13.5" thickBot="1">
      <c r="A52" s="1191"/>
      <c r="B52" s="1193"/>
      <c r="C52" s="1194"/>
      <c r="D52" s="1167"/>
      <c r="E52" s="1195" t="s">
        <v>1408</v>
      </c>
      <c r="F52" s="1270"/>
      <c r="I52" s="1896" t="s">
        <v>1543</v>
      </c>
      <c r="J52" s="1897">
        <f>'数据-取费表'!J6+0.005</f>
        <v>9.0000000000000011E-2</v>
      </c>
      <c r="K52" s="1896" t="s">
        <v>1544</v>
      </c>
      <c r="L52" s="1897"/>
      <c r="O52" s="1887" t="s">
        <v>1045</v>
      </c>
      <c r="P52" s="1878" t="s">
        <v>1545</v>
      </c>
      <c r="Q52" s="1879">
        <f ca="1">J53</f>
        <v>27</v>
      </c>
      <c r="R52" s="1879" t="s">
        <v>1546</v>
      </c>
    </row>
    <row r="53" spans="1:18" s="1835" customFormat="1" ht="24.75" thickBot="1">
      <c r="A53" s="1400" t="s">
        <v>1137</v>
      </c>
      <c r="B53" s="1824" t="s">
        <v>1409</v>
      </c>
      <c r="C53" s="360">
        <f ca="1">ROUND(IF(F53="押一",C49/12*F11,IF(F53="押二",C49/12*2*F11,IF(F53="押三",C49/12*3*F11,C54*F11))),0)</f>
        <v>0</v>
      </c>
      <c r="D53" s="1817" t="s">
        <v>3020</v>
      </c>
      <c r="E53" s="357" t="s">
        <v>1410</v>
      </c>
      <c r="F53" s="1361"/>
      <c r="I53" s="1898" t="s">
        <v>1547</v>
      </c>
      <c r="J53" s="1899">
        <f ca="1">IF(M47="住宅",J51,IF(D1="——",MIN(J51,L48),IF(D1="在建（套用方法）",MIN(J51,L48-'数据-取费表'!B24),IF(D1="土地（套用方法）",MIN(J51,L48-'数据-取费表'!B20)))))</f>
        <v>27</v>
      </c>
      <c r="K53" s="3249" t="s">
        <v>1548</v>
      </c>
      <c r="L53" s="3250"/>
      <c r="O53" s="1877" t="s">
        <v>1046</v>
      </c>
      <c r="P53" s="1878" t="s">
        <v>1549</v>
      </c>
      <c r="Q53" s="1879">
        <f ca="1">Q47+Q48</f>
        <v>7187</v>
      </c>
      <c r="R53" s="1879" t="s">
        <v>1047</v>
      </c>
    </row>
    <row r="54" spans="1:18" s="1835" customFormat="1" ht="13.5" thickBot="1">
      <c r="A54" s="1401"/>
      <c r="B54" s="1818" t="s">
        <v>1388</v>
      </c>
      <c r="C54" s="1173"/>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8" t="s">
        <v>1075</v>
      </c>
      <c r="B55" s="1820" t="s">
        <v>1413</v>
      </c>
      <c r="C55" s="1329"/>
      <c r="D55" s="1817"/>
      <c r="E55" s="1825"/>
      <c r="F55" s="1900"/>
      <c r="I55" s="1903" t="s">
        <v>1551</v>
      </c>
      <c r="J55" s="1904" t="e">
        <f ca="1">ROUND(IF(J47="钢混",J57/J50,1-(1-2%)*(J50-J57)/J50),3)</f>
        <v>#VALUE!</v>
      </c>
      <c r="K55" s="1905" t="s">
        <v>1552</v>
      </c>
      <c r="L55" s="1906" t="s">
        <v>1553</v>
      </c>
      <c r="O55" s="1870" t="s">
        <v>1522</v>
      </c>
      <c r="P55" s="1871" t="s">
        <v>1523</v>
      </c>
      <c r="Q55" s="1872" t="s">
        <v>1524</v>
      </c>
      <c r="R55" s="1872" t="s">
        <v>1525</v>
      </c>
    </row>
    <row r="56" spans="1:18" s="1835" customFormat="1" ht="25.5" thickTop="1" thickBot="1">
      <c r="A56" s="1171">
        <v>2</v>
      </c>
      <c r="B56" s="1172" t="s">
        <v>1414</v>
      </c>
      <c r="C56" s="275">
        <f ca="1">C13</f>
        <v>899</v>
      </c>
      <c r="D56" s="1907"/>
      <c r="E56" s="1908"/>
      <c r="F56" s="1900"/>
      <c r="I56" s="1909" t="s">
        <v>1554</v>
      </c>
      <c r="J56" s="1910" t="s">
        <v>3032</v>
      </c>
      <c r="K56" s="1880" t="s">
        <v>1555</v>
      </c>
      <c r="L56" s="1883" t="str">
        <f ca="1">IF(L48&lt;J51,"——",L48-J53)</f>
        <v>——</v>
      </c>
      <c r="O56" s="1877" t="s">
        <v>1040</v>
      </c>
      <c r="P56" s="1878" t="s">
        <v>1528</v>
      </c>
      <c r="Q56" s="1879">
        <f ca="1">C40+J29</f>
        <v>7187</v>
      </c>
      <c r="R56" s="1879" t="s">
        <v>1529</v>
      </c>
    </row>
    <row r="57" spans="1:18" s="1835" customFormat="1" ht="24.75" thickBot="1">
      <c r="A57" s="1911"/>
      <c r="B57" s="1164" t="s">
        <v>1478</v>
      </c>
      <c r="C57" s="281">
        <f ca="1">C29</f>
        <v>1153</v>
      </c>
      <c r="D57" s="1912"/>
      <c r="E57" s="1913"/>
      <c r="F57" s="1914"/>
      <c r="I57" s="1915" t="s">
        <v>1556</v>
      </c>
      <c r="J57" s="1916" t="str">
        <f ca="1">IF(OR(M47="住宅",J51&lt;L48,J56="是"),"——",J51-L48)</f>
        <v>——</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9" t="s">
        <v>1030</v>
      </c>
      <c r="B58" s="1172" t="s">
        <v>1424</v>
      </c>
      <c r="C58" s="360">
        <f ca="1">ROUND(C59+C64+C65+C66,0)</f>
        <v>114</v>
      </c>
      <c r="D58" s="1174" t="s">
        <v>1425</v>
      </c>
      <c r="E58" s="1175"/>
      <c r="F58" s="1176"/>
      <c r="I58" s="1915" t="s">
        <v>1560</v>
      </c>
      <c r="J58" s="1917" t="e">
        <f ca="1">IF(J55&lt;0.4,0.4,J55)</f>
        <v>#VALUE!</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6" t="s">
        <v>1035</v>
      </c>
      <c r="B59" s="1164" t="s">
        <v>1429</v>
      </c>
      <c r="C59" s="24">
        <f ca="1">ROUND(IF(项目基本情况!B11="自然人",C48*F59,C60+C61+C62),1)</f>
        <v>101.1</v>
      </c>
      <c r="D59" s="1177" t="s">
        <v>1430</v>
      </c>
      <c r="E59" s="1178" t="s">
        <v>1431</v>
      </c>
      <c r="F59" s="367" t="str">
        <f ca="1">IF(项目基本情况!B11="企业","",IF(INDIRECT("'数据-取费表'!c"&amp;$G$1)="住宅",5%,IF(F49*F50*F51/12/(1+'数据-取费表'!C42)&gt;20000,12%,7%)))</f>
        <v/>
      </c>
      <c r="I59" s="1915" t="s">
        <v>1563</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6" t="s">
        <v>1034</v>
      </c>
      <c r="B60" s="1164" t="s">
        <v>1433</v>
      </c>
      <c r="C60" s="24">
        <f ca="1">IF(项目基本情况!B11="自然人","——",ROUND(C48*F60/(1+'数据-取费表'!C42),2))</f>
        <v>0</v>
      </c>
      <c r="D60" s="1178" t="s">
        <v>1434</v>
      </c>
      <c r="E60" s="1164" t="s">
        <v>1422</v>
      </c>
      <c r="F60" s="376">
        <f t="shared" ref="F60:F66" si="0">F32</f>
        <v>5.6000000000000001E-2</v>
      </c>
      <c r="I60" s="1918" t="s">
        <v>1565</v>
      </c>
      <c r="J60" s="1919" t="str">
        <f ca="1">IF(OR(M47="住宅",J51&lt;L48,J56="是"),"0",ROUND(J59/(1+J52)^J53,0))</f>
        <v>0</v>
      </c>
      <c r="K60" s="1920" t="s">
        <v>1566</v>
      </c>
      <c r="L60" s="1919">
        <f ca="1">IF(OR(M47="住宅",L48&lt;J51),0,ROUND(L57*(L58/L59-1),0))</f>
        <v>0</v>
      </c>
      <c r="O60" s="1887" t="s">
        <v>1044</v>
      </c>
      <c r="P60" s="1878" t="s">
        <v>1567</v>
      </c>
      <c r="Q60" s="1879" t="e">
        <f ca="1">L58</f>
        <v>#DIV/0!</v>
      </c>
      <c r="R60" s="1879" t="s">
        <v>1568</v>
      </c>
    </row>
    <row r="61" spans="1:18" s="1835" customFormat="1" ht="13.5" thickBot="1">
      <c r="A61" s="1196" t="s">
        <v>1492</v>
      </c>
      <c r="B61" s="1164" t="s">
        <v>1493</v>
      </c>
      <c r="C61" s="24">
        <f ca="1">IF(项目基本情况!B11="自然人","——",IF(D61="按租金收入计税",ROUND(C48*F61,2),IF(D61="按房产原值计税",ROUND(C57*F61*0.7,2),INDIRECT("'数据-取费表'!Aj"&amp;$G$1))))</f>
        <v>96.85</v>
      </c>
      <c r="D61" s="1821" t="s">
        <v>1438</v>
      </c>
      <c r="E61" s="1164" t="s">
        <v>1494</v>
      </c>
      <c r="F61" s="366">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6" t="s">
        <v>1495</v>
      </c>
      <c r="B62" s="1163" t="s">
        <v>1496</v>
      </c>
      <c r="C62" s="25">
        <f ca="1">IF(项目基本情况!B11="自然人","——",ROUND(F62*F63/10000,2))</f>
        <v>4.25</v>
      </c>
      <c r="D62" s="1179" t="s">
        <v>1497</v>
      </c>
      <c r="E62" s="1164" t="s">
        <v>1498</v>
      </c>
      <c r="F62" s="370">
        <f t="shared" si="0"/>
        <v>1.5</v>
      </c>
      <c r="I62" s="1922" t="s">
        <v>1570</v>
      </c>
      <c r="J62" s="1923" t="s">
        <v>1571</v>
      </c>
      <c r="K62" s="1923" t="s">
        <v>1572</v>
      </c>
      <c r="L62" s="1923" t="s">
        <v>1573</v>
      </c>
      <c r="M62" s="1924" t="s">
        <v>1574</v>
      </c>
      <c r="O62" s="1877" t="s">
        <v>1046</v>
      </c>
      <c r="P62" s="1878" t="s">
        <v>1575</v>
      </c>
      <c r="Q62" s="1879">
        <f ca="1">Q56+Q57</f>
        <v>7187</v>
      </c>
      <c r="R62" s="1879" t="s">
        <v>1047</v>
      </c>
    </row>
    <row r="63" spans="1:18" s="1835" customFormat="1" ht="13.5" thickBot="1">
      <c r="A63" s="371"/>
      <c r="B63" s="1170"/>
      <c r="C63" s="29"/>
      <c r="D63" s="1180"/>
      <c r="E63" s="1164" t="s">
        <v>1499</v>
      </c>
      <c r="F63" s="347">
        <f t="shared" ca="1" si="0"/>
        <v>28306.55</v>
      </c>
      <c r="I63" s="1922" t="s">
        <v>1576</v>
      </c>
      <c r="J63" s="1923">
        <v>70</v>
      </c>
      <c r="K63" s="1923">
        <v>50</v>
      </c>
      <c r="L63" s="1923">
        <v>80</v>
      </c>
      <c r="M63" s="1925">
        <v>0.02</v>
      </c>
      <c r="O63" s="1862" t="s">
        <v>1577</v>
      </c>
      <c r="P63" s="1832"/>
      <c r="Q63" s="1832"/>
      <c r="R63" s="1832"/>
    </row>
    <row r="64" spans="1:18" s="1835" customFormat="1" ht="13.5" thickBot="1">
      <c r="A64" s="1196" t="s">
        <v>1500</v>
      </c>
      <c r="B64" s="1164" t="s">
        <v>1501</v>
      </c>
      <c r="C64" s="24">
        <f ca="1">ROUND(C57*F64,1)</f>
        <v>11.5</v>
      </c>
      <c r="D64" s="1178" t="s">
        <v>1502</v>
      </c>
      <c r="E64" s="1164" t="s">
        <v>1494</v>
      </c>
      <c r="F64" s="373">
        <f t="shared" ca="1" si="0"/>
        <v>0.01</v>
      </c>
      <c r="I64" s="1922" t="s">
        <v>1578</v>
      </c>
      <c r="J64" s="1923">
        <v>50</v>
      </c>
      <c r="K64" s="1923">
        <v>35</v>
      </c>
      <c r="L64" s="1923">
        <v>60</v>
      </c>
      <c r="M64" s="1924">
        <v>0</v>
      </c>
      <c r="O64" s="1870" t="s">
        <v>1522</v>
      </c>
      <c r="P64" s="1871" t="s">
        <v>1523</v>
      </c>
      <c r="Q64" s="1872" t="s">
        <v>1524</v>
      </c>
      <c r="R64" s="1872" t="s">
        <v>1525</v>
      </c>
    </row>
    <row r="65" spans="1:18" s="1835" customFormat="1" ht="13.5" thickBot="1">
      <c r="A65" s="1196" t="s">
        <v>1503</v>
      </c>
      <c r="B65" s="1164" t="s">
        <v>1453</v>
      </c>
      <c r="C65" s="24">
        <f ca="1">ROUND(C56*F65,1)</f>
        <v>0.9</v>
      </c>
      <c r="D65" s="1178" t="s">
        <v>1454</v>
      </c>
      <c r="E65" s="1164" t="s">
        <v>1455</v>
      </c>
      <c r="F65" s="375">
        <f t="shared" ca="1" si="0"/>
        <v>1E-3</v>
      </c>
      <c r="I65" s="1922" t="s">
        <v>1579</v>
      </c>
      <c r="J65" s="1923">
        <v>40</v>
      </c>
      <c r="K65" s="1923">
        <v>30</v>
      </c>
      <c r="L65" s="1923">
        <v>50</v>
      </c>
      <c r="M65" s="1925">
        <v>0.02</v>
      </c>
      <c r="O65" s="1877" t="s">
        <v>1040</v>
      </c>
      <c r="P65" s="1878" t="s">
        <v>1580</v>
      </c>
      <c r="Q65" s="1879">
        <f ca="1">C40+J29</f>
        <v>7187</v>
      </c>
      <c r="R65" s="1879" t="s">
        <v>1529</v>
      </c>
    </row>
    <row r="66" spans="1:18" s="1835" customFormat="1" ht="16.5" thickBot="1">
      <c r="A66" s="1196" t="s">
        <v>1504</v>
      </c>
      <c r="B66" s="1164" t="s">
        <v>1439</v>
      </c>
      <c r="C66" s="24">
        <f ca="1">ROUND(C48*F66,1)</f>
        <v>0</v>
      </c>
      <c r="D66" s="1178" t="s">
        <v>1505</v>
      </c>
      <c r="E66" s="1164" t="s">
        <v>1422</v>
      </c>
      <c r="F66" s="356">
        <f t="shared" ca="1" si="0"/>
        <v>0.01</v>
      </c>
      <c r="O66" s="1877" t="s">
        <v>1041</v>
      </c>
      <c r="P66" s="1878" t="s">
        <v>1558</v>
      </c>
      <c r="Q66" s="1879">
        <f ca="1">L60</f>
        <v>0</v>
      </c>
      <c r="R66" s="1879" t="s">
        <v>1581</v>
      </c>
    </row>
    <row r="67" spans="1:18" s="1835" customFormat="1" ht="16.5" thickBot="1">
      <c r="A67" s="1171" t="s">
        <v>1031</v>
      </c>
      <c r="B67" s="1181" t="s">
        <v>1463</v>
      </c>
      <c r="C67" s="360">
        <f ca="1">C48-C58</f>
        <v>-114</v>
      </c>
      <c r="D67" s="1177" t="s">
        <v>1464</v>
      </c>
      <c r="E67" s="1182"/>
      <c r="F67" s="1183"/>
      <c r="O67" s="1887" t="s">
        <v>1042</v>
      </c>
      <c r="P67" s="1878" t="s">
        <v>1562</v>
      </c>
      <c r="Q67" s="1926">
        <f ca="1">L51</f>
        <v>4089</v>
      </c>
      <c r="R67" s="1879" t="s">
        <v>1582</v>
      </c>
    </row>
    <row r="68" spans="1:18" s="1835" customFormat="1" ht="16.5" thickBot="1">
      <c r="A68" s="1161" t="s">
        <v>1032</v>
      </c>
      <c r="B68" s="1162" t="s">
        <v>1485</v>
      </c>
      <c r="C68" s="345">
        <f ca="1">ROUND(C67*(1-((1+F70)/(1+F68))^F69)/(F68-F70),0)</f>
        <v>-1862</v>
      </c>
      <c r="D68" s="1179" t="s">
        <v>1469</v>
      </c>
      <c r="E68" s="1164" t="s">
        <v>1470</v>
      </c>
      <c r="F68" s="356">
        <f ca="1">F40</f>
        <v>0.04</v>
      </c>
      <c r="O68" s="1887" t="s">
        <v>1043</v>
      </c>
      <c r="P68" s="1927" t="s">
        <v>1583</v>
      </c>
      <c r="Q68" s="1879">
        <f ca="1">ROUND(Q69-Q70*Q71,0)</f>
        <v>237</v>
      </c>
      <c r="R68" s="1879" t="s">
        <v>1051</v>
      </c>
    </row>
    <row r="69" spans="1:18" s="1835" customFormat="1" ht="13.5" thickBot="1">
      <c r="A69" s="1165"/>
      <c r="B69" s="1166"/>
      <c r="C69" s="350"/>
      <c r="D69" s="1184" t="s">
        <v>1473</v>
      </c>
      <c r="E69" s="1164" t="s">
        <v>1474</v>
      </c>
      <c r="F69" s="378">
        <f ca="1">F41</f>
        <v>27</v>
      </c>
      <c r="O69" s="1887" t="s">
        <v>1048</v>
      </c>
      <c r="P69" s="1927" t="s">
        <v>1584</v>
      </c>
      <c r="Q69" s="1879">
        <f ca="1">C39</f>
        <v>313</v>
      </c>
      <c r="R69" s="1879" t="s">
        <v>1529</v>
      </c>
    </row>
    <row r="70" spans="1:18" s="1835" customFormat="1" ht="13.5" thickBot="1">
      <c r="A70" s="1168"/>
      <c r="B70" s="1169"/>
      <c r="C70" s="354"/>
      <c r="D70" s="1180"/>
      <c r="E70" s="1164" t="s">
        <v>1477</v>
      </c>
      <c r="F70" s="1270"/>
      <c r="O70" s="1887" t="s">
        <v>1049</v>
      </c>
      <c r="P70" s="1927" t="s">
        <v>1585</v>
      </c>
      <c r="Q70" s="1879">
        <f ca="1">C13</f>
        <v>899</v>
      </c>
      <c r="R70" s="1879" t="s">
        <v>1529</v>
      </c>
    </row>
    <row r="71" spans="1:18" s="1835" customFormat="1" ht="13.5" thickBot="1">
      <c r="A71" s="1185" t="s">
        <v>1033</v>
      </c>
      <c r="B71" s="1186" t="s">
        <v>1487</v>
      </c>
      <c r="C71" s="381">
        <f ca="1">ROUND(C68*10000/F71,0)</f>
        <v>-3466</v>
      </c>
      <c r="D71" s="1187" t="s">
        <v>1488</v>
      </c>
      <c r="E71" s="1188" t="s">
        <v>1489</v>
      </c>
      <c r="F71" s="384">
        <f ca="1">F43</f>
        <v>5371.4500000000007</v>
      </c>
      <c r="O71" s="1887" t="s">
        <v>1050</v>
      </c>
      <c r="P71" s="1927" t="s">
        <v>1586</v>
      </c>
      <c r="Q71" s="1890">
        <f ca="1">C76</f>
        <v>8.5000000000000006E-2</v>
      </c>
      <c r="R71" s="1879"/>
    </row>
    <row r="72" spans="1:18" s="1835" customFormat="1" ht="13.5" thickBot="1">
      <c r="B72" s="794"/>
      <c r="C72" s="794"/>
      <c r="O72" s="1887" t="s">
        <v>1044</v>
      </c>
      <c r="P72" s="1878" t="s">
        <v>1564</v>
      </c>
      <c r="Q72" s="1890">
        <f>L52</f>
        <v>0</v>
      </c>
      <c r="R72" s="1879"/>
    </row>
    <row r="73" spans="1:18" ht="16.5" thickBot="1">
      <c r="A73" s="1835"/>
      <c r="B73" s="794"/>
      <c r="C73" s="794"/>
      <c r="D73" s="1835"/>
      <c r="E73" s="1835"/>
      <c r="F73" s="1835"/>
      <c r="O73" s="1887" t="s">
        <v>1045</v>
      </c>
      <c r="P73" s="1878" t="s">
        <v>1567</v>
      </c>
      <c r="Q73" s="1879" t="e">
        <f ca="1">L58</f>
        <v>#DIV/0!</v>
      </c>
      <c r="R73" s="1879" t="s">
        <v>1568</v>
      </c>
    </row>
    <row r="74" spans="1:18" ht="13.5" thickBot="1">
      <c r="A74" s="1835"/>
      <c r="B74" s="316"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5" t="s">
        <v>1506</v>
      </c>
      <c r="C75" s="386">
        <f ca="1">ROUND(C13*C76,0)</f>
        <v>76</v>
      </c>
      <c r="D75" s="1835"/>
      <c r="E75" s="1835"/>
      <c r="F75" s="1835"/>
      <c r="K75" s="1861"/>
      <c r="L75" s="1835"/>
      <c r="O75" s="1877" t="s">
        <v>1046</v>
      </c>
      <c r="P75" s="1878" t="s">
        <v>1549</v>
      </c>
      <c r="Q75" s="1879">
        <f ca="1">Q65+Q66</f>
        <v>7187</v>
      </c>
      <c r="R75" s="1879" t="s">
        <v>1047</v>
      </c>
    </row>
    <row r="76" spans="1:18">
      <c r="B76" s="387" t="s">
        <v>1507</v>
      </c>
      <c r="C76" s="388">
        <f ca="1">INDIRECT("'数据-取费表'!j"&amp;$G$1)</f>
        <v>8.5000000000000006E-2</v>
      </c>
      <c r="I76" s="1835"/>
      <c r="J76" s="1835"/>
      <c r="K76" s="1861"/>
      <c r="L76" s="1835"/>
    </row>
    <row r="77" spans="1:18">
      <c r="B77" s="389" t="s">
        <v>1508</v>
      </c>
      <c r="C77" s="390"/>
      <c r="I77" s="1835"/>
      <c r="J77" s="1835"/>
      <c r="K77" s="1861"/>
      <c r="L77" s="1835"/>
    </row>
    <row r="78" spans="1:18">
      <c r="B78" s="313" t="s">
        <v>1509</v>
      </c>
      <c r="C78" s="391"/>
    </row>
    <row r="79" spans="1:18">
      <c r="B79" s="385" t="s">
        <v>1510</v>
      </c>
      <c r="C79" s="317">
        <f ca="1">1-C80</f>
        <v>0.75700000000000001</v>
      </c>
    </row>
    <row r="80" spans="1:18">
      <c r="B80" s="385" t="s">
        <v>1511</v>
      </c>
      <c r="C80" s="317">
        <f ca="1">ROUND(C75/C39,3)</f>
        <v>0.24299999999999999</v>
      </c>
    </row>
    <row r="81" spans="2:3">
      <c r="B81" s="313" t="s">
        <v>1512</v>
      </c>
      <c r="C81" s="281"/>
    </row>
    <row r="82" spans="2:3">
      <c r="B82" s="316" t="s">
        <v>1513</v>
      </c>
      <c r="C82" s="318">
        <f ca="1">1-C83</f>
        <v>0.875</v>
      </c>
    </row>
    <row r="83" spans="2:3">
      <c r="B83" s="316" t="s">
        <v>1514</v>
      </c>
      <c r="C83" s="317">
        <f ca="1">ROUND(C13/C40,3)</f>
        <v>0.125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8" customWidth="1"/>
    <col min="12" max="12" width="16.375" style="301" customWidth="1"/>
    <col min="13" max="13" width="13" style="301"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1"/>
  </cols>
  <sheetData>
    <row r="1" spans="1:37" s="336" customFormat="1" ht="21">
      <c r="A1" s="1826" t="s">
        <v>1589</v>
      </c>
      <c r="B1" s="780"/>
      <c r="C1" s="1830"/>
      <c r="D1" s="1813"/>
      <c r="E1" s="1814" t="s">
        <v>1387</v>
      </c>
      <c r="F1" s="1278" t="b">
        <f>J53</f>
        <v>0</v>
      </c>
      <c r="G1" s="1829">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1590</v>
      </c>
      <c r="B2" s="1837" t="e">
        <f ca="1">ROUND(D2/10000,0)</f>
        <v>#DIV/0!</v>
      </c>
      <c r="C2" s="1838" t="s">
        <v>1591</v>
      </c>
      <c r="D2" s="1931" t="e">
        <f ca="1">C40+J29+L46</f>
        <v>#DIV/0!</v>
      </c>
      <c r="E2" s="1839" t="s">
        <v>1592</v>
      </c>
      <c r="F2" s="1840"/>
      <c r="G2" s="1841"/>
      <c r="H2" s="1833"/>
      <c r="I2" s="1833"/>
      <c r="J2" s="1833"/>
      <c r="K2" s="1834"/>
      <c r="L2" s="1833"/>
      <c r="M2" s="1833"/>
    </row>
    <row r="3" spans="1:37" ht="18" customHeight="1" thickBot="1">
      <c r="A3" s="1842" t="s">
        <v>1593</v>
      </c>
      <c r="B3" s="1843">
        <f ca="1">IF(ISERROR(D2/F43),0,ROUND(D2/F43,0))</f>
        <v>0</v>
      </c>
      <c r="C3" s="1838" t="s">
        <v>1594</v>
      </c>
      <c r="D3" s="1838"/>
      <c r="E3" s="1839"/>
      <c r="F3" s="1840"/>
      <c r="G3" s="1841"/>
      <c r="H3" s="742" t="s">
        <v>1588</v>
      </c>
      <c r="I3" s="1833"/>
      <c r="J3" s="1833"/>
      <c r="K3" s="1834"/>
      <c r="L3" s="1833"/>
      <c r="M3" s="1833"/>
    </row>
    <row r="4" spans="1:37" ht="18" customHeight="1">
      <c r="A4" s="339" t="s">
        <v>1595</v>
      </c>
      <c r="B4" s="340" t="s">
        <v>1596</v>
      </c>
      <c r="C4" s="340" t="s">
        <v>1597</v>
      </c>
      <c r="D4" s="340" t="s">
        <v>1598</v>
      </c>
      <c r="E4" s="341" t="s">
        <v>1599</v>
      </c>
      <c r="F4" s="342"/>
      <c r="G4" s="1844"/>
      <c r="H4" s="339" t="s">
        <v>1595</v>
      </c>
      <c r="I4" s="340" t="s">
        <v>1596</v>
      </c>
      <c r="J4" s="340" t="s">
        <v>1597</v>
      </c>
      <c r="K4" s="340" t="s">
        <v>1598</v>
      </c>
      <c r="L4" s="341" t="s">
        <v>1599</v>
      </c>
      <c r="M4" s="342"/>
    </row>
    <row r="5" spans="1:37" ht="18" customHeight="1">
      <c r="A5" s="343">
        <v>1</v>
      </c>
      <c r="B5" s="344" t="s">
        <v>1600</v>
      </c>
      <c r="C5" s="1287">
        <f ca="1">C6+C10+C12</f>
        <v>0</v>
      </c>
      <c r="D5" s="1815" t="s">
        <v>1601</v>
      </c>
      <c r="E5" s="1288"/>
      <c r="F5" s="1289"/>
      <c r="G5" s="1844"/>
      <c r="H5" s="343">
        <v>1</v>
      </c>
      <c r="I5" s="344" t="s">
        <v>1600</v>
      </c>
      <c r="J5" s="1287">
        <f ca="1">J6+J10+J12</f>
        <v>0</v>
      </c>
      <c r="K5" s="1815" t="s">
        <v>1601</v>
      </c>
      <c r="L5" s="1288"/>
      <c r="M5" s="1289"/>
    </row>
    <row r="6" spans="1:37" ht="18" customHeight="1">
      <c r="A6" s="1286" t="s">
        <v>1035</v>
      </c>
      <c r="B6" s="3251" t="s">
        <v>1403</v>
      </c>
      <c r="C6" s="1291">
        <f ca="1">ROUND(F6*F8*F7*(1-F9),0)</f>
        <v>0</v>
      </c>
      <c r="D6" s="163" t="s">
        <v>3009</v>
      </c>
      <c r="E6" s="346" t="s">
        <v>1405</v>
      </c>
      <c r="F6" s="347">
        <f ca="1">INDIRECT("'数据-取费表'!u"&amp;$G$1)</f>
        <v>0</v>
      </c>
      <c r="G6" s="1844"/>
      <c r="H6" s="1286" t="s">
        <v>1035</v>
      </c>
      <c r="I6" s="3251" t="s">
        <v>1403</v>
      </c>
      <c r="J6" s="345">
        <f ca="1">ROUND(M6*M8*M7*(1-M9),0)</f>
        <v>0</v>
      </c>
      <c r="K6" s="1827" t="s">
        <v>3010</v>
      </c>
      <c r="L6" s="346" t="s">
        <v>1405</v>
      </c>
      <c r="M6" s="347">
        <f ca="1">INDIRECT("'数据-取费表'!z"&amp;$G$1)</f>
        <v>0</v>
      </c>
    </row>
    <row r="7" spans="1:37" ht="18" customHeight="1">
      <c r="A7" s="1290"/>
      <c r="B7" s="3252"/>
      <c r="C7" s="1292"/>
      <c r="D7" s="351"/>
      <c r="E7" s="1293" t="s">
        <v>1406</v>
      </c>
      <c r="F7" s="347">
        <f ca="1">IF(INDIRECT("'数据-取费表'!ah"&amp;$G$1)="",INDIRECT("'数据-取费表'!k"&amp;$G$1),INDIRECT("'数据-取费表'!ah"&amp;$G$1))</f>
        <v>0</v>
      </c>
      <c r="G7" s="1844"/>
      <c r="H7" s="348"/>
      <c r="I7" s="3252"/>
      <c r="J7" s="350"/>
      <c r="K7" s="351"/>
      <c r="L7" s="346" t="s">
        <v>1406</v>
      </c>
      <c r="M7" s="347">
        <f ca="1">F7</f>
        <v>0</v>
      </c>
    </row>
    <row r="8" spans="1:37" ht="18" customHeight="1">
      <c r="A8" s="348"/>
      <c r="B8" s="3252"/>
      <c r="C8" s="350"/>
      <c r="D8" s="351"/>
      <c r="E8" s="346" t="s">
        <v>1407</v>
      </c>
      <c r="F8" s="347">
        <f ca="1">INDIRECT("'数据-取费表'!ai"&amp;$G$1)</f>
        <v>0</v>
      </c>
      <c r="G8" s="1844"/>
      <c r="H8" s="348"/>
      <c r="I8" s="3252"/>
      <c r="J8" s="350"/>
      <c r="K8" s="351"/>
      <c r="L8" s="346" t="s">
        <v>1407</v>
      </c>
      <c r="M8" s="347">
        <f ca="1">INDIRECT("'数据-取费表'!ai"&amp;$G$1)</f>
        <v>0</v>
      </c>
    </row>
    <row r="9" spans="1:37" ht="18" customHeight="1">
      <c r="A9" s="348"/>
      <c r="B9" s="3253"/>
      <c r="C9" s="350"/>
      <c r="D9" s="351"/>
      <c r="E9" s="346" t="s">
        <v>1408</v>
      </c>
      <c r="F9" s="356">
        <f ca="1">INDIRECT("'数据-取费表'!w"&amp;$G$1)</f>
        <v>0</v>
      </c>
      <c r="G9" s="1844"/>
      <c r="H9" s="348"/>
      <c r="I9" s="3253"/>
      <c r="J9" s="350"/>
      <c r="K9" s="351"/>
      <c r="L9" s="357" t="s">
        <v>1408</v>
      </c>
      <c r="M9" s="358">
        <f ca="1">INDIRECT("'数据-取费表'!ab"&amp;$G$1)</f>
        <v>0</v>
      </c>
    </row>
    <row r="10" spans="1:37" ht="18" customHeight="1">
      <c r="A10" s="1286" t="s">
        <v>1039</v>
      </c>
      <c r="B10" s="1816" t="s">
        <v>1409</v>
      </c>
      <c r="C10" s="360">
        <f ca="1">ROUND(IF(F10="押一",C6/12*F11,IF(F10="押二",C6/12*2*F11,IF(F10="押三",C6/12*3*F11,C11*F11))),0)</f>
        <v>0</v>
      </c>
      <c r="D10" s="1817" t="s">
        <v>3020</v>
      </c>
      <c r="E10" s="357" t="s">
        <v>1410</v>
      </c>
      <c r="F10" s="1361"/>
      <c r="G10" s="1844"/>
      <c r="H10" s="1286" t="s">
        <v>1039</v>
      </c>
      <c r="I10" s="1816" t="s">
        <v>1409</v>
      </c>
      <c r="J10" s="345">
        <f ca="1">ROUND(IF(M10="押一",J6/12*M11,IF(M10="押二",J6/12*2*M11,IF(M10="押三",J6/12*3*M11,J11*M11))),0)</f>
        <v>0</v>
      </c>
      <c r="K10" s="1828" t="s">
        <v>3022</v>
      </c>
      <c r="L10" s="357" t="s">
        <v>1410</v>
      </c>
      <c r="M10" s="1361"/>
    </row>
    <row r="11" spans="1:37" ht="18" customHeight="1">
      <c r="A11" s="352"/>
      <c r="B11" s="1818" t="s">
        <v>1602</v>
      </c>
      <c r="C11" s="1173"/>
      <c r="D11" s="351"/>
      <c r="E11" s="357" t="s">
        <v>1412</v>
      </c>
      <c r="F11" s="358">
        <f ca="1">'数据-取费表'!B39</f>
        <v>1.4999999999999999E-2</v>
      </c>
      <c r="G11" s="1844"/>
      <c r="H11" s="1294"/>
      <c r="I11" s="1818" t="s">
        <v>1603</v>
      </c>
      <c r="J11" s="1173"/>
      <c r="K11" s="746"/>
      <c r="L11" s="357" t="s">
        <v>1412</v>
      </c>
      <c r="M11" s="1051">
        <f ca="1">'数据-取费表'!B39</f>
        <v>1.4999999999999999E-2</v>
      </c>
    </row>
    <row r="12" spans="1:37" ht="18" customHeight="1" thickBot="1">
      <c r="A12" s="1328" t="s">
        <v>1075</v>
      </c>
      <c r="B12" s="1820" t="s">
        <v>1413</v>
      </c>
      <c r="C12" s="1329"/>
      <c r="D12" s="1330"/>
      <c r="E12" s="1335"/>
      <c r="F12" s="1331"/>
      <c r="G12" s="1844"/>
      <c r="H12" s="1328" t="s">
        <v>1075</v>
      </c>
      <c r="I12" s="1820" t="s">
        <v>1413</v>
      </c>
      <c r="J12" s="1329"/>
      <c r="K12" s="1343"/>
      <c r="L12" s="1335"/>
      <c r="M12" s="1344"/>
    </row>
    <row r="13" spans="1:37" ht="18" customHeight="1" thickTop="1">
      <c r="A13" s="1324">
        <v>2</v>
      </c>
      <c r="B13" s="1325" t="s">
        <v>1414</v>
      </c>
      <c r="C13" s="354">
        <f ca="1">ROUND(C29*F13,0)</f>
        <v>0</v>
      </c>
      <c r="D13" s="1326" t="s">
        <v>1415</v>
      </c>
      <c r="E13" s="1326" t="s">
        <v>1416</v>
      </c>
      <c r="F13" s="1327">
        <f ca="1">INDIRECT("'数据-取费表'!y"&amp;$G$1)</f>
        <v>0</v>
      </c>
      <c r="G13" s="1844"/>
      <c r="H13" s="1324">
        <v>2</v>
      </c>
      <c r="I13" s="1325" t="s">
        <v>1414</v>
      </c>
      <c r="J13" s="1285">
        <f ca="1">ROUND(J14*J15,0)</f>
        <v>0</v>
      </c>
      <c r="K13" s="1332" t="s">
        <v>1415</v>
      </c>
      <c r="L13" s="1845"/>
      <c r="M13" s="1846"/>
    </row>
    <row r="14" spans="1:37" ht="18" customHeight="1">
      <c r="A14" s="1196" t="s">
        <v>1034</v>
      </c>
      <c r="B14" s="346" t="s">
        <v>1417</v>
      </c>
      <c r="C14" s="362">
        <f ca="1">ROUND(INDIRECT("'数据-取费表'!l"&amp;$G$1)*F43+'数据-取费表'!L14*INDIRECT("'数据-取费表'!S"&amp;$G$1),0)</f>
        <v>0</v>
      </c>
      <c r="D14" s="1793" t="s">
        <v>1418</v>
      </c>
      <c r="E14" s="1787"/>
      <c r="F14" s="363"/>
      <c r="G14" s="1844"/>
      <c r="H14" s="1196" t="s">
        <v>1035</v>
      </c>
      <c r="I14" s="346" t="s">
        <v>1419</v>
      </c>
      <c r="J14" s="24">
        <f ca="1">C29</f>
        <v>0</v>
      </c>
      <c r="K14" s="15"/>
      <c r="L14" s="975"/>
      <c r="M14" s="976"/>
    </row>
    <row r="15" spans="1:37" s="1851" customFormat="1" ht="18" customHeight="1" thickBot="1">
      <c r="A15" s="1196" t="s">
        <v>1036</v>
      </c>
      <c r="B15" s="346" t="s">
        <v>1420</v>
      </c>
      <c r="C15" s="24">
        <f ca="1">ROUND(C14*F15,0)</f>
        <v>0</v>
      </c>
      <c r="D15" s="364" t="s">
        <v>1421</v>
      </c>
      <c r="E15" s="364" t="s">
        <v>1422</v>
      </c>
      <c r="F15" s="365">
        <f>'数据-取费表'!B33</f>
        <v>0.03</v>
      </c>
      <c r="G15" s="1847"/>
      <c r="H15" s="1334" t="s">
        <v>1039</v>
      </c>
      <c r="I15" s="1335" t="s">
        <v>1416</v>
      </c>
      <c r="J15" s="1344">
        <f ca="1">INDIRECT("'数据-取费表'!ad"&amp;$G$1)</f>
        <v>0</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1389</v>
      </c>
      <c r="B16" s="346" t="s">
        <v>1423</v>
      </c>
      <c r="C16" s="24">
        <f ca="1">ROUND(INDIRECT("'数据-取费表'!l"&amp;$G$1)*F43*F16,0)</f>
        <v>0</v>
      </c>
      <c r="D16" s="346" t="s">
        <v>1421</v>
      </c>
      <c r="E16" s="346" t="s">
        <v>1422</v>
      </c>
      <c r="F16" s="366">
        <f ca="1">IF(INDIRECT("'数据-取费表'!c"&amp;$G$1)="住宅",'数据-取费表'!B34,0)</f>
        <v>0</v>
      </c>
      <c r="G16" s="1844"/>
      <c r="H16" s="1324" t="s">
        <v>1030</v>
      </c>
      <c r="I16" s="1325" t="s">
        <v>1424</v>
      </c>
      <c r="J16" s="354">
        <f ca="1">ROUND(J17+J22+J23+J24,0)</f>
        <v>0</v>
      </c>
      <c r="K16" s="1332" t="s">
        <v>1425</v>
      </c>
      <c r="L16" s="1333"/>
      <c r="M16" s="1289"/>
    </row>
    <row r="17" spans="1:37" s="1851" customFormat="1" ht="18" customHeight="1">
      <c r="A17" s="1196" t="s">
        <v>1390</v>
      </c>
      <c r="B17" s="346" t="s">
        <v>1426</v>
      </c>
      <c r="C17" s="24">
        <f ca="1">ROUND(F17*(F43+INDIRECT("'数据-取费表'!S"&amp;$G$1)),0)</f>
        <v>0</v>
      </c>
      <c r="D17" s="346" t="s">
        <v>1427</v>
      </c>
      <c r="E17" s="346" t="s">
        <v>1428</v>
      </c>
      <c r="F17" s="26">
        <f>'数据-取费表'!B35</f>
        <v>200</v>
      </c>
      <c r="G17" s="1847"/>
      <c r="H17" s="1196" t="s">
        <v>1035</v>
      </c>
      <c r="I17" s="346" t="s">
        <v>1429</v>
      </c>
      <c r="J17" s="24">
        <f ca="1">ROUND(IF(项目基本情况!B11="自然人",J5*M17,J18+J19+J20),0)</f>
        <v>0</v>
      </c>
      <c r="K17" s="1793" t="s">
        <v>1430</v>
      </c>
      <c r="L17" s="1791" t="s">
        <v>1431</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1391</v>
      </c>
      <c r="B18" s="346" t="s">
        <v>1432</v>
      </c>
      <c r="C18" s="24">
        <f ca="1">ROUND(C14*F18,0)</f>
        <v>0</v>
      </c>
      <c r="D18" s="346" t="s">
        <v>1421</v>
      </c>
      <c r="E18" s="346" t="s">
        <v>1422</v>
      </c>
      <c r="F18" s="366">
        <f>'数据-取费表'!B36</f>
        <v>1.4999999999999999E-2</v>
      </c>
      <c r="G18" s="1847"/>
      <c r="H18" s="1196" t="s">
        <v>1034</v>
      </c>
      <c r="I18" s="346" t="s">
        <v>1433</v>
      </c>
      <c r="J18" s="24">
        <f ca="1">ROUND(J5*M18/(1+'数据-取费表'!C42),0)</f>
        <v>0</v>
      </c>
      <c r="K18" s="1791" t="s">
        <v>1434</v>
      </c>
      <c r="L18" s="346" t="s">
        <v>1422</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1035</v>
      </c>
      <c r="B19" s="346" t="s">
        <v>1435</v>
      </c>
      <c r="C19" s="24">
        <f ca="1">SUM(C14:C18)</f>
        <v>0</v>
      </c>
      <c r="D19" s="139" t="s">
        <v>1436</v>
      </c>
      <c r="E19" s="1811"/>
      <c r="F19" s="26"/>
      <c r="G19" s="1844"/>
      <c r="H19" s="1196" t="s">
        <v>1036</v>
      </c>
      <c r="I19" s="346" t="s">
        <v>1437</v>
      </c>
      <c r="J19" s="24">
        <f ca="1">IF(K19="按租金收入计税",ROUND(J5*M19,0),ROUND(C29*M19*0.7,0))</f>
        <v>0</v>
      </c>
      <c r="K19" s="1821" t="s">
        <v>1438</v>
      </c>
      <c r="L19" s="346" t="s">
        <v>1422</v>
      </c>
      <c r="M19" s="366">
        <f>IF(K19="按租金收入计税",'数据-取费表'!B51,'数据-取费表'!B50)</f>
        <v>1.2E-2</v>
      </c>
    </row>
    <row r="20" spans="1:37" s="1851" customFormat="1" ht="18" customHeight="1">
      <c r="A20" s="1196" t="s">
        <v>1039</v>
      </c>
      <c r="B20" s="346" t="s">
        <v>1439</v>
      </c>
      <c r="C20" s="24">
        <f ca="1">ROUND(C19*F20,0)</f>
        <v>0</v>
      </c>
      <c r="D20" s="368" t="s">
        <v>1440</v>
      </c>
      <c r="E20" s="346" t="s">
        <v>1422</v>
      </c>
      <c r="F20" s="366">
        <f>'数据-取费表'!B37</f>
        <v>0.02</v>
      </c>
      <c r="G20" s="1847"/>
      <c r="H20" s="1196" t="s">
        <v>1389</v>
      </c>
      <c r="I20" s="163" t="s">
        <v>1441</v>
      </c>
      <c r="J20" s="25">
        <f ca="1">ROUND(M20*M21,0)</f>
        <v>0</v>
      </c>
      <c r="K20" s="369" t="s">
        <v>1442</v>
      </c>
      <c r="L20" s="346" t="s">
        <v>1443</v>
      </c>
      <c r="M20" s="370">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1075</v>
      </c>
      <c r="B21" s="346" t="s">
        <v>1444</v>
      </c>
      <c r="C21" s="24" t="s">
        <v>1</v>
      </c>
      <c r="D21" s="368" t="s">
        <v>1445</v>
      </c>
      <c r="E21" s="346" t="s">
        <v>1446</v>
      </c>
      <c r="F21" s="366">
        <f>'数据-取费表'!B38</f>
        <v>0.01</v>
      </c>
      <c r="G21" s="1847"/>
      <c r="H21" s="371"/>
      <c r="I21" s="355"/>
      <c r="J21" s="29"/>
      <c r="K21" s="372"/>
      <c r="L21" s="346" t="s">
        <v>1447</v>
      </c>
      <c r="M21" s="347">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1392</v>
      </c>
      <c r="B22" s="346" t="s">
        <v>1448</v>
      </c>
      <c r="C22" s="24"/>
      <c r="D22" s="139" t="str">
        <f>IF(F23&lt;=1,"单利计息。","复利计息。")&amp;"建造成本、管理费用、销售费用产生的利息。"</f>
        <v>单利计息。建造成本、管理费用、销售费用产生的利息。</v>
      </c>
      <c r="E22" s="1811"/>
      <c r="F22" s="26"/>
      <c r="G22" s="1844"/>
      <c r="H22" s="1196" t="s">
        <v>1039</v>
      </c>
      <c r="I22" s="346" t="s">
        <v>1449</v>
      </c>
      <c r="J22" s="24">
        <f ca="1">ROUND(J14*M22,0)</f>
        <v>0</v>
      </c>
      <c r="K22" s="1791" t="s">
        <v>1450</v>
      </c>
      <c r="L22" s="346" t="s">
        <v>1422</v>
      </c>
      <c r="M22" s="373">
        <f ca="1">INDIRECT("'数据-取费表'!Ak"&amp;$G$1)</f>
        <v>0</v>
      </c>
    </row>
    <row r="23" spans="1:37" s="1851" customFormat="1" ht="18" customHeight="1">
      <c r="A23" s="1196"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1452</v>
      </c>
      <c r="F23" s="370">
        <f>'数据-取费表'!B20</f>
        <v>1</v>
      </c>
      <c r="G23" s="1847"/>
      <c r="H23" s="1196" t="s">
        <v>1075</v>
      </c>
      <c r="I23" s="346" t="s">
        <v>1453</v>
      </c>
      <c r="J23" s="24">
        <f ca="1">ROUND(J13*M23,0)</f>
        <v>0</v>
      </c>
      <c r="K23" s="1791" t="s">
        <v>1454</v>
      </c>
      <c r="L23" s="346" t="s">
        <v>1455</v>
      </c>
      <c r="M23" s="375">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1456</v>
      </c>
      <c r="B24" s="346" t="s">
        <v>1457</v>
      </c>
      <c r="C24" s="24">
        <f ca="1">ROUND(IF('数据-取费表'!B22&lt;=1,F21*F24*F23/2,F21*(POWER((1+F24),F23/2)-1)),4)</f>
        <v>2.0000000000000001E-4</v>
      </c>
      <c r="D24" s="374" t="str">
        <f>IF(F23&lt;=1,"销售费用×利率×(建设周期÷2)","销售费用×((1+利率)^(建设周期÷2)-1)")</f>
        <v>销售费用×利率×(建设周期÷2)</v>
      </c>
      <c r="E24" s="346" t="s">
        <v>1458</v>
      </c>
      <c r="F24" s="376">
        <f ca="1">'数据-取费表'!B40</f>
        <v>4.3499999999999997E-2</v>
      </c>
      <c r="G24" s="1847"/>
      <c r="H24" s="1334" t="s">
        <v>1393</v>
      </c>
      <c r="I24" s="1335" t="s">
        <v>1439</v>
      </c>
      <c r="J24" s="1336">
        <f ca="1">ROUND(J5*M24,0)</f>
        <v>0</v>
      </c>
      <c r="K24" s="1337" t="s">
        <v>1459</v>
      </c>
      <c r="L24" s="1335" t="s">
        <v>1455</v>
      </c>
      <c r="M24" s="1331">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6" t="s">
        <v>1460</v>
      </c>
      <c r="B25" s="346" t="s">
        <v>1461</v>
      </c>
      <c r="C25" s="24"/>
      <c r="D25" s="139" t="s">
        <v>1462</v>
      </c>
      <c r="E25" s="1811"/>
      <c r="F25" s="26"/>
      <c r="G25" s="1844"/>
      <c r="H25" s="1324" t="s">
        <v>1031</v>
      </c>
      <c r="I25" s="1339" t="s">
        <v>1463</v>
      </c>
      <c r="J25" s="354">
        <f ca="1">J5-J16</f>
        <v>0</v>
      </c>
      <c r="K25" s="1340" t="s">
        <v>1464</v>
      </c>
      <c r="L25" s="1341"/>
      <c r="M25" s="1342"/>
    </row>
    <row r="26" spans="1:37" ht="18" customHeight="1">
      <c r="A26" s="1196" t="s">
        <v>1034</v>
      </c>
      <c r="B26" s="346" t="s">
        <v>1465</v>
      </c>
      <c r="C26" s="24">
        <f ca="1">ROUND((C19+C20)*F26,0)</f>
        <v>0</v>
      </c>
      <c r="D26" s="368" t="s">
        <v>1466</v>
      </c>
      <c r="E26" s="357" t="s">
        <v>1467</v>
      </c>
      <c r="F26" s="356">
        <f ca="1">INDIRECT("'数据-取费表'!q"&amp;$G$1)</f>
        <v>0</v>
      </c>
      <c r="G26" s="1844"/>
      <c r="H26" s="343" t="s">
        <v>1032</v>
      </c>
      <c r="I26" s="344" t="s">
        <v>1468</v>
      </c>
      <c r="J26" s="345">
        <f ca="1">IF(J5&lt;&gt;0,ROUND(J25*(1-((1+M28)/(1+M26))^M27)/(M26-M28),0),0)</f>
        <v>0</v>
      </c>
      <c r="K26" s="369" t="s">
        <v>1469</v>
      </c>
      <c r="L26" s="346" t="s">
        <v>1470</v>
      </c>
      <c r="M26" s="356">
        <f ca="1">INDIRECT("'数据-取费表'!I"&amp;$G$1)</f>
        <v>0</v>
      </c>
    </row>
    <row r="27" spans="1:37" ht="18" customHeight="1">
      <c r="A27" s="1196" t="s">
        <v>1036</v>
      </c>
      <c r="B27" s="346" t="s">
        <v>1471</v>
      </c>
      <c r="C27" s="24">
        <f ca="1">ROUND(F21*F26,4)</f>
        <v>0</v>
      </c>
      <c r="D27" s="368" t="s">
        <v>1472</v>
      </c>
      <c r="E27" s="364"/>
      <c r="F27" s="365"/>
      <c r="G27" s="1844"/>
      <c r="H27" s="348"/>
      <c r="I27" s="349"/>
      <c r="J27" s="350"/>
      <c r="K27" s="377" t="s">
        <v>1473</v>
      </c>
      <c r="L27" s="346" t="s">
        <v>1474</v>
      </c>
      <c r="M27" s="378">
        <f ca="1">INDIRECT("'数据-取费表'!ag"&amp;$G$1)</f>
        <v>0</v>
      </c>
    </row>
    <row r="28" spans="1:37" s="1851" customFormat="1" ht="18" customHeight="1">
      <c r="A28" s="1196" t="s">
        <v>1037</v>
      </c>
      <c r="B28" s="346" t="s">
        <v>1475</v>
      </c>
      <c r="C28" s="24">
        <f>ROUND(F28/(1+'数据-取费表'!C42),4)</f>
        <v>5.33E-2</v>
      </c>
      <c r="D28" s="368" t="s">
        <v>1476</v>
      </c>
      <c r="E28" s="346" t="s">
        <v>1422</v>
      </c>
      <c r="F28" s="366">
        <f>'数据-取费表'!B41</f>
        <v>5.6000000000000001E-2</v>
      </c>
      <c r="G28" s="1847"/>
      <c r="H28" s="352"/>
      <c r="I28" s="353"/>
      <c r="J28" s="354"/>
      <c r="K28" s="372"/>
      <c r="L28" s="346" t="s">
        <v>1477</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1038</v>
      </c>
      <c r="B29" s="1335" t="s">
        <v>1478</v>
      </c>
      <c r="C29" s="1336">
        <f ca="1">ROUND((C19+C20+C23+C26)/(1-F21-C24-C27-C28),0)</f>
        <v>0</v>
      </c>
      <c r="D29" s="1337"/>
      <c r="E29" s="1335"/>
      <c r="F29" s="1338"/>
      <c r="G29" s="1847"/>
      <c r="H29" s="379" t="s">
        <v>1033</v>
      </c>
      <c r="I29" s="380" t="s">
        <v>1479</v>
      </c>
      <c r="J29" s="381">
        <f ca="1">ROUND(J26/(1+F40)^F41,0)</f>
        <v>0</v>
      </c>
      <c r="K29" s="382" t="s">
        <v>1480</v>
      </c>
      <c r="L29" s="383"/>
      <c r="M29" s="384">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1030</v>
      </c>
      <c r="B30" s="1325" t="s">
        <v>1424</v>
      </c>
      <c r="C30" s="354">
        <f ca="1">ROUND(C31+C36+C37+C38,0)</f>
        <v>0</v>
      </c>
      <c r="D30" s="1332" t="s">
        <v>1425</v>
      </c>
      <c r="E30" s="1333"/>
      <c r="F30" s="1289"/>
      <c r="G30" s="1844"/>
      <c r="H30" s="743"/>
      <c r="I30" s="744"/>
      <c r="J30" s="745"/>
      <c r="K30" s="746"/>
      <c r="L30" s="747"/>
      <c r="M30" s="748"/>
    </row>
    <row r="31" spans="1:37" ht="18" customHeight="1">
      <c r="A31" s="1196" t="s">
        <v>1035</v>
      </c>
      <c r="B31" s="346" t="s">
        <v>1429</v>
      </c>
      <c r="C31" s="24">
        <f ca="1">ROUND(IF(项目基本情况!B11="自然人",C5*F31,C32+C33+C34),0)</f>
        <v>0</v>
      </c>
      <c r="D31" s="1793" t="s">
        <v>1430</v>
      </c>
      <c r="E31" s="1791" t="s">
        <v>1481</v>
      </c>
      <c r="F31" s="367" t="str">
        <f ca="1">IF(项目基本情况!B11="企业","",IF(INDIRECT("'数据-取费表'!c"&amp;$G$1)="住宅",5%,IF(F6*F7*F8/12/(1+'数据-取费表'!C42)&gt;20000,12%,7%)))</f>
        <v/>
      </c>
      <c r="G31" s="1844"/>
      <c r="H31" s="743"/>
      <c r="I31" s="744"/>
      <c r="J31" s="745"/>
      <c r="K31" s="746"/>
      <c r="L31" s="747"/>
      <c r="M31" s="748"/>
    </row>
    <row r="32" spans="1:37" ht="18" customHeight="1">
      <c r="A32" s="1196" t="s">
        <v>1034</v>
      </c>
      <c r="B32" s="346" t="s">
        <v>1433</v>
      </c>
      <c r="C32" s="24">
        <f ca="1">IF(项目基本情况!B11="自然人","——",ROUND(C5*F32/(1+'数据-取费表'!C42),0))</f>
        <v>0</v>
      </c>
      <c r="D32" s="1791" t="s">
        <v>1434</v>
      </c>
      <c r="E32" s="346" t="s">
        <v>1422</v>
      </c>
      <c r="F32" s="376">
        <f>'数据-取费表'!B41</f>
        <v>5.6000000000000001E-2</v>
      </c>
      <c r="G32" s="1844"/>
      <c r="H32" s="743"/>
      <c r="I32" s="744"/>
      <c r="J32" s="745"/>
      <c r="K32" s="746"/>
      <c r="L32" s="747"/>
      <c r="M32" s="748"/>
    </row>
    <row r="33" spans="1:18" ht="18" customHeight="1">
      <c r="A33" s="1196" t="s">
        <v>1036</v>
      </c>
      <c r="B33" s="346" t="s">
        <v>1437</v>
      </c>
      <c r="C33" s="24">
        <f ca="1">IF(项目基本情况!B11="自然人","——",IF(D33="按租金收入计税",ROUND(C5*F33,0),IF(D33="按房产原值计税",ROUND(C29*F33*0.7,0),INDIRECT("'数据-取费表'!Aj"&amp;$G$1))))</f>
        <v>0</v>
      </c>
      <c r="D33" s="1821" t="s">
        <v>1438</v>
      </c>
      <c r="E33" s="346" t="s">
        <v>1422</v>
      </c>
      <c r="F33" s="366">
        <f>IF(D33="按票据","——",IF(D33="按租金收入计税",'数据-取费表'!B51,'数据-取费表'!B50))</f>
        <v>1.2E-2</v>
      </c>
      <c r="G33" s="1844"/>
      <c r="H33" s="1852"/>
      <c r="I33" s="1853"/>
      <c r="J33" s="1854"/>
      <c r="K33" s="1855"/>
      <c r="L33" s="1852"/>
      <c r="M33" s="1852"/>
    </row>
    <row r="34" spans="1:18" ht="18" customHeight="1">
      <c r="A34" s="1286" t="s">
        <v>1389</v>
      </c>
      <c r="B34" s="163" t="s">
        <v>1441</v>
      </c>
      <c r="C34" s="25">
        <f ca="1">IF(项目基本情况!B11="自然人","——",ROUND(F34*F35,))</f>
        <v>0</v>
      </c>
      <c r="D34" s="369" t="s">
        <v>1442</v>
      </c>
      <c r="E34" s="346" t="s">
        <v>1443</v>
      </c>
      <c r="F34" s="370">
        <f>'数据-取费表'!B52</f>
        <v>1.5</v>
      </c>
      <c r="G34" s="1844"/>
      <c r="H34" s="743"/>
      <c r="I34" s="1853"/>
      <c r="J34" s="1854"/>
      <c r="K34" s="1856"/>
      <c r="L34" s="1857"/>
      <c r="M34" s="1857"/>
    </row>
    <row r="35" spans="1:18" ht="18" customHeight="1">
      <c r="A35" s="1348"/>
      <c r="B35" s="1346"/>
      <c r="C35" s="29"/>
      <c r="D35" s="372"/>
      <c r="E35" s="346" t="s">
        <v>1447</v>
      </c>
      <c r="F35" s="347">
        <f ca="1">INDIRECT("'数据-取费表'!r"&amp;$G$1)</f>
        <v>0</v>
      </c>
      <c r="G35" s="1844"/>
      <c r="H35" s="743"/>
      <c r="I35" s="1853"/>
      <c r="J35" s="1854"/>
      <c r="K35" s="1855"/>
      <c r="L35" s="1852"/>
      <c r="M35" s="1852"/>
    </row>
    <row r="36" spans="1:18" ht="18" customHeight="1">
      <c r="A36" s="1347" t="s">
        <v>1039</v>
      </c>
      <c r="B36" s="346" t="s">
        <v>1449</v>
      </c>
      <c r="C36" s="24">
        <f ca="1">ROUND(C29*F36,0)</f>
        <v>0</v>
      </c>
      <c r="D36" s="1791" t="s">
        <v>1482</v>
      </c>
      <c r="E36" s="346" t="s">
        <v>1422</v>
      </c>
      <c r="F36" s="373">
        <f ca="1">INDIRECT("'数据-取费表'!Ak"&amp;$G$1)</f>
        <v>0</v>
      </c>
      <c r="G36" s="1844"/>
      <c r="H36" s="1852"/>
      <c r="I36" s="1853"/>
      <c r="J36" s="1854"/>
      <c r="K36" s="749"/>
      <c r="L36" s="1852"/>
      <c r="M36" s="1852"/>
    </row>
    <row r="37" spans="1:18" ht="18" customHeight="1">
      <c r="A37" s="1196" t="s">
        <v>1075</v>
      </c>
      <c r="B37" s="346" t="s">
        <v>1453</v>
      </c>
      <c r="C37" s="24">
        <f ca="1">ROUND(C13*F37,0)</f>
        <v>0</v>
      </c>
      <c r="D37" s="1791" t="s">
        <v>1454</v>
      </c>
      <c r="E37" s="346" t="s">
        <v>1455</v>
      </c>
      <c r="F37" s="375">
        <f ca="1">INDIRECT("'数据-取费表'!Al"&amp;$G$1)</f>
        <v>0</v>
      </c>
      <c r="G37" s="1844"/>
      <c r="H37" s="1852"/>
      <c r="I37" s="1853"/>
      <c r="J37" s="1854"/>
      <c r="K37" s="749"/>
      <c r="L37" s="1852"/>
      <c r="M37" s="1852"/>
    </row>
    <row r="38" spans="1:18" ht="18" customHeight="1" thickBot="1">
      <c r="A38" s="1334" t="s">
        <v>1393</v>
      </c>
      <c r="B38" s="1335" t="s">
        <v>1439</v>
      </c>
      <c r="C38" s="1336">
        <f ca="1">ROUND(C5*F38,1)</f>
        <v>0</v>
      </c>
      <c r="D38" s="1337" t="s">
        <v>1459</v>
      </c>
      <c r="E38" s="1335" t="s">
        <v>1455</v>
      </c>
      <c r="F38" s="1331">
        <f ca="1">INDIRECT("'数据-取费表'!Am"&amp;$G$1)</f>
        <v>0</v>
      </c>
      <c r="G38" s="1844"/>
      <c r="H38" s="1852"/>
      <c r="I38" s="1853"/>
      <c r="J38" s="1854"/>
      <c r="K38" s="1858"/>
      <c r="L38" s="1852"/>
      <c r="M38" s="1852"/>
    </row>
    <row r="39" spans="1:18" ht="24.6" customHeight="1" thickTop="1">
      <c r="A39" s="1324" t="s">
        <v>1031</v>
      </c>
      <c r="B39" s="1339" t="s">
        <v>1483</v>
      </c>
      <c r="C39" s="354">
        <f ca="1">C5-C30</f>
        <v>0</v>
      </c>
      <c r="D39" s="1340" t="s">
        <v>1484</v>
      </c>
      <c r="E39" s="1341"/>
      <c r="F39" s="1342"/>
      <c r="G39" s="1844"/>
      <c r="H39" s="1852"/>
      <c r="I39" s="1853"/>
      <c r="J39" s="1854"/>
      <c r="K39" s="1858"/>
      <c r="L39" s="1852"/>
      <c r="M39" s="1852"/>
    </row>
    <row r="40" spans="1:18" ht="18" customHeight="1">
      <c r="A40" s="343" t="s">
        <v>1032</v>
      </c>
      <c r="B40" s="344" t="s">
        <v>1485</v>
      </c>
      <c r="C40" s="345" t="e">
        <f ca="1">ROUND(C39*(1-((1+F42)/(1+F40))^F41)/(F40-F42),0)</f>
        <v>#DIV/0!</v>
      </c>
      <c r="D40" s="369" t="s">
        <v>1469</v>
      </c>
      <c r="E40" s="346" t="s">
        <v>1470</v>
      </c>
      <c r="F40" s="356">
        <f ca="1">INDIRECT("'数据-取费表'!I"&amp;$G$1)</f>
        <v>0</v>
      </c>
      <c r="G40" s="1844"/>
      <c r="H40" s="1832"/>
      <c r="I40" s="1853"/>
      <c r="J40" s="1854"/>
      <c r="K40" s="1858"/>
      <c r="L40" s="1832"/>
      <c r="M40" s="1832"/>
    </row>
    <row r="41" spans="1:18" ht="18" customHeight="1">
      <c r="A41" s="348"/>
      <c r="B41" s="349"/>
      <c r="C41" s="350"/>
      <c r="D41" s="377" t="s">
        <v>1486</v>
      </c>
      <c r="E41" s="346" t="s">
        <v>1474</v>
      </c>
      <c r="F41" s="378">
        <f ca="1">IF(INDIRECT("'数据-取费表'!af"&amp;$G$1)=0,INDIRECT("'数据-取费表'!ae"&amp;$G$1),INDIRECT("'数据-取费表'!af"&amp;$G$1))</f>
        <v>0</v>
      </c>
      <c r="G41" s="1844"/>
      <c r="H41" s="730"/>
      <c r="I41" s="1853"/>
      <c r="J41" s="1854"/>
      <c r="K41" s="749"/>
      <c r="L41" s="730"/>
      <c r="M41" s="730"/>
    </row>
    <row r="42" spans="1:18" ht="18" customHeight="1">
      <c r="A42" s="352"/>
      <c r="B42" s="353"/>
      <c r="C42" s="354"/>
      <c r="D42" s="372"/>
      <c r="E42" s="346" t="s">
        <v>1477</v>
      </c>
      <c r="F42" s="356">
        <f ca="1">INDIRECT("'数据-取费表'!v"&amp;$G$1)</f>
        <v>0</v>
      </c>
      <c r="G42" s="1844"/>
      <c r="H42" s="730"/>
      <c r="I42" s="1853"/>
      <c r="J42" s="1854"/>
      <c r="K42" s="749"/>
      <c r="L42" s="730"/>
      <c r="M42" s="730"/>
    </row>
    <row r="43" spans="1:18" ht="18" customHeight="1" thickBot="1">
      <c r="A43" s="379" t="s">
        <v>1033</v>
      </c>
      <c r="B43" s="380" t="s">
        <v>1487</v>
      </c>
      <c r="C43" s="381" t="e">
        <f ca="1">ROUND(C40/F43,0)</f>
        <v>#DIV/0!</v>
      </c>
      <c r="D43" s="382" t="s">
        <v>1488</v>
      </c>
      <c r="E43" s="383" t="s">
        <v>1489</v>
      </c>
      <c r="F43" s="384">
        <f ca="1">INDIRECT("'数据-取费表'!k"&amp;$G$1)</f>
        <v>0</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932" t="e">
        <f ca="1">C68-C40</f>
        <v>#DIV/0!</v>
      </c>
      <c r="D45" s="1933" t="s">
        <v>1604</v>
      </c>
      <c r="E45" s="1859"/>
      <c r="F45" s="1859"/>
      <c r="O45" s="1862" t="s">
        <v>1519</v>
      </c>
      <c r="P45" s="1832"/>
      <c r="Q45" s="1832"/>
      <c r="R45" s="1832"/>
    </row>
    <row r="46" spans="1:18" s="1835" customFormat="1" ht="13.5" thickBot="1">
      <c r="A46" s="1863" t="s">
        <v>1520</v>
      </c>
      <c r="C46" s="1864" t="e">
        <f ca="1">ROUND(C45/10000,0)</f>
        <v>#DIV/0!</v>
      </c>
      <c r="D46" s="1865" t="str">
        <f>C2</f>
        <v>万元</v>
      </c>
      <c r="I46" s="1866" t="s">
        <v>1521</v>
      </c>
      <c r="J46" s="1867"/>
      <c r="K46" s="1868"/>
      <c r="L46" s="1869" t="e">
        <f ca="1">IF(M47="住宅",0,IF(L48&gt;J51,L60,J60))</f>
        <v>#DIV/0!</v>
      </c>
      <c r="O46" s="1870" t="s">
        <v>1522</v>
      </c>
      <c r="P46" s="1871" t="s">
        <v>1523</v>
      </c>
      <c r="Q46" s="1872" t="s">
        <v>1524</v>
      </c>
      <c r="R46" s="1872" t="s">
        <v>1525</v>
      </c>
    </row>
    <row r="47" spans="1:18" s="1835" customFormat="1" ht="13.5" thickBot="1">
      <c r="A47" s="1160" t="s">
        <v>1396</v>
      </c>
      <c r="B47" s="1192" t="s">
        <v>1397</v>
      </c>
      <c r="C47" s="1192" t="s">
        <v>1398</v>
      </c>
      <c r="D47" s="1192" t="s">
        <v>1399</v>
      </c>
      <c r="E47" s="1274" t="s">
        <v>1400</v>
      </c>
      <c r="F47" s="1275"/>
      <c r="G47" s="790"/>
      <c r="I47" s="1873" t="s">
        <v>1526</v>
      </c>
      <c r="J47" s="1874"/>
      <c r="K47" s="1875" t="s">
        <v>1527</v>
      </c>
      <c r="L47" s="1876">
        <f ca="1">INDIRECT("'数据-取费表'!d"&amp;$G$1)</f>
        <v>0</v>
      </c>
      <c r="M47" s="1831" t="str">
        <f>IF(ISNUMBER(FIND("住宅",C1)),"住宅","非住宅")</f>
        <v>非住宅</v>
      </c>
      <c r="O47" s="1877" t="s">
        <v>1040</v>
      </c>
      <c r="P47" s="1878" t="s">
        <v>1528</v>
      </c>
      <c r="Q47" s="1879" t="e">
        <f ca="1">C40+J29</f>
        <v>#DIV/0!</v>
      </c>
      <c r="R47" s="1879" t="s">
        <v>1529</v>
      </c>
    </row>
    <row r="48" spans="1:18" s="1835" customFormat="1" ht="28.5" thickBot="1">
      <c r="A48" s="1355" t="s">
        <v>1135</v>
      </c>
      <c r="B48" s="344" t="s">
        <v>1401</v>
      </c>
      <c r="C48" s="1810">
        <f ca="1">C49+C53+C55</f>
        <v>0</v>
      </c>
      <c r="D48" s="1357"/>
      <c r="E48" s="1358"/>
      <c r="F48" s="1176"/>
      <c r="G48" s="790"/>
      <c r="H48" s="791"/>
      <c r="I48" s="1880" t="s">
        <v>1530</v>
      </c>
      <c r="J48" s="1881"/>
      <c r="K48" s="1882" t="s">
        <v>1531</v>
      </c>
      <c r="L48" s="1883">
        <f ca="1">INDIRECT("'数据-取费表'!f"&amp;$G$1)</f>
        <v>0</v>
      </c>
      <c r="O48" s="1877" t="s">
        <v>1041</v>
      </c>
      <c r="P48" s="1878" t="s">
        <v>1532</v>
      </c>
      <c r="Q48" s="1879" t="e">
        <f ca="1">J60</f>
        <v>#DIV/0!</v>
      </c>
      <c r="R48" s="1879" t="s">
        <v>1533</v>
      </c>
    </row>
    <row r="49" spans="1:18" s="1835" customFormat="1" ht="13.5" thickBot="1">
      <c r="A49" s="1189" t="s">
        <v>1136</v>
      </c>
      <c r="B49" s="1822" t="s">
        <v>1490</v>
      </c>
      <c r="C49" s="1359">
        <f ca="1">ROUND(F49*F51*F50*(1-F52),0)</f>
        <v>0</v>
      </c>
      <c r="D49" s="1271" t="s">
        <v>1404</v>
      </c>
      <c r="E49" s="1823" t="s">
        <v>1491</v>
      </c>
      <c r="F49" s="1276"/>
      <c r="G49" s="1884"/>
      <c r="H49" s="791"/>
      <c r="I49" s="1880" t="s">
        <v>1534</v>
      </c>
      <c r="J49" s="1885"/>
      <c r="K49" s="1882" t="s">
        <v>1535</v>
      </c>
      <c r="L49" s="1886"/>
      <c r="O49" s="1887" t="s">
        <v>1042</v>
      </c>
      <c r="P49" s="1878" t="s">
        <v>1536</v>
      </c>
      <c r="Q49" s="1879">
        <f ca="1">C29</f>
        <v>0</v>
      </c>
      <c r="R49" s="1879" t="s">
        <v>1529</v>
      </c>
    </row>
    <row r="50" spans="1:18" s="1835" customFormat="1" ht="13.5" thickBot="1">
      <c r="A50" s="1190"/>
      <c r="B50" s="1193"/>
      <c r="C50" s="1194"/>
      <c r="D50" s="1167"/>
      <c r="E50" s="1272" t="s">
        <v>1406</v>
      </c>
      <c r="F50" s="1273">
        <f ca="1">F7</f>
        <v>0</v>
      </c>
      <c r="H50" s="791"/>
      <c r="I50" s="1880" t="s">
        <v>1537</v>
      </c>
      <c r="J50" s="1888">
        <f>SUMPRODUCT((I63:I65=J47)*(J62:L62=J48)*(J63:L65))</f>
        <v>0</v>
      </c>
      <c r="K50" s="1882" t="s">
        <v>1538</v>
      </c>
      <c r="L50" s="1886"/>
      <c r="M50" s="1889"/>
      <c r="O50" s="1887" t="s">
        <v>1043</v>
      </c>
      <c r="P50" s="1878" t="s">
        <v>1539</v>
      </c>
      <c r="Q50" s="1890" t="e">
        <f ca="1">J58</f>
        <v>#DIV/0!</v>
      </c>
      <c r="R50" s="1879"/>
    </row>
    <row r="51" spans="1:18" s="1835" customFormat="1" ht="13.5" thickBot="1">
      <c r="A51" s="1191"/>
      <c r="B51" s="1193"/>
      <c r="C51" s="1194"/>
      <c r="D51" s="1167"/>
      <c r="E51" s="1195" t="s">
        <v>1407</v>
      </c>
      <c r="F51" s="347">
        <f ca="1">F8</f>
        <v>0</v>
      </c>
      <c r="I51" s="1891" t="s">
        <v>1540</v>
      </c>
      <c r="J51" s="1892">
        <f>IF(J49="",J50,J49+J50-YEAR('数据-取费表'!B2))</f>
        <v>0</v>
      </c>
      <c r="K51" s="1893" t="s">
        <v>1541</v>
      </c>
      <c r="L51" s="1894">
        <f ca="1">ROUND(-PV(INDIRECT("'数据-取费表'!h"&amp;$G$1),L48,(C39-C13*C76),0),0)</f>
        <v>0</v>
      </c>
      <c r="M51" s="1895"/>
      <c r="O51" s="1887" t="s">
        <v>1044</v>
      </c>
      <c r="P51" s="1878" t="s">
        <v>1542</v>
      </c>
      <c r="Q51" s="1890">
        <f>J52</f>
        <v>0</v>
      </c>
      <c r="R51" s="1879"/>
    </row>
    <row r="52" spans="1:18" s="1835" customFormat="1" ht="13.5" thickBot="1">
      <c r="A52" s="1191"/>
      <c r="B52" s="1193"/>
      <c r="C52" s="1194"/>
      <c r="D52" s="1167"/>
      <c r="E52" s="1195" t="s">
        <v>1408</v>
      </c>
      <c r="F52" s="1270"/>
      <c r="I52" s="1896" t="s">
        <v>1543</v>
      </c>
      <c r="J52" s="1897"/>
      <c r="K52" s="1896" t="s">
        <v>1544</v>
      </c>
      <c r="L52" s="1897"/>
      <c r="O52" s="1887" t="s">
        <v>1045</v>
      </c>
      <c r="P52" s="1878" t="s">
        <v>1545</v>
      </c>
      <c r="Q52" s="1879" t="b">
        <f>J53</f>
        <v>0</v>
      </c>
      <c r="R52" s="1879" t="s">
        <v>1546</v>
      </c>
    </row>
    <row r="53" spans="1:18" s="1835" customFormat="1" ht="30.75" customHeight="1" thickBot="1">
      <c r="A53" s="1356" t="s">
        <v>1137</v>
      </c>
      <c r="B53" s="368" t="s">
        <v>1409</v>
      </c>
      <c r="C53" s="360">
        <f ca="1">ROUND(IF(F53="押一",C49/12*F11,IF(F53="押二",C49/12*2*F11,IF(F53="押三",C49/12*3*F11,C54*F11))),0)</f>
        <v>0</v>
      </c>
      <c r="D53" s="1817" t="s">
        <v>3023</v>
      </c>
      <c r="E53" s="357" t="s">
        <v>1410</v>
      </c>
      <c r="F53" s="1361"/>
      <c r="I53" s="1898" t="s">
        <v>1547</v>
      </c>
      <c r="J53" s="1899" t="b">
        <f>IF(M47="住宅",J51,IF(D1="——",MIN(J51,L48),IF(D1="在建（套用方法）",MIN(J51,L48-'数据-取费表'!B24),IF(D1="土地（套用方法）",MIN(J51,L48-'数据-取费表'!B20)))))</f>
        <v>0</v>
      </c>
      <c r="K53" s="3249" t="s">
        <v>1548</v>
      </c>
      <c r="L53" s="3250"/>
      <c r="O53" s="1877" t="s">
        <v>1046</v>
      </c>
      <c r="P53" s="1878" t="s">
        <v>1549</v>
      </c>
      <c r="Q53" s="1879" t="e">
        <f ca="1">Q47+Q48</f>
        <v>#DIV/0!</v>
      </c>
      <c r="R53" s="1879" t="s">
        <v>1047</v>
      </c>
    </row>
    <row r="54" spans="1:18" s="1835" customFormat="1" ht="13.5" thickBot="1">
      <c r="A54" s="1189"/>
      <c r="B54" s="1934" t="s">
        <v>1603</v>
      </c>
      <c r="C54" s="1173"/>
      <c r="D54" s="1817"/>
      <c r="E54" s="1825"/>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4"/>
      <c r="O54" s="1862" t="s">
        <v>1550</v>
      </c>
      <c r="P54" s="1832"/>
      <c r="Q54" s="1832"/>
      <c r="R54" s="1832"/>
    </row>
    <row r="55" spans="1:18" s="1835" customFormat="1" ht="13.5" thickBot="1">
      <c r="A55" s="1328" t="s">
        <v>1075</v>
      </c>
      <c r="B55" s="1820" t="s">
        <v>1413</v>
      </c>
      <c r="C55" s="1329"/>
      <c r="D55" s="1817"/>
      <c r="E55" s="1825"/>
      <c r="F55" s="1900"/>
      <c r="I55" s="1903" t="s">
        <v>1551</v>
      </c>
      <c r="J55" s="1904" t="e">
        <f ca="1">ROUND(IF(J47="钢混",J57/J50,1-(1-2%)*(J50-J57)/J50),3)</f>
        <v>#DIV/0!</v>
      </c>
      <c r="K55" s="1905" t="s">
        <v>1552</v>
      </c>
      <c r="L55" s="1906"/>
      <c r="O55" s="1870" t="s">
        <v>1522</v>
      </c>
      <c r="P55" s="1871" t="s">
        <v>1523</v>
      </c>
      <c r="Q55" s="1872" t="s">
        <v>1524</v>
      </c>
      <c r="R55" s="1872" t="s">
        <v>1525</v>
      </c>
    </row>
    <row r="56" spans="1:18" s="1835" customFormat="1" ht="36" customHeight="1" thickTop="1" thickBot="1">
      <c r="A56" s="1171">
        <v>2</v>
      </c>
      <c r="B56" s="1172" t="s">
        <v>1414</v>
      </c>
      <c r="C56" s="275">
        <f ca="1">C13</f>
        <v>0</v>
      </c>
      <c r="D56" s="1907"/>
      <c r="E56" s="1908"/>
      <c r="F56" s="1900"/>
      <c r="I56" s="1909" t="s">
        <v>1554</v>
      </c>
      <c r="J56" s="1910"/>
      <c r="K56" s="1880" t="s">
        <v>1555</v>
      </c>
      <c r="L56" s="1883">
        <f ca="1">IF(L48&lt;J51,"——",L48-J51)</f>
        <v>0</v>
      </c>
      <c r="O56" s="1877" t="s">
        <v>1040</v>
      </c>
      <c r="P56" s="1878" t="s">
        <v>1528</v>
      </c>
      <c r="Q56" s="1879" t="e">
        <f ca="1">C40+J29</f>
        <v>#DIV/0!</v>
      </c>
      <c r="R56" s="1879" t="s">
        <v>1529</v>
      </c>
    </row>
    <row r="57" spans="1:18" s="1835" customFormat="1" ht="24.75" thickBot="1">
      <c r="A57" s="1911"/>
      <c r="B57" s="1164" t="s">
        <v>1478</v>
      </c>
      <c r="C57" s="281">
        <f ca="1">C29</f>
        <v>0</v>
      </c>
      <c r="D57" s="1912"/>
      <c r="E57" s="1913"/>
      <c r="F57" s="1914"/>
      <c r="I57" s="1915" t="s">
        <v>1556</v>
      </c>
      <c r="J57" s="1916">
        <f ca="1">IF(OR(M47="住宅",J51&lt;L48,J56="是"),"——",J51-L48)</f>
        <v>0</v>
      </c>
      <c r="K57" s="1880" t="s">
        <v>1605</v>
      </c>
      <c r="L57" s="1883">
        <f ca="1">IF(L48&lt;J51,"——",IF(L55="比较法",L49,IF(L55="基准地价",L50,L51)))</f>
        <v>0</v>
      </c>
      <c r="O57" s="1877" t="s">
        <v>1041</v>
      </c>
      <c r="P57" s="1878" t="s">
        <v>1606</v>
      </c>
      <c r="Q57" s="1879" t="e">
        <f ca="1">L60</f>
        <v>#DIV/0!</v>
      </c>
      <c r="R57" s="1879" t="s">
        <v>1607</v>
      </c>
    </row>
    <row r="58" spans="1:18" s="1835" customFormat="1" ht="24.75" thickBot="1">
      <c r="A58" s="359" t="s">
        <v>1030</v>
      </c>
      <c r="B58" s="1172" t="s">
        <v>1424</v>
      </c>
      <c r="C58" s="360">
        <f ca="1">ROUND(C59+C64+C65+C66,0)</f>
        <v>0</v>
      </c>
      <c r="D58" s="1174" t="s">
        <v>1425</v>
      </c>
      <c r="E58" s="1175"/>
      <c r="F58" s="1176"/>
      <c r="I58" s="1915" t="s">
        <v>1560</v>
      </c>
      <c r="J58" s="1917" t="e">
        <f ca="1">IF(J55&lt;0.4,0.4,J55)</f>
        <v>#DIV/0!</v>
      </c>
      <c r="K58" s="1893" t="s">
        <v>1608</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6" t="s">
        <v>1035</v>
      </c>
      <c r="B59" s="1164" t="s">
        <v>1429</v>
      </c>
      <c r="C59" s="24">
        <f ca="1">ROUND(IF(项目基本情况!B11="自然人",C48*F59,C60+C61+C62),0)</f>
        <v>0</v>
      </c>
      <c r="D59" s="1177" t="s">
        <v>1430</v>
      </c>
      <c r="E59" s="1178" t="s">
        <v>1431</v>
      </c>
      <c r="F59" s="367" t="str">
        <f ca="1">IF(项目基本情况!B11="企业","",IF(INDIRECT("'数据-取费表'!c"&amp;$G$1)="住宅",5%,IF(F49*F50*F51/12/(1+'数据-取费表'!C42)&gt;20000,12%,7%)))</f>
        <v/>
      </c>
      <c r="I59" s="1915" t="s">
        <v>1563</v>
      </c>
      <c r="J59" s="1916"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1043</v>
      </c>
      <c r="P59" s="1878" t="s">
        <v>1564</v>
      </c>
      <c r="Q59" s="1890">
        <f>L52</f>
        <v>0</v>
      </c>
      <c r="R59" s="1879"/>
    </row>
    <row r="60" spans="1:18" s="1835" customFormat="1" ht="16.5" thickBot="1">
      <c r="A60" s="1196" t="s">
        <v>1034</v>
      </c>
      <c r="B60" s="1164" t="s">
        <v>1433</v>
      </c>
      <c r="C60" s="24">
        <f ca="1">IF(项目基本情况!B11="自然人","——",ROUND(C48*F60/(1+'数据-取费表'!C42),0))</f>
        <v>0</v>
      </c>
      <c r="D60" s="1178" t="s">
        <v>1434</v>
      </c>
      <c r="E60" s="1164" t="s">
        <v>1422</v>
      </c>
      <c r="F60" s="376">
        <f t="shared" ref="F60:F66" si="0">F32</f>
        <v>5.6000000000000001E-2</v>
      </c>
      <c r="I60" s="1918" t="s">
        <v>1565</v>
      </c>
      <c r="J60" s="1919" t="e">
        <f ca="1">IF(OR(M47="住宅",J51&lt;L48,J56="是"),"0",ROUND(J59/(1+J52)^J53,0))</f>
        <v>#DIV/0!</v>
      </c>
      <c r="K60" s="1920" t="s">
        <v>1566</v>
      </c>
      <c r="L60" s="1919" t="e">
        <f ca="1">IF(OR(M47="住宅",L48&lt;J51),0,ROUND(L57*(L58/L59-1),0))</f>
        <v>#DIV/0!</v>
      </c>
      <c r="O60" s="1887" t="s">
        <v>1044</v>
      </c>
      <c r="P60" s="1878" t="s">
        <v>1567</v>
      </c>
      <c r="Q60" s="1879" t="e">
        <f ca="1">L58</f>
        <v>#DIV/0!</v>
      </c>
      <c r="R60" s="1879" t="s">
        <v>1568</v>
      </c>
    </row>
    <row r="61" spans="1:18" s="1835" customFormat="1" ht="13.5" thickBot="1">
      <c r="A61" s="1196" t="s">
        <v>1492</v>
      </c>
      <c r="B61" s="1164" t="s">
        <v>1493</v>
      </c>
      <c r="C61" s="24">
        <f ca="1">IF(项目基本情况!B11="自然人","——",IF(D61="按租金收入计税",ROUND(C48*F61,0),IF(D61="按房产原值计税",ROUND(C57*F61*0.7,0),INDIRECT("'数据-取费表'!Aj"&amp;$G$1))))</f>
        <v>0</v>
      </c>
      <c r="D61" s="1821" t="s">
        <v>1438</v>
      </c>
      <c r="E61" s="1164" t="s">
        <v>1494</v>
      </c>
      <c r="F61" s="366">
        <f t="shared" si="0"/>
        <v>1.2E-2</v>
      </c>
      <c r="I61" s="1921"/>
      <c r="J61" s="1921"/>
      <c r="K61" s="1921"/>
      <c r="L61" s="1921"/>
      <c r="O61" s="1887" t="s">
        <v>1045</v>
      </c>
      <c r="P61" s="1878" t="str">
        <f>K59</f>
        <v>建设期及建筑物耐用年限下的土地年期修正系数Kn</v>
      </c>
      <c r="Q61" s="1879" t="e">
        <f ca="1">L59</f>
        <v>#DIV/0!</v>
      </c>
      <c r="R61" s="1879" t="s">
        <v>1569</v>
      </c>
    </row>
    <row r="62" spans="1:18" s="1835" customFormat="1" ht="13.5" thickBot="1">
      <c r="A62" s="1196" t="s">
        <v>1495</v>
      </c>
      <c r="B62" s="1163" t="s">
        <v>1496</v>
      </c>
      <c r="C62" s="25">
        <f ca="1">IF(项目基本情况!B11="自然人","——",ROUND(F62*F63,0))</f>
        <v>0</v>
      </c>
      <c r="D62" s="1179" t="s">
        <v>1497</v>
      </c>
      <c r="E62" s="1164" t="s">
        <v>1498</v>
      </c>
      <c r="F62" s="370">
        <f t="shared" si="0"/>
        <v>1.5</v>
      </c>
      <c r="I62" s="1922" t="s">
        <v>1570</v>
      </c>
      <c r="J62" s="1923" t="s">
        <v>1571</v>
      </c>
      <c r="K62" s="1923" t="s">
        <v>1572</v>
      </c>
      <c r="L62" s="1923" t="s">
        <v>1573</v>
      </c>
      <c r="M62" s="1924" t="s">
        <v>1574</v>
      </c>
      <c r="O62" s="1877" t="s">
        <v>1046</v>
      </c>
      <c r="P62" s="1878" t="s">
        <v>1575</v>
      </c>
      <c r="Q62" s="1879" t="e">
        <f ca="1">Q56+Q57</f>
        <v>#DIV/0!</v>
      </c>
      <c r="R62" s="1879" t="s">
        <v>1047</v>
      </c>
    </row>
    <row r="63" spans="1:18" s="1835" customFormat="1" ht="13.5" thickBot="1">
      <c r="A63" s="371"/>
      <c r="B63" s="1170"/>
      <c r="C63" s="29"/>
      <c r="D63" s="1180"/>
      <c r="E63" s="1164" t="s">
        <v>1499</v>
      </c>
      <c r="F63" s="347">
        <f t="shared" ca="1" si="0"/>
        <v>0</v>
      </c>
      <c r="I63" s="1922" t="s">
        <v>1576</v>
      </c>
      <c r="J63" s="1923">
        <v>70</v>
      </c>
      <c r="K63" s="1923">
        <v>50</v>
      </c>
      <c r="L63" s="1923">
        <v>80</v>
      </c>
      <c r="M63" s="1925">
        <v>0.02</v>
      </c>
      <c r="O63" s="1862" t="s">
        <v>1577</v>
      </c>
      <c r="P63" s="1832"/>
      <c r="Q63" s="1832"/>
      <c r="R63" s="1832"/>
    </row>
    <row r="64" spans="1:18" s="1835" customFormat="1" ht="13.5" thickBot="1">
      <c r="A64" s="1196" t="s">
        <v>1500</v>
      </c>
      <c r="B64" s="1164" t="s">
        <v>1501</v>
      </c>
      <c r="C64" s="24">
        <f ca="1">ROUND(C57*F64,0)</f>
        <v>0</v>
      </c>
      <c r="D64" s="1178" t="s">
        <v>1502</v>
      </c>
      <c r="E64" s="1164" t="s">
        <v>1494</v>
      </c>
      <c r="F64" s="373">
        <f t="shared" ca="1" si="0"/>
        <v>0</v>
      </c>
      <c r="I64" s="1922" t="s">
        <v>1578</v>
      </c>
      <c r="J64" s="1923">
        <v>50</v>
      </c>
      <c r="K64" s="1923">
        <v>35</v>
      </c>
      <c r="L64" s="1923">
        <v>60</v>
      </c>
      <c r="M64" s="1924">
        <v>0</v>
      </c>
      <c r="O64" s="1870" t="s">
        <v>1522</v>
      </c>
      <c r="P64" s="1871" t="s">
        <v>1523</v>
      </c>
      <c r="Q64" s="1872" t="s">
        <v>1524</v>
      </c>
      <c r="R64" s="1872" t="s">
        <v>1525</v>
      </c>
    </row>
    <row r="65" spans="1:18" s="1835" customFormat="1" ht="13.5" thickBot="1">
      <c r="A65" s="1196" t="s">
        <v>1503</v>
      </c>
      <c r="B65" s="1164" t="s">
        <v>1453</v>
      </c>
      <c r="C65" s="24">
        <f ca="1">ROUND(C56*F65,0)</f>
        <v>0</v>
      </c>
      <c r="D65" s="1178" t="s">
        <v>1454</v>
      </c>
      <c r="E65" s="1164" t="s">
        <v>1455</v>
      </c>
      <c r="F65" s="375">
        <f t="shared" ca="1" si="0"/>
        <v>0</v>
      </c>
      <c r="I65" s="1922" t="s">
        <v>1579</v>
      </c>
      <c r="J65" s="1923">
        <v>40</v>
      </c>
      <c r="K65" s="1923">
        <v>30</v>
      </c>
      <c r="L65" s="1923">
        <v>50</v>
      </c>
      <c r="M65" s="1925">
        <v>0.02</v>
      </c>
      <c r="O65" s="1877" t="s">
        <v>1040</v>
      </c>
      <c r="P65" s="1878" t="s">
        <v>1580</v>
      </c>
      <c r="Q65" s="1879" t="e">
        <f ca="1">C40+J29</f>
        <v>#DIV/0!</v>
      </c>
      <c r="R65" s="1879" t="s">
        <v>1529</v>
      </c>
    </row>
    <row r="66" spans="1:18" s="1835" customFormat="1" ht="16.5" thickBot="1">
      <c r="A66" s="1196" t="s">
        <v>1504</v>
      </c>
      <c r="B66" s="1164" t="s">
        <v>1439</v>
      </c>
      <c r="C66" s="24">
        <f ca="1">ROUND(C48*F66,0)</f>
        <v>0</v>
      </c>
      <c r="D66" s="1178" t="s">
        <v>1505</v>
      </c>
      <c r="E66" s="1164" t="s">
        <v>1422</v>
      </c>
      <c r="F66" s="356">
        <f t="shared" ca="1" si="0"/>
        <v>0</v>
      </c>
      <c r="O66" s="1877" t="s">
        <v>1041</v>
      </c>
      <c r="P66" s="1878" t="s">
        <v>1558</v>
      </c>
      <c r="Q66" s="1879" t="e">
        <f ca="1">L60</f>
        <v>#DIV/0!</v>
      </c>
      <c r="R66" s="1879" t="s">
        <v>1581</v>
      </c>
    </row>
    <row r="67" spans="1:18" s="1835" customFormat="1" ht="16.5" thickBot="1">
      <c r="A67" s="1171" t="s">
        <v>1031</v>
      </c>
      <c r="B67" s="1181" t="s">
        <v>1463</v>
      </c>
      <c r="C67" s="360">
        <f ca="1">C48-C58</f>
        <v>0</v>
      </c>
      <c r="D67" s="1177" t="s">
        <v>1464</v>
      </c>
      <c r="E67" s="1182"/>
      <c r="F67" s="1183"/>
      <c r="O67" s="1887" t="s">
        <v>1042</v>
      </c>
      <c r="P67" s="1878" t="s">
        <v>1562</v>
      </c>
      <c r="Q67" s="1926">
        <f ca="1">L51</f>
        <v>0</v>
      </c>
      <c r="R67" s="1879" t="s">
        <v>1582</v>
      </c>
    </row>
    <row r="68" spans="1:18" s="1835" customFormat="1" ht="16.5" thickBot="1">
      <c r="A68" s="1161" t="s">
        <v>1032</v>
      </c>
      <c r="B68" s="1162" t="s">
        <v>1485</v>
      </c>
      <c r="C68" s="345" t="e">
        <f ca="1">ROUND(C67*(1-((1+F70)/(1+F68))^F69)/(F68-F70),0)</f>
        <v>#DIV/0!</v>
      </c>
      <c r="D68" s="1179" t="s">
        <v>1469</v>
      </c>
      <c r="E68" s="1164" t="s">
        <v>1470</v>
      </c>
      <c r="F68" s="356">
        <f ca="1">F40</f>
        <v>0</v>
      </c>
      <c r="O68" s="1887" t="s">
        <v>1043</v>
      </c>
      <c r="P68" s="1927" t="s">
        <v>1583</v>
      </c>
      <c r="Q68" s="1879">
        <f ca="1">ROUND(Q69-Q70*Q71,0)</f>
        <v>0</v>
      </c>
      <c r="R68" s="1879" t="s">
        <v>1051</v>
      </c>
    </row>
    <row r="69" spans="1:18" s="1835" customFormat="1" ht="13.5" thickBot="1">
      <c r="A69" s="1165"/>
      <c r="B69" s="1166"/>
      <c r="C69" s="350"/>
      <c r="D69" s="1184" t="s">
        <v>1473</v>
      </c>
      <c r="E69" s="1164" t="s">
        <v>1474</v>
      </c>
      <c r="F69" s="378">
        <f ca="1">F41</f>
        <v>0</v>
      </c>
      <c r="O69" s="1887" t="s">
        <v>1048</v>
      </c>
      <c r="P69" s="1927" t="s">
        <v>1584</v>
      </c>
      <c r="Q69" s="1879">
        <f ca="1">C39</f>
        <v>0</v>
      </c>
      <c r="R69" s="1879" t="s">
        <v>1529</v>
      </c>
    </row>
    <row r="70" spans="1:18" s="1835" customFormat="1" ht="13.5" thickBot="1">
      <c r="A70" s="1168"/>
      <c r="B70" s="1169"/>
      <c r="C70" s="354"/>
      <c r="D70" s="1180"/>
      <c r="E70" s="1164" t="s">
        <v>1477</v>
      </c>
      <c r="F70" s="1270">
        <f ca="1">F42</f>
        <v>0</v>
      </c>
      <c r="O70" s="1887" t="s">
        <v>1049</v>
      </c>
      <c r="P70" s="1927" t="s">
        <v>1585</v>
      </c>
      <c r="Q70" s="1879">
        <f ca="1">C13</f>
        <v>0</v>
      </c>
      <c r="R70" s="1879" t="s">
        <v>1529</v>
      </c>
    </row>
    <row r="71" spans="1:18" s="1835" customFormat="1" ht="13.5" thickBot="1">
      <c r="A71" s="1185" t="s">
        <v>1033</v>
      </c>
      <c r="B71" s="1186" t="s">
        <v>1487</v>
      </c>
      <c r="C71" s="381" t="e">
        <f ca="1">ROUND(C68/F71,0)</f>
        <v>#DIV/0!</v>
      </c>
      <c r="D71" s="1187" t="s">
        <v>1488</v>
      </c>
      <c r="E71" s="1188" t="s">
        <v>1489</v>
      </c>
      <c r="F71" s="384">
        <f ca="1">F43</f>
        <v>0</v>
      </c>
      <c r="O71" s="1887" t="s">
        <v>1050</v>
      </c>
      <c r="P71" s="1927" t="s">
        <v>1586</v>
      </c>
      <c r="Q71" s="1890">
        <f ca="1">C76</f>
        <v>0</v>
      </c>
      <c r="R71" s="1879"/>
    </row>
    <row r="72" spans="1:18" s="1835" customFormat="1" ht="13.5" thickBot="1">
      <c r="B72" s="794"/>
      <c r="C72" s="794"/>
      <c r="O72" s="1887" t="s">
        <v>1044</v>
      </c>
      <c r="P72" s="1878" t="s">
        <v>1564</v>
      </c>
      <c r="Q72" s="1890">
        <f>L52</f>
        <v>0</v>
      </c>
      <c r="R72" s="1879"/>
    </row>
    <row r="73" spans="1:18" ht="16.5" thickBot="1">
      <c r="A73" s="1835"/>
      <c r="B73" s="794"/>
      <c r="C73" s="794"/>
      <c r="D73" s="1835"/>
      <c r="E73" s="1835"/>
      <c r="F73" s="1835"/>
      <c r="O73" s="1887" t="s">
        <v>1045</v>
      </c>
      <c r="P73" s="1878" t="s">
        <v>1567</v>
      </c>
      <c r="Q73" s="1879" t="e">
        <f ca="1">L58</f>
        <v>#DIV/0!</v>
      </c>
      <c r="R73" s="1879" t="s">
        <v>1568</v>
      </c>
    </row>
    <row r="74" spans="1:18" ht="13.5" thickBot="1">
      <c r="A74" s="1835"/>
      <c r="B74" s="316" t="s">
        <v>1587</v>
      </c>
      <c r="C74" s="1929"/>
      <c r="D74" s="1835"/>
      <c r="E74" s="1835"/>
      <c r="F74" s="1835"/>
      <c r="O74" s="1887" t="s">
        <v>1052</v>
      </c>
      <c r="P74" s="1878" t="str">
        <f>K59</f>
        <v>建设期及建筑物耐用年限下的土地年期修正系数Kn</v>
      </c>
      <c r="Q74" s="1879" t="e">
        <f ca="1">L59</f>
        <v>#DIV/0!</v>
      </c>
      <c r="R74" s="1879" t="s">
        <v>1569</v>
      </c>
    </row>
    <row r="75" spans="1:18" ht="13.5" thickBot="1">
      <c r="A75" s="1835"/>
      <c r="B75" s="385" t="s">
        <v>1506</v>
      </c>
      <c r="C75" s="386">
        <f ca="1">ROUND(C13*C76,0)</f>
        <v>0</v>
      </c>
      <c r="D75" s="1835"/>
      <c r="E75" s="1835"/>
      <c r="F75" s="1835"/>
      <c r="K75" s="1861"/>
      <c r="L75" s="1835"/>
      <c r="O75" s="1877" t="s">
        <v>1046</v>
      </c>
      <c r="P75" s="1878" t="s">
        <v>1549</v>
      </c>
      <c r="Q75" s="1879" t="e">
        <f ca="1">Q65+Q66</f>
        <v>#DIV/0!</v>
      </c>
      <c r="R75" s="1879" t="s">
        <v>1047</v>
      </c>
    </row>
    <row r="76" spans="1:18">
      <c r="B76" s="387" t="s">
        <v>1507</v>
      </c>
      <c r="C76" s="388">
        <f ca="1">INDIRECT("'数据-取费表'!j"&amp;$G$1)</f>
        <v>0</v>
      </c>
      <c r="I76" s="1835"/>
      <c r="J76" s="1835"/>
      <c r="K76" s="1861"/>
      <c r="L76" s="1835"/>
    </row>
    <row r="77" spans="1:18">
      <c r="B77" s="389" t="s">
        <v>1508</v>
      </c>
      <c r="C77" s="390"/>
      <c r="I77" s="1835"/>
      <c r="J77" s="1835"/>
      <c r="K77" s="1861"/>
      <c r="L77" s="1835"/>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0" t="s">
        <v>1076</v>
      </c>
      <c r="B1" s="3271"/>
      <c r="C1" s="3272"/>
      <c r="D1" s="3273">
        <f>SUM(I10,I15,I20,I21,I23)</f>
        <v>0</v>
      </c>
      <c r="E1" s="3273"/>
      <c r="F1" s="3273"/>
      <c r="G1" s="3273"/>
      <c r="H1" s="3273"/>
      <c r="I1" s="3274"/>
    </row>
    <row r="2" spans="1:9">
      <c r="A2" s="3260" t="s">
        <v>1077</v>
      </c>
      <c r="B2" s="3261" t="s">
        <v>1078</v>
      </c>
      <c r="C2" s="3261"/>
      <c r="D2" s="1296" t="s">
        <v>1079</v>
      </c>
      <c r="E2" s="1296" t="s">
        <v>1080</v>
      </c>
      <c r="F2" s="1296" t="s">
        <v>1081</v>
      </c>
      <c r="G2" s="1296" t="s">
        <v>1082</v>
      </c>
      <c r="H2" s="1296" t="s">
        <v>1083</v>
      </c>
      <c r="I2" s="1297" t="s">
        <v>1084</v>
      </c>
    </row>
    <row r="3" spans="1:9">
      <c r="A3" s="3260"/>
      <c r="B3" s="3261" t="s">
        <v>1085</v>
      </c>
      <c r="C3" s="3261"/>
      <c r="D3" s="1298"/>
      <c r="E3" s="1296"/>
      <c r="F3" s="1299"/>
      <c r="G3" s="1299"/>
      <c r="H3" s="1300"/>
      <c r="I3" s="1301">
        <f>ROUND(D3*E3*F3*G3*H3/10000,0)</f>
        <v>0</v>
      </c>
    </row>
    <row r="4" spans="1:9">
      <c r="A4" s="3260"/>
      <c r="B4" s="3261" t="s">
        <v>1086</v>
      </c>
      <c r="C4" s="3261"/>
      <c r="D4" s="1298"/>
      <c r="E4" s="1296"/>
      <c r="F4" s="1299"/>
      <c r="G4" s="1299"/>
      <c r="H4" s="1300"/>
      <c r="I4" s="1301">
        <f t="shared" ref="I4:I9" si="0">ROUND(D4*E4*F4*G4*H4/10000,0)</f>
        <v>0</v>
      </c>
    </row>
    <row r="5" spans="1:9">
      <c r="A5" s="3260"/>
      <c r="B5" s="3261" t="s">
        <v>1087</v>
      </c>
      <c r="C5" s="3261"/>
      <c r="D5" s="1298"/>
      <c r="E5" s="1296"/>
      <c r="F5" s="1299"/>
      <c r="G5" s="1299"/>
      <c r="H5" s="1300"/>
      <c r="I5" s="1301">
        <f t="shared" si="0"/>
        <v>0</v>
      </c>
    </row>
    <row r="6" spans="1:9">
      <c r="A6" s="3260"/>
      <c r="B6" s="3261" t="s">
        <v>1088</v>
      </c>
      <c r="C6" s="3261"/>
      <c r="D6" s="1298"/>
      <c r="E6" s="1296"/>
      <c r="F6" s="1299"/>
      <c r="G6" s="1299"/>
      <c r="H6" s="1300"/>
      <c r="I6" s="1301">
        <f t="shared" si="0"/>
        <v>0</v>
      </c>
    </row>
    <row r="7" spans="1:9">
      <c r="A7" s="3260"/>
      <c r="B7" s="3261" t="s">
        <v>1089</v>
      </c>
      <c r="C7" s="3261"/>
      <c r="D7" s="1298"/>
      <c r="E7" s="1296"/>
      <c r="F7" s="1299"/>
      <c r="G7" s="1299"/>
      <c r="H7" s="1300"/>
      <c r="I7" s="1301">
        <f t="shared" si="0"/>
        <v>0</v>
      </c>
    </row>
    <row r="8" spans="1:9">
      <c r="A8" s="3260"/>
      <c r="B8" s="3261" t="s">
        <v>1090</v>
      </c>
      <c r="C8" s="3261"/>
      <c r="D8" s="1298"/>
      <c r="E8" s="1296"/>
      <c r="F8" s="1299"/>
      <c r="G8" s="1299"/>
      <c r="H8" s="1300"/>
      <c r="I8" s="1301">
        <f t="shared" si="0"/>
        <v>0</v>
      </c>
    </row>
    <row r="9" spans="1:9">
      <c r="A9" s="3260"/>
      <c r="B9" s="3261" t="s">
        <v>1091</v>
      </c>
      <c r="C9" s="3261"/>
      <c r="D9" s="1298"/>
      <c r="E9" s="1296"/>
      <c r="F9" s="1299"/>
      <c r="G9" s="1299"/>
      <c r="H9" s="1300"/>
      <c r="I9" s="1301">
        <f t="shared" si="0"/>
        <v>0</v>
      </c>
    </row>
    <row r="10" spans="1:9">
      <c r="A10" s="3260"/>
      <c r="B10" s="3262" t="s">
        <v>1092</v>
      </c>
      <c r="C10" s="3262"/>
      <c r="D10" s="1302"/>
      <c r="E10" s="1302" t="e">
        <f>ROUND(D1*10000/D10/H9,0)</f>
        <v>#DIV/0!</v>
      </c>
      <c r="F10" s="1303"/>
      <c r="G10" s="1303"/>
      <c r="H10" s="1304"/>
      <c r="I10" s="1305">
        <f>SUM(I3:I9)</f>
        <v>0</v>
      </c>
    </row>
    <row r="11" spans="1:9" ht="14.25">
      <c r="A11" s="3260" t="s">
        <v>1093</v>
      </c>
      <c r="B11" s="3261" t="s">
        <v>1094</v>
      </c>
      <c r="C11" s="3261"/>
      <c r="D11" s="1298" t="s">
        <v>1095</v>
      </c>
      <c r="E11" s="1298" t="s">
        <v>1096</v>
      </c>
      <c r="F11" s="1299" t="s">
        <v>1097</v>
      </c>
      <c r="G11" s="1299" t="s">
        <v>1083</v>
      </c>
      <c r="H11" s="1306" t="s">
        <v>1098</v>
      </c>
      <c r="I11" s="1297" t="s">
        <v>1084</v>
      </c>
    </row>
    <row r="12" spans="1:9">
      <c r="A12" s="3260"/>
      <c r="B12" s="3261" t="s">
        <v>1099</v>
      </c>
      <c r="C12" s="3261"/>
      <c r="D12" s="1298"/>
      <c r="E12" s="1298"/>
      <c r="F12" s="1299"/>
      <c r="G12" s="1300"/>
      <c r="H12" s="1307"/>
      <c r="I12" s="1297">
        <f>ROUND(D12*E12*F12*G12/10000,0)</f>
        <v>0</v>
      </c>
    </row>
    <row r="13" spans="1:9">
      <c r="A13" s="3260"/>
      <c r="B13" s="3261" t="s">
        <v>1100</v>
      </c>
      <c r="C13" s="3261"/>
      <c r="D13" s="1298"/>
      <c r="E13" s="1298"/>
      <c r="F13" s="1299"/>
      <c r="G13" s="1300"/>
      <c r="H13" s="1307"/>
      <c r="I13" s="1297">
        <f>ROUND(D13*E13*F13*G13/10000,0)</f>
        <v>0</v>
      </c>
    </row>
    <row r="14" spans="1:9">
      <c r="A14" s="3260"/>
      <c r="B14" s="3261" t="s">
        <v>1101</v>
      </c>
      <c r="C14" s="3261"/>
      <c r="D14" s="1298"/>
      <c r="E14" s="1298"/>
      <c r="F14" s="1299"/>
      <c r="G14" s="1300"/>
      <c r="H14" s="1307"/>
      <c r="I14" s="1297">
        <f>ROUND(D14*E14*F14*G14/10000,0)</f>
        <v>0</v>
      </c>
    </row>
    <row r="15" spans="1:9">
      <c r="A15" s="3260"/>
      <c r="B15" s="3262" t="s">
        <v>1092</v>
      </c>
      <c r="C15" s="3262"/>
      <c r="D15" s="1302"/>
      <c r="E15" s="1302">
        <f>SUM(E12:E14)</f>
        <v>0</v>
      </c>
      <c r="F15" s="1303"/>
      <c r="G15" s="1300"/>
      <c r="H15" s="1307"/>
      <c r="I15" s="1308">
        <f>SUM(I12:I14)</f>
        <v>0</v>
      </c>
    </row>
    <row r="16" spans="1:9" ht="24">
      <c r="A16" s="3260" t="s">
        <v>1102</v>
      </c>
      <c r="B16" s="3261" t="s">
        <v>1103</v>
      </c>
      <c r="C16" s="3261"/>
      <c r="D16" s="1298" t="s">
        <v>1079</v>
      </c>
      <c r="E16" s="1309" t="s">
        <v>1104</v>
      </c>
      <c r="F16" s="1299" t="s">
        <v>1105</v>
      </c>
      <c r="G16" s="1300" t="s">
        <v>1083</v>
      </c>
      <c r="H16" s="1306" t="s">
        <v>1098</v>
      </c>
      <c r="I16" s="1297" t="s">
        <v>1084</v>
      </c>
    </row>
    <row r="17" spans="1:9" ht="14.25">
      <c r="A17" s="3260"/>
      <c r="B17" s="3261" t="s">
        <v>1106</v>
      </c>
      <c r="C17" s="3261"/>
      <c r="D17" s="1298"/>
      <c r="E17" s="1298"/>
      <c r="F17" s="1299"/>
      <c r="G17" s="1300"/>
      <c r="H17" s="1310"/>
      <c r="I17" s="1311">
        <f>ROUND(D17*E17*F17*G17/10000,0)</f>
        <v>0</v>
      </c>
    </row>
    <row r="18" spans="1:9" ht="14.25">
      <c r="A18" s="3260"/>
      <c r="B18" s="3261" t="s">
        <v>1107</v>
      </c>
      <c r="C18" s="3261"/>
      <c r="D18" s="1298"/>
      <c r="E18" s="1298"/>
      <c r="F18" s="1299"/>
      <c r="G18" s="1300"/>
      <c r="H18" s="1310"/>
      <c r="I18" s="1311">
        <f>ROUND(D18*E18*F18*G18/10000,0)</f>
        <v>0</v>
      </c>
    </row>
    <row r="19" spans="1:9" ht="14.25">
      <c r="A19" s="3260"/>
      <c r="B19" s="3261" t="s">
        <v>1108</v>
      </c>
      <c r="C19" s="3261"/>
      <c r="D19" s="1298"/>
      <c r="E19" s="1298"/>
      <c r="F19" s="1299"/>
      <c r="G19" s="1300"/>
      <c r="H19" s="1310"/>
      <c r="I19" s="1311">
        <f>ROUND(D19*E19*F19*G19/10000,0)</f>
        <v>0</v>
      </c>
    </row>
    <row r="20" spans="1:9">
      <c r="A20" s="3260"/>
      <c r="B20" s="3262" t="s">
        <v>1092</v>
      </c>
      <c r="C20" s="3262"/>
      <c r="D20" s="1302">
        <f>SUM(D17:D19)</f>
        <v>0</v>
      </c>
      <c r="E20" s="1302"/>
      <c r="F20" s="1303"/>
      <c r="G20" s="1300"/>
      <c r="H20" s="1307"/>
      <c r="I20" s="1308">
        <f>SUM(I17:I19)</f>
        <v>0</v>
      </c>
    </row>
    <row r="21" spans="1:9">
      <c r="A21" s="3260" t="s">
        <v>1109</v>
      </c>
      <c r="B21" s="3263"/>
      <c r="C21" s="3263"/>
      <c r="D21" s="3263"/>
      <c r="E21" s="3263"/>
      <c r="F21" s="3263"/>
      <c r="G21" s="3263"/>
      <c r="H21" s="1758">
        <v>0.1</v>
      </c>
      <c r="I21" s="1305">
        <f>ROUND(I10*H21,0)</f>
        <v>0</v>
      </c>
    </row>
    <row r="22" spans="1:9" ht="14.25">
      <c r="A22" s="3264" t="s">
        <v>1110</v>
      </c>
      <c r="B22" s="3265"/>
      <c r="C22" s="3266"/>
      <c r="D22" s="1312" t="s">
        <v>1111</v>
      </c>
      <c r="E22" s="1312" t="s">
        <v>1112</v>
      </c>
      <c r="F22" s="1313" t="s">
        <v>1113</v>
      </c>
      <c r="G22" s="1313" t="s">
        <v>1114</v>
      </c>
      <c r="H22" s="1306" t="s">
        <v>1115</v>
      </c>
      <c r="I22" s="1297" t="s">
        <v>1116</v>
      </c>
    </row>
    <row r="23" spans="1:9" ht="14.25" thickBot="1">
      <c r="A23" s="3267"/>
      <c r="B23" s="3268"/>
      <c r="C23" s="3269"/>
      <c r="D23" s="1314"/>
      <c r="E23" s="1314"/>
      <c r="F23" s="1314"/>
      <c r="G23" s="1315"/>
      <c r="H23" s="1316"/>
      <c r="I23" s="1317">
        <f>ROUND(E23*D23*F23*(1-G23)/10000,0)</f>
        <v>0</v>
      </c>
    </row>
    <row r="26" spans="1:9">
      <c r="A26" s="1318" t="s">
        <v>1117</v>
      </c>
      <c r="B26" s="1318"/>
      <c r="C26" s="1318"/>
      <c r="D26" s="1318"/>
      <c r="E26" s="3257">
        <f>C27-C30-C31-C32</f>
        <v>0</v>
      </c>
      <c r="F26" s="3257"/>
      <c r="G26" s="3257"/>
      <c r="H26" s="1730" t="s">
        <v>1340</v>
      </c>
    </row>
    <row r="27" spans="1:9">
      <c r="A27" s="1319">
        <v>1</v>
      </c>
      <c r="B27" s="1320" t="s">
        <v>1118</v>
      </c>
      <c r="C27" s="1320">
        <f>C28+C29</f>
        <v>0</v>
      </c>
      <c r="D27" s="1320"/>
      <c r="E27" s="3258"/>
      <c r="F27" s="3258"/>
      <c r="G27" s="3258"/>
    </row>
    <row r="28" spans="1:9">
      <c r="A28" s="1321" t="s">
        <v>1119</v>
      </c>
      <c r="B28" s="1320" t="s">
        <v>1120</v>
      </c>
      <c r="C28" s="1320"/>
      <c r="D28" s="1320"/>
      <c r="E28" s="3258"/>
      <c r="F28" s="3258"/>
      <c r="G28" s="3258"/>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59"/>
      <c r="F32" s="3259"/>
      <c r="G32" s="3259"/>
    </row>
    <row r="33" spans="1:7" hidden="1">
      <c r="A33" s="3254" t="s">
        <v>1129</v>
      </c>
      <c r="B33" s="3255"/>
      <c r="C33" s="3255"/>
      <c r="D33" s="3256"/>
      <c r="E33" s="3257"/>
      <c r="F33" s="3257"/>
      <c r="G33" s="3257"/>
    </row>
    <row r="34" spans="1:7" hidden="1">
      <c r="A34" s="1323">
        <v>1</v>
      </c>
      <c r="B34" s="1320" t="s">
        <v>1130</v>
      </c>
      <c r="C34" s="1320"/>
      <c r="D34" s="1320"/>
      <c r="E34" s="3258"/>
      <c r="F34" s="3258"/>
      <c r="G34" s="3258"/>
    </row>
    <row r="35" spans="1:7" hidden="1">
      <c r="A35" s="1323">
        <v>2</v>
      </c>
      <c r="B35" s="1320" t="s">
        <v>1131</v>
      </c>
      <c r="C35" s="1320"/>
      <c r="D35" s="1320"/>
      <c r="E35" s="3258"/>
      <c r="F35" s="3258"/>
      <c r="G35" s="3258"/>
    </row>
    <row r="36" spans="1:7" hidden="1">
      <c r="A36" s="1323">
        <v>3</v>
      </c>
      <c r="B36" s="1320" t="s">
        <v>1132</v>
      </c>
      <c r="C36" s="1320"/>
      <c r="D36" s="1320"/>
      <c r="E36" s="3258"/>
      <c r="F36" s="3258"/>
      <c r="G36" s="3258"/>
    </row>
    <row r="37" spans="1:7" hidden="1">
      <c r="A37" s="1323">
        <v>4</v>
      </c>
      <c r="B37" s="1320" t="s">
        <v>1133</v>
      </c>
      <c r="C37" s="1320"/>
      <c r="D37" s="1320"/>
      <c r="E37" s="3258"/>
      <c r="F37" s="3258"/>
      <c r="G37" s="3258"/>
    </row>
    <row r="38" spans="1:7" hidden="1">
      <c r="A38" s="3254" t="s">
        <v>1134</v>
      </c>
      <c r="B38" s="3255"/>
      <c r="C38" s="3255"/>
      <c r="D38" s="3256"/>
      <c r="E38" s="3257"/>
      <c r="F38" s="3257"/>
      <c r="G38" s="32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2508</v>
      </c>
      <c r="B1" s="2566" t="s">
        <v>2509</v>
      </c>
      <c r="C1" s="1627" t="s">
        <v>2510</v>
      </c>
      <c r="D1" s="1614"/>
      <c r="E1" s="2567"/>
      <c r="F1" s="2568" t="s">
        <v>2511</v>
      </c>
      <c r="G1" s="1624" t="s">
        <v>2512</v>
      </c>
      <c r="H1" s="1623"/>
      <c r="I1" s="1623"/>
      <c r="J1" s="1623"/>
      <c r="K1" s="1625"/>
      <c r="L1" s="1626"/>
      <c r="M1" s="1627"/>
      <c r="N1" s="1627"/>
      <c r="O1" s="1627"/>
      <c r="P1" s="2569"/>
      <c r="Q1" s="1613"/>
      <c r="R1" s="1613"/>
      <c r="S1" s="1613"/>
      <c r="T1" s="1613"/>
      <c r="U1" s="1613"/>
      <c r="V1" s="1613"/>
      <c r="W1" s="1613"/>
      <c r="X1" s="1613"/>
      <c r="Y1" s="1613"/>
      <c r="Z1" s="1613"/>
      <c r="AA1" s="1613"/>
      <c r="AB1" s="1613"/>
      <c r="AC1" s="1621"/>
    </row>
    <row r="2" spans="1:29" s="392" customFormat="1" ht="28.5" customHeight="1" thickTop="1">
      <c r="A2" s="1610" t="s">
        <v>1394</v>
      </c>
      <c r="B2" s="1413" t="e">
        <f ca="1">IF(C2="——",ROUND(C49*D3/10000,0),ROUND(C49*D3/10000,0)-D2)</f>
        <v>#DIV/0!</v>
      </c>
      <c r="C2" s="2570"/>
      <c r="D2" s="1360" t="e">
        <f ca="1">SUMIF(INDIRECT("'"&amp;F2&amp;"'"&amp;"!A:A"),"承租人权益价值",INDIRECT("'"&amp;F2&amp;"'"&amp;"!c:c"))</f>
        <v>#REF!</v>
      </c>
      <c r="E2" s="2571" t="s">
        <v>2513</v>
      </c>
      <c r="F2" s="2572"/>
      <c r="G2" s="1119"/>
      <c r="H2" s="1119"/>
      <c r="I2" s="1119"/>
      <c r="J2" s="1119"/>
      <c r="K2" s="2573"/>
      <c r="L2" s="2574"/>
      <c r="M2" s="2575"/>
      <c r="N2" s="2575"/>
      <c r="O2" s="2575"/>
      <c r="P2" s="2576"/>
      <c r="Q2" s="2577"/>
      <c r="R2" s="2577"/>
      <c r="S2" s="2577"/>
      <c r="T2" s="2577"/>
      <c r="U2" s="2577"/>
      <c r="V2" s="2577"/>
      <c r="W2" s="2577"/>
      <c r="X2" s="2577"/>
      <c r="Y2" s="2577"/>
      <c r="Z2" s="2577"/>
      <c r="AA2" s="2577"/>
      <c r="AB2" s="2577"/>
      <c r="AC2" s="2578"/>
    </row>
    <row r="3" spans="1:29" s="392" customFormat="1" ht="28.5" customHeight="1" thickBot="1">
      <c r="A3" s="246" t="s">
        <v>1395</v>
      </c>
      <c r="B3" s="398" t="e">
        <f ca="1">IF(C2="——",C49,ROUND(B2*10000/D3,0))</f>
        <v>#DIV/0!</v>
      </c>
      <c r="C3" s="399" t="s">
        <v>2514</v>
      </c>
      <c r="D3" s="398">
        <f>IF(D1="",'数据-汇总表'!E3,SUMIF('数据-汇总表'!$C19:$C33,D1,'数据-汇总表'!$E19:$E33))</f>
        <v>8377.9700000000012</v>
      </c>
      <c r="E3" s="1119"/>
      <c r="F3" s="2579"/>
      <c r="G3" s="1119"/>
      <c r="H3" s="1119"/>
      <c r="I3" s="1119"/>
      <c r="J3" s="1119"/>
      <c r="K3" s="2573"/>
      <c r="L3" s="2574"/>
      <c r="M3" s="2575"/>
      <c r="N3" s="2575"/>
      <c r="O3" s="2575"/>
      <c r="P3" s="2576"/>
      <c r="Q3" s="2577"/>
      <c r="R3" s="2577"/>
      <c r="S3" s="2577"/>
      <c r="T3" s="2577"/>
      <c r="U3" s="2577"/>
      <c r="V3" s="2577"/>
      <c r="W3" s="2577"/>
      <c r="X3" s="2577"/>
      <c r="Y3" s="2577"/>
      <c r="Z3" s="2577"/>
      <c r="AA3" s="2577"/>
      <c r="AB3" s="2577"/>
      <c r="AC3" s="1277"/>
    </row>
    <row r="4" spans="1:29" ht="15">
      <c r="A4" s="400" t="s">
        <v>2515</v>
      </c>
      <c r="B4" s="401"/>
      <c r="C4" s="3198" t="s">
        <v>2516</v>
      </c>
      <c r="D4" s="3225"/>
      <c r="E4" s="3226" t="s">
        <v>2517</v>
      </c>
      <c r="F4" s="3227"/>
      <c r="G4" s="3198" t="s">
        <v>2518</v>
      </c>
      <c r="H4" s="3225"/>
      <c r="I4" s="3198" t="s">
        <v>2519</v>
      </c>
      <c r="J4" s="3225"/>
      <c r="K4" s="2580" t="s">
        <v>2520</v>
      </c>
      <c r="L4" s="1125"/>
      <c r="M4" s="1126"/>
      <c r="N4" s="1126"/>
      <c r="O4" s="1126"/>
      <c r="P4" s="3228" t="s">
        <v>2521</v>
      </c>
      <c r="Q4" s="3229"/>
      <c r="R4" s="3205" t="s">
        <v>2517</v>
      </c>
      <c r="S4" s="3206"/>
      <c r="T4" s="3205" t="s">
        <v>2518</v>
      </c>
      <c r="U4" s="3206"/>
      <c r="V4" s="3218" t="s">
        <v>2519</v>
      </c>
      <c r="W4" s="3218"/>
      <c r="X4" s="1806"/>
      <c r="Y4" s="3205" t="s">
        <v>2521</v>
      </c>
      <c r="Z4" s="3206"/>
      <c r="AA4" s="3222" t="s">
        <v>2517</v>
      </c>
      <c r="AB4" s="3222" t="s">
        <v>2518</v>
      </c>
      <c r="AC4" s="3222" t="s">
        <v>2519</v>
      </c>
    </row>
    <row r="5" spans="1:29" ht="15">
      <c r="A5" s="403"/>
      <c r="B5" s="404"/>
      <c r="C5" s="3209" t="s">
        <v>2522</v>
      </c>
      <c r="D5" s="3210"/>
      <c r="E5" s="3234" t="s">
        <v>2523</v>
      </c>
      <c r="F5" s="3235"/>
      <c r="G5" s="3209" t="s">
        <v>2524</v>
      </c>
      <c r="H5" s="3210"/>
      <c r="I5" s="3209" t="s">
        <v>2525</v>
      </c>
      <c r="J5" s="3210"/>
      <c r="K5" s="2581"/>
      <c r="L5" s="1125"/>
      <c r="M5" s="1126"/>
      <c r="N5" s="1126"/>
      <c r="O5" s="1126"/>
      <c r="P5" s="3230"/>
      <c r="Q5" s="3231"/>
      <c r="R5" s="3207"/>
      <c r="S5" s="3208"/>
      <c r="T5" s="3207"/>
      <c r="U5" s="3208"/>
      <c r="V5" s="3218"/>
      <c r="W5" s="3218"/>
      <c r="X5" s="1806"/>
      <c r="Y5" s="3207"/>
      <c r="Z5" s="3208"/>
      <c r="AA5" s="3223"/>
      <c r="AB5" s="3223"/>
      <c r="AC5" s="3223"/>
    </row>
    <row r="6" spans="1:29" ht="15.75" thickBot="1">
      <c r="A6" s="405"/>
      <c r="B6" s="406"/>
      <c r="C6" s="3244" t="s">
        <v>2526</v>
      </c>
      <c r="D6" s="3245"/>
      <c r="E6" s="3246" t="s">
        <v>2526</v>
      </c>
      <c r="F6" s="3247"/>
      <c r="G6" s="3244" t="s">
        <v>2526</v>
      </c>
      <c r="H6" s="3245"/>
      <c r="I6" s="3244" t="s">
        <v>2526</v>
      </c>
      <c r="J6" s="3245"/>
      <c r="K6" s="2581" t="s">
        <v>2527</v>
      </c>
      <c r="L6" s="1125"/>
      <c r="M6" s="1126"/>
      <c r="N6" s="1126"/>
      <c r="O6" s="1126"/>
      <c r="P6" s="3232"/>
      <c r="Q6" s="3233"/>
      <c r="R6" s="3207"/>
      <c r="S6" s="3208"/>
      <c r="T6" s="3216"/>
      <c r="U6" s="3217"/>
      <c r="V6" s="3218"/>
      <c r="W6" s="3218"/>
      <c r="X6" s="1806"/>
      <c r="Y6" s="3216"/>
      <c r="Z6" s="3217"/>
      <c r="AA6" s="3224"/>
      <c r="AB6" s="3224"/>
      <c r="AC6" s="3224"/>
    </row>
    <row r="7" spans="1:29" s="117" customFormat="1" ht="15.75" thickBot="1">
      <c r="A7" s="407" t="s">
        <v>2528</v>
      </c>
      <c r="B7" s="408"/>
      <c r="C7" s="409">
        <f>'数据-取费表'!B2</f>
        <v>43216</v>
      </c>
      <c r="D7" s="410">
        <v>100</v>
      </c>
      <c r="E7" s="411"/>
      <c r="F7" s="412">
        <f>SUMIF(58:58,YEAR(E7)&amp;"-"&amp;MONTH(E7),59:59)</f>
        <v>0</v>
      </c>
      <c r="G7" s="411"/>
      <c r="H7" s="410">
        <f>SUMIF(58:58,YEAR(G7)&amp;"-"&amp;MONTH(G7),59:59)</f>
        <v>0</v>
      </c>
      <c r="I7" s="411"/>
      <c r="J7" s="410">
        <f>SUMIF(58:58,YEAR(I7)&amp;"-"&amp;MONTH(I7),59:59)</f>
        <v>0</v>
      </c>
      <c r="K7" s="2582"/>
      <c r="L7" s="1127"/>
      <c r="M7" s="1128"/>
      <c r="N7" s="1128"/>
      <c r="O7" s="1128"/>
      <c r="P7" s="3203" t="s">
        <v>2529</v>
      </c>
      <c r="Q7" s="3213"/>
      <c r="R7" s="768" t="s">
        <v>23</v>
      </c>
      <c r="S7" s="769">
        <f t="shared" ref="S7:S15" si="0">F7</f>
        <v>0</v>
      </c>
      <c r="T7" s="768" t="s">
        <v>23</v>
      </c>
      <c r="U7" s="769">
        <f t="shared" ref="U7:U15" si="1">H7</f>
        <v>0</v>
      </c>
      <c r="V7" s="768" t="s">
        <v>23</v>
      </c>
      <c r="W7" s="769">
        <f t="shared" ref="W7:W15" si="2">J7</f>
        <v>0</v>
      </c>
      <c r="X7" s="770"/>
      <c r="Y7" s="3203" t="s">
        <v>2529</v>
      </c>
      <c r="Z7" s="3204"/>
      <c r="AA7" s="771" t="e">
        <f>D7/F7</f>
        <v>#DIV/0!</v>
      </c>
      <c r="AB7" s="771" t="e">
        <f>D7/H7</f>
        <v>#DIV/0!</v>
      </c>
      <c r="AC7" s="771" t="e">
        <f>D7/J7</f>
        <v>#DIV/0!</v>
      </c>
    </row>
    <row r="8" spans="1:29" s="117" customFormat="1" ht="15.75" thickBot="1">
      <c r="A8" s="407" t="s">
        <v>2530</v>
      </c>
      <c r="B8" s="408"/>
      <c r="C8" s="413" t="s">
        <v>2531</v>
      </c>
      <c r="D8" s="410">
        <v>100</v>
      </c>
      <c r="E8" s="2583"/>
      <c r="F8" s="412">
        <f>SUMIF(61:61,E8,62:62)-SUMIF(61:61,C8,62:62)+100</f>
        <v>0</v>
      </c>
      <c r="G8" s="413"/>
      <c r="H8" s="410">
        <f>SUMIF(61:61,G8,62:62)-SUMIF(61:61,C8,62:62)+100</f>
        <v>0</v>
      </c>
      <c r="I8" s="2583"/>
      <c r="J8" s="410">
        <f>SUMIF(61:61,I8,62:62)-SUMIF(61:61,C8,62:62)+100</f>
        <v>0</v>
      </c>
      <c r="K8" s="2582"/>
      <c r="L8" s="1127"/>
      <c r="M8" s="1128"/>
      <c r="N8" s="1128"/>
      <c r="O8" s="1128"/>
      <c r="P8" s="3203" t="s">
        <v>2532</v>
      </c>
      <c r="Q8" s="3204"/>
      <c r="R8" s="768" t="s">
        <v>23</v>
      </c>
      <c r="S8" s="769">
        <f t="shared" si="0"/>
        <v>0</v>
      </c>
      <c r="T8" s="768" t="s">
        <v>23</v>
      </c>
      <c r="U8" s="769">
        <f t="shared" si="1"/>
        <v>0</v>
      </c>
      <c r="V8" s="768" t="s">
        <v>23</v>
      </c>
      <c r="W8" s="769">
        <f t="shared" si="2"/>
        <v>0</v>
      </c>
      <c r="X8" s="770"/>
      <c r="Y8" s="3203" t="s">
        <v>2532</v>
      </c>
      <c r="Z8" s="3204"/>
      <c r="AA8" s="771" t="e">
        <f t="shared" ref="AA8:AA19" si="3">D8/F8</f>
        <v>#DIV/0!</v>
      </c>
      <c r="AB8" s="771" t="e">
        <f t="shared" ref="AB8:AB19" si="4">D8/H8</f>
        <v>#DIV/0!</v>
      </c>
      <c r="AC8" s="771" t="e">
        <f t="shared" ref="AC8:AC19" si="5">D8/J8</f>
        <v>#DIV/0!</v>
      </c>
    </row>
    <row r="9" spans="1:29" s="117" customFormat="1">
      <c r="A9" s="414" t="s">
        <v>2533</v>
      </c>
      <c r="B9" s="71" t="s">
        <v>2534</v>
      </c>
      <c r="C9" s="415"/>
      <c r="D9" s="134">
        <v>100</v>
      </c>
      <c r="E9" s="416"/>
      <c r="F9" s="417">
        <f>SUMIF(63:63,E9,64:64)-SUMIF(63:63,C9,64:64)+100</f>
        <v>100</v>
      </c>
      <c r="G9" s="418"/>
      <c r="H9" s="134">
        <f>SUMIF(63:63,G9,64:64)-SUMIF(63:63,C9,64:64)+100</f>
        <v>100</v>
      </c>
      <c r="I9" s="418"/>
      <c r="J9" s="134">
        <f>SUMIF(63:63,I9,64:64)-SUMIF(63:63,C9,64:64)+100</f>
        <v>100</v>
      </c>
      <c r="K9" s="2582"/>
      <c r="L9" s="1127"/>
      <c r="M9" s="1128"/>
      <c r="N9" s="1128"/>
      <c r="O9" s="1128"/>
      <c r="P9" s="3200" t="s">
        <v>2535</v>
      </c>
      <c r="Q9" s="1788" t="str">
        <f t="shared" ref="Q9:Q15" si="6">B9</f>
        <v>用途</v>
      </c>
      <c r="R9" s="768" t="s">
        <v>17</v>
      </c>
      <c r="S9" s="769">
        <f t="shared" si="0"/>
        <v>100</v>
      </c>
      <c r="T9" s="768" t="s">
        <v>17</v>
      </c>
      <c r="U9" s="769">
        <f t="shared" si="1"/>
        <v>100</v>
      </c>
      <c r="V9" s="768" t="s">
        <v>17</v>
      </c>
      <c r="W9" s="769">
        <f t="shared" si="2"/>
        <v>100</v>
      </c>
      <c r="X9" s="770"/>
      <c r="Y9" s="3056" t="s">
        <v>2536</v>
      </c>
      <c r="Z9" s="55" t="str">
        <f t="shared" ref="Z9:Z15" si="7">Q9</f>
        <v>用途</v>
      </c>
      <c r="AA9" s="771">
        <f t="shared" si="3"/>
        <v>1</v>
      </c>
      <c r="AB9" s="771">
        <f t="shared" si="4"/>
        <v>1</v>
      </c>
      <c r="AC9" s="771">
        <f t="shared" si="5"/>
        <v>1</v>
      </c>
    </row>
    <row r="10" spans="1:29" s="426" customFormat="1" ht="27">
      <c r="A10" s="420"/>
      <c r="B10" s="421" t="s">
        <v>2537</v>
      </c>
      <c r="C10" s="422"/>
      <c r="D10" s="135">
        <v>100</v>
      </c>
      <c r="E10" s="423"/>
      <c r="F10" s="424">
        <f>SUMIF(65:65,E10,66:66)-SUMIF(65:65,C10,66:66)+100</f>
        <v>100</v>
      </c>
      <c r="G10" s="422"/>
      <c r="H10" s="135">
        <f>SUMIF(65:65,G10,66:66)-SUMIF(65:65,C10,66:66)+100</f>
        <v>100</v>
      </c>
      <c r="I10" s="422"/>
      <c r="J10" s="135">
        <f>SUMIF(65:65,I10,66:66)-SUMIF(65:65,C10,66:66)+100</f>
        <v>100</v>
      </c>
      <c r="K10" s="425"/>
      <c r="L10" s="1130"/>
      <c r="M10" s="1131"/>
      <c r="N10" s="1131"/>
      <c r="O10" s="1131"/>
      <c r="P10" s="3200"/>
      <c r="Q10" s="1788" t="str">
        <f t="shared" si="6"/>
        <v>土地使用年限（年）</v>
      </c>
      <c r="R10" s="768" t="s">
        <v>17</v>
      </c>
      <c r="S10" s="769">
        <f t="shared" si="0"/>
        <v>100</v>
      </c>
      <c r="T10" s="768" t="s">
        <v>17</v>
      </c>
      <c r="U10" s="769">
        <f t="shared" si="1"/>
        <v>100</v>
      </c>
      <c r="V10" s="768" t="s">
        <v>17</v>
      </c>
      <c r="W10" s="769">
        <f t="shared" si="2"/>
        <v>100</v>
      </c>
      <c r="X10" s="770"/>
      <c r="Y10" s="3056"/>
      <c r="Z10" s="55" t="str">
        <f t="shared" si="7"/>
        <v>土地使用年限（年）</v>
      </c>
      <c r="AA10" s="771">
        <f t="shared" si="3"/>
        <v>1</v>
      </c>
      <c r="AB10" s="771">
        <f t="shared" si="4"/>
        <v>1</v>
      </c>
      <c r="AC10" s="771">
        <f t="shared" si="5"/>
        <v>1</v>
      </c>
    </row>
    <row r="11" spans="1:29" ht="15">
      <c r="A11" s="427"/>
      <c r="B11" s="421" t="s">
        <v>2538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3"/>
      <c r="M11" s="1126"/>
      <c r="N11" s="1126"/>
      <c r="O11" s="1126"/>
      <c r="P11" s="3200"/>
      <c r="Q11" s="1788" t="str">
        <f t="shared" si="6"/>
        <v>容积率</v>
      </c>
      <c r="R11" s="768" t="s">
        <v>21</v>
      </c>
      <c r="S11" s="769" t="e">
        <f t="shared" si="0"/>
        <v>#N/A</v>
      </c>
      <c r="T11" s="768" t="s">
        <v>21</v>
      </c>
      <c r="U11" s="769" t="e">
        <f t="shared" si="1"/>
        <v>#N/A</v>
      </c>
      <c r="V11" s="768" t="s">
        <v>21</v>
      </c>
      <c r="W11" s="769" t="e">
        <f t="shared" si="2"/>
        <v>#N/A</v>
      </c>
      <c r="X11" s="770"/>
      <c r="Y11" s="3056"/>
      <c r="Z11" s="55" t="str">
        <f t="shared" si="7"/>
        <v>容积率</v>
      </c>
      <c r="AA11" s="771" t="e">
        <f t="shared" si="3"/>
        <v>#N/A</v>
      </c>
      <c r="AB11" s="771" t="e">
        <f t="shared" si="4"/>
        <v>#N/A</v>
      </c>
      <c r="AC11" s="771" t="e">
        <f t="shared" si="5"/>
        <v>#N/A</v>
      </c>
    </row>
    <row r="12" spans="1:29" s="117" customFormat="1" ht="15">
      <c r="A12" s="430"/>
      <c r="B12" s="2584">
        <v>111</v>
      </c>
      <c r="C12" s="431"/>
      <c r="D12" s="432">
        <v>100</v>
      </c>
      <c r="E12" s="431"/>
      <c r="F12" s="424">
        <f>SUMIF(70:70,E12,71:71)-SUMIF(70:70,C12,71:71)+100</f>
        <v>100</v>
      </c>
      <c r="G12" s="431"/>
      <c r="H12" s="135">
        <f>SUMIF(70:70,G12,71:71)-SUMIF(70:70,C12,71:71)+100</f>
        <v>100</v>
      </c>
      <c r="I12" s="431"/>
      <c r="J12" s="135">
        <f>SUMIF(70:70,I12,71:71)-SUMIF(70:70,C12,71:71)+100</f>
        <v>100</v>
      </c>
      <c r="K12" s="2585"/>
      <c r="L12" s="1127"/>
      <c r="M12" s="1128"/>
      <c r="N12" s="1128"/>
      <c r="O12" s="1128"/>
      <c r="P12" s="3200"/>
      <c r="Q12" s="1788">
        <f t="shared" si="6"/>
        <v>111</v>
      </c>
      <c r="R12" s="768" t="s">
        <v>21</v>
      </c>
      <c r="S12" s="769">
        <f t="shared" si="0"/>
        <v>100</v>
      </c>
      <c r="T12" s="768" t="s">
        <v>21</v>
      </c>
      <c r="U12" s="769">
        <f t="shared" si="1"/>
        <v>100</v>
      </c>
      <c r="V12" s="768" t="s">
        <v>21</v>
      </c>
      <c r="W12" s="769">
        <f t="shared" si="2"/>
        <v>100</v>
      </c>
      <c r="X12" s="770"/>
      <c r="Y12" s="3056"/>
      <c r="Z12" s="55">
        <f t="shared" si="7"/>
        <v>111</v>
      </c>
      <c r="AA12" s="771">
        <f>D12/F12</f>
        <v>1</v>
      </c>
      <c r="AB12" s="771">
        <f>D12/H12</f>
        <v>1</v>
      </c>
      <c r="AC12" s="771">
        <f>D12/J12</f>
        <v>1</v>
      </c>
    </row>
    <row r="13" spans="1:29" ht="15">
      <c r="A13" s="427"/>
      <c r="B13" s="2584">
        <v>111</v>
      </c>
      <c r="C13" s="433"/>
      <c r="D13" s="434">
        <v>100</v>
      </c>
      <c r="E13" s="433"/>
      <c r="F13" s="424">
        <f>SUMIF(72:72,E13,73:73)-SUMIF(72:72,C13,73:73)+100</f>
        <v>100</v>
      </c>
      <c r="G13" s="433"/>
      <c r="H13" s="434">
        <f>SUMIF(72:72,G13,73:73)-SUMIF(72:72,C13,73:73)+100</f>
        <v>100</v>
      </c>
      <c r="I13" s="433"/>
      <c r="J13" s="434">
        <f>SUMIF(72:72,I13,73:73)-SUMIF(72:72,C13,73:73)+100</f>
        <v>100</v>
      </c>
      <c r="K13" s="2585"/>
      <c r="L13" s="1135"/>
      <c r="M13" s="1126"/>
      <c r="N13" s="1126"/>
      <c r="O13" s="1126"/>
      <c r="P13" s="3200"/>
      <c r="Q13" s="1788">
        <f t="shared" si="6"/>
        <v>111</v>
      </c>
      <c r="R13" s="768" t="s">
        <v>21</v>
      </c>
      <c r="S13" s="769">
        <f t="shared" si="0"/>
        <v>100</v>
      </c>
      <c r="T13" s="768" t="s">
        <v>21</v>
      </c>
      <c r="U13" s="769">
        <f t="shared" si="1"/>
        <v>100</v>
      </c>
      <c r="V13" s="768" t="s">
        <v>21</v>
      </c>
      <c r="W13" s="769">
        <f t="shared" si="2"/>
        <v>100</v>
      </c>
      <c r="X13" s="770"/>
      <c r="Y13" s="3056"/>
      <c r="Z13" s="55">
        <f t="shared" si="7"/>
        <v>111</v>
      </c>
      <c r="AA13" s="771">
        <f t="shared" si="3"/>
        <v>1</v>
      </c>
      <c r="AB13" s="771">
        <f t="shared" si="4"/>
        <v>1</v>
      </c>
      <c r="AC13" s="771">
        <f t="shared" si="5"/>
        <v>1</v>
      </c>
    </row>
    <row r="14" spans="1:29" ht="15.75" thickBot="1">
      <c r="A14" s="435"/>
      <c r="B14" s="2586">
        <v>111</v>
      </c>
      <c r="C14" s="436"/>
      <c r="D14" s="437">
        <v>100</v>
      </c>
      <c r="E14" s="436"/>
      <c r="F14" s="438">
        <f>SUMIF(74:74,E14,75:75)-SUMIF(74:74,C14,75:75)+100</f>
        <v>100</v>
      </c>
      <c r="G14" s="436"/>
      <c r="H14" s="437">
        <f>SUMIF(74:74,G14,75:75)-SUMIF(74:74,C14,75:75)+100</f>
        <v>100</v>
      </c>
      <c r="I14" s="436"/>
      <c r="J14" s="437">
        <f>SUMIF(74:74,I14,75:75)-SUMIF(74:74,C14,75:75)+100</f>
        <v>100</v>
      </c>
      <c r="K14" s="2585"/>
      <c r="L14" s="1135"/>
      <c r="M14" s="1126"/>
      <c r="N14" s="1126"/>
      <c r="O14" s="1126"/>
      <c r="P14" s="3200"/>
      <c r="Q14" s="1788">
        <f t="shared" si="6"/>
        <v>111</v>
      </c>
      <c r="R14" s="768" t="s">
        <v>21</v>
      </c>
      <c r="S14" s="769">
        <f t="shared" si="0"/>
        <v>100</v>
      </c>
      <c r="T14" s="768" t="s">
        <v>21</v>
      </c>
      <c r="U14" s="769">
        <f t="shared" si="1"/>
        <v>100</v>
      </c>
      <c r="V14" s="768" t="s">
        <v>21</v>
      </c>
      <c r="W14" s="769">
        <f t="shared" si="2"/>
        <v>100</v>
      </c>
      <c r="X14" s="770"/>
      <c r="Y14" s="3056"/>
      <c r="Z14" s="55">
        <f t="shared" si="7"/>
        <v>111</v>
      </c>
      <c r="AA14" s="771">
        <f t="shared" si="3"/>
        <v>1</v>
      </c>
      <c r="AB14" s="771">
        <f t="shared" si="4"/>
        <v>1</v>
      </c>
      <c r="AC14" s="771">
        <f t="shared" si="5"/>
        <v>1</v>
      </c>
    </row>
    <row r="15" spans="1:29" ht="15">
      <c r="A15" s="439" t="s">
        <v>2539</v>
      </c>
      <c r="B15" s="69" t="s">
        <v>2081</v>
      </c>
      <c r="C15" s="2587">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5"/>
      <c r="M15" s="1126"/>
      <c r="N15" s="1126"/>
      <c r="O15" s="1126"/>
      <c r="P15" s="3281" t="s">
        <v>2540</v>
      </c>
      <c r="Q15" s="1803" t="str">
        <f t="shared" si="6"/>
        <v>居住社区成熟度</v>
      </c>
      <c r="R15" s="772" t="s">
        <v>21</v>
      </c>
      <c r="S15" s="773">
        <f t="shared" si="0"/>
        <v>100</v>
      </c>
      <c r="T15" s="772" t="s">
        <v>21</v>
      </c>
      <c r="U15" s="773">
        <f t="shared" si="1"/>
        <v>100</v>
      </c>
      <c r="V15" s="772" t="s">
        <v>21</v>
      </c>
      <c r="W15" s="773">
        <f t="shared" si="2"/>
        <v>100</v>
      </c>
      <c r="X15" s="1806"/>
      <c r="Y15" s="3219" t="s">
        <v>2540</v>
      </c>
      <c r="Z15" s="1807" t="str">
        <f t="shared" si="7"/>
        <v>居住社区成熟度</v>
      </c>
      <c r="AA15" s="1804">
        <f t="shared" si="3"/>
        <v>1</v>
      </c>
      <c r="AB15" s="1804">
        <f t="shared" si="4"/>
        <v>1</v>
      </c>
      <c r="AC15" s="1804">
        <f t="shared" si="5"/>
        <v>1</v>
      </c>
    </row>
    <row r="16" spans="1:29" ht="15">
      <c r="A16" s="427"/>
      <c r="B16" s="445"/>
      <c r="C16" s="446"/>
      <c r="D16" s="447"/>
      <c r="E16" s="2588"/>
      <c r="F16" s="447"/>
      <c r="G16" s="2589"/>
      <c r="H16" s="449"/>
      <c r="I16" s="2589"/>
      <c r="J16" s="447"/>
      <c r="K16" s="2590"/>
      <c r="L16" s="1135"/>
      <c r="M16" s="1126"/>
      <c r="N16" s="1126"/>
      <c r="O16" s="1126"/>
      <c r="P16" s="3282"/>
      <c r="Q16" s="1803"/>
      <c r="R16" s="772"/>
      <c r="S16" s="773"/>
      <c r="T16" s="772"/>
      <c r="U16" s="773"/>
      <c r="V16" s="772"/>
      <c r="W16" s="773"/>
      <c r="X16" s="1806"/>
      <c r="Y16" s="3220"/>
      <c r="Z16" s="1807"/>
      <c r="AA16" s="1804">
        <v>1</v>
      </c>
      <c r="AB16" s="1804">
        <v>1</v>
      </c>
      <c r="AC16" s="1804">
        <v>1</v>
      </c>
    </row>
    <row r="17" spans="1:29" ht="15">
      <c r="A17" s="427"/>
      <c r="B17" s="450" t="s">
        <v>2087</v>
      </c>
      <c r="C17" s="2591">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35"/>
      <c r="M17" s="1126"/>
      <c r="N17" s="1126"/>
      <c r="O17" s="1126"/>
      <c r="P17" s="3282"/>
      <c r="Q17" s="1803" t="str">
        <f>B17</f>
        <v>交通便捷度</v>
      </c>
      <c r="R17" s="772" t="s">
        <v>21</v>
      </c>
      <c r="S17" s="773">
        <f>F17</f>
        <v>100</v>
      </c>
      <c r="T17" s="772" t="s">
        <v>21</v>
      </c>
      <c r="U17" s="773">
        <f>H17</f>
        <v>100</v>
      </c>
      <c r="V17" s="772" t="s">
        <v>21</v>
      </c>
      <c r="W17" s="773">
        <f>J17</f>
        <v>100</v>
      </c>
      <c r="X17" s="1806"/>
      <c r="Y17" s="3220"/>
      <c r="Z17" s="1807" t="str">
        <f>Q17</f>
        <v>交通便捷度</v>
      </c>
      <c r="AA17" s="1804">
        <f t="shared" si="3"/>
        <v>1</v>
      </c>
      <c r="AB17" s="1804">
        <f t="shared" si="4"/>
        <v>1</v>
      </c>
      <c r="AC17" s="1804">
        <f t="shared" si="5"/>
        <v>1</v>
      </c>
    </row>
    <row r="18" spans="1:29" ht="15">
      <c r="A18" s="427"/>
      <c r="B18" s="455"/>
      <c r="C18" s="2592"/>
      <c r="D18" s="449"/>
      <c r="E18" s="2593"/>
      <c r="F18" s="449"/>
      <c r="G18" s="2594"/>
      <c r="H18" s="447"/>
      <c r="I18" s="2594"/>
      <c r="J18" s="447"/>
      <c r="K18" s="2590"/>
      <c r="L18" s="1135"/>
      <c r="M18" s="1126"/>
      <c r="N18" s="1126"/>
      <c r="O18" s="1126"/>
      <c r="P18" s="3282"/>
      <c r="Q18" s="1803"/>
      <c r="R18" s="772"/>
      <c r="S18" s="773"/>
      <c r="T18" s="772"/>
      <c r="U18" s="773"/>
      <c r="V18" s="772"/>
      <c r="W18" s="773"/>
      <c r="X18" s="1806"/>
      <c r="Y18" s="3220"/>
      <c r="Z18" s="1807"/>
      <c r="AA18" s="1804">
        <v>1</v>
      </c>
      <c r="AB18" s="1804">
        <v>1</v>
      </c>
      <c r="AC18" s="1804">
        <v>1</v>
      </c>
    </row>
    <row r="19" spans="1:29" ht="15">
      <c r="A19" s="427"/>
      <c r="B19" s="450" t="s">
        <v>2086</v>
      </c>
      <c r="C19" s="2591">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5"/>
      <c r="M19" s="1126"/>
      <c r="N19" s="1126"/>
      <c r="O19" s="1126"/>
      <c r="P19" s="3282"/>
      <c r="Q19" s="1803" t="str">
        <f>B19</f>
        <v>公共配套设施</v>
      </c>
      <c r="R19" s="772" t="s">
        <v>21</v>
      </c>
      <c r="S19" s="773">
        <f>F19</f>
        <v>100</v>
      </c>
      <c r="T19" s="772" t="s">
        <v>21</v>
      </c>
      <c r="U19" s="773">
        <f>H19</f>
        <v>100</v>
      </c>
      <c r="V19" s="772" t="s">
        <v>21</v>
      </c>
      <c r="W19" s="773">
        <f>J19</f>
        <v>100</v>
      </c>
      <c r="X19" s="1806"/>
      <c r="Y19" s="3220"/>
      <c r="Z19" s="1807" t="str">
        <f>Q19</f>
        <v>公共配套设施</v>
      </c>
      <c r="AA19" s="1804">
        <f t="shared" si="3"/>
        <v>1</v>
      </c>
      <c r="AB19" s="1804">
        <f t="shared" si="4"/>
        <v>1</v>
      </c>
      <c r="AC19" s="1804">
        <f t="shared" si="5"/>
        <v>1</v>
      </c>
    </row>
    <row r="20" spans="1:29" ht="15">
      <c r="A20" s="427"/>
      <c r="B20" s="455"/>
      <c r="C20" s="446"/>
      <c r="D20" s="447"/>
      <c r="E20" s="2588"/>
      <c r="F20" s="447"/>
      <c r="G20" s="2589"/>
      <c r="H20" s="447"/>
      <c r="I20" s="2589"/>
      <c r="J20" s="447"/>
      <c r="K20" s="2590"/>
      <c r="L20" s="1135"/>
      <c r="M20" s="1126"/>
      <c r="N20" s="1126"/>
      <c r="O20" s="1126"/>
      <c r="P20" s="3282"/>
      <c r="Q20" s="1803"/>
      <c r="R20" s="772"/>
      <c r="S20" s="773"/>
      <c r="T20" s="772"/>
      <c r="U20" s="773"/>
      <c r="V20" s="772"/>
      <c r="W20" s="773"/>
      <c r="X20" s="1806"/>
      <c r="Y20" s="3220"/>
      <c r="Z20" s="1807"/>
      <c r="AA20" s="1804">
        <v>1</v>
      </c>
      <c r="AB20" s="1804">
        <v>1</v>
      </c>
      <c r="AC20" s="1804">
        <v>1</v>
      </c>
    </row>
    <row r="21" spans="1:29" ht="15">
      <c r="A21" s="427"/>
      <c r="B21" s="1379" t="s">
        <v>2088</v>
      </c>
      <c r="C21" s="2591">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5"/>
      <c r="M21" s="1126"/>
      <c r="N21" s="1126"/>
      <c r="O21" s="1126"/>
      <c r="P21" s="3282"/>
      <c r="Q21" s="1803" t="str">
        <f>B21</f>
        <v>基础设施水平</v>
      </c>
      <c r="R21" s="772" t="s">
        <v>17</v>
      </c>
      <c r="S21" s="773">
        <f>F21</f>
        <v>100</v>
      </c>
      <c r="T21" s="772" t="s">
        <v>17</v>
      </c>
      <c r="U21" s="773">
        <f>H21</f>
        <v>100</v>
      </c>
      <c r="V21" s="772" t="s">
        <v>17</v>
      </c>
      <c r="W21" s="773">
        <f>J21</f>
        <v>100</v>
      </c>
      <c r="X21" s="1806"/>
      <c r="Y21" s="3220"/>
      <c r="Z21" s="1807" t="str">
        <f>Q21</f>
        <v>基础设施水平</v>
      </c>
      <c r="AA21" s="1804">
        <f t="shared" ref="AA21" si="8">D21/F21</f>
        <v>1</v>
      </c>
      <c r="AB21" s="1804">
        <f t="shared" ref="AB21" si="9">D21/H21</f>
        <v>1</v>
      </c>
      <c r="AC21" s="1804">
        <f t="shared" ref="AC21" si="10">D21/J21</f>
        <v>1</v>
      </c>
    </row>
    <row r="22" spans="1:29" ht="15">
      <c r="A22" s="427"/>
      <c r="B22" s="1379"/>
      <c r="C22" s="2592"/>
      <c r="D22" s="447"/>
      <c r="E22" s="446"/>
      <c r="F22" s="447"/>
      <c r="G22" s="2595"/>
      <c r="H22" s="447"/>
      <c r="I22" s="446"/>
      <c r="J22" s="447"/>
      <c r="K22" s="2596"/>
      <c r="L22" s="1135"/>
      <c r="M22" s="1126"/>
      <c r="N22" s="1126"/>
      <c r="O22" s="1126"/>
      <c r="P22" s="3282"/>
      <c r="Q22" s="1803"/>
      <c r="R22" s="772"/>
      <c r="S22" s="773"/>
      <c r="T22" s="772"/>
      <c r="U22" s="773"/>
      <c r="V22" s="772"/>
      <c r="W22" s="773"/>
      <c r="X22" s="1806"/>
      <c r="Y22" s="3220"/>
      <c r="Z22" s="1807"/>
      <c r="AA22" s="1804">
        <v>1</v>
      </c>
      <c r="AB22" s="1804">
        <v>1</v>
      </c>
      <c r="AC22" s="1804">
        <v>1</v>
      </c>
    </row>
    <row r="23" spans="1:29" ht="15">
      <c r="A23" s="427"/>
      <c r="B23" s="450" t="s">
        <v>2090</v>
      </c>
      <c r="C23" s="2591">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5"/>
      <c r="M23" s="1126"/>
      <c r="N23" s="1126"/>
      <c r="O23" s="1126"/>
      <c r="P23" s="3282"/>
      <c r="Q23" s="1803" t="str">
        <f>B23</f>
        <v>自然及人文环境</v>
      </c>
      <c r="R23" s="772" t="s">
        <v>21</v>
      </c>
      <c r="S23" s="773">
        <f>F23</f>
        <v>100</v>
      </c>
      <c r="T23" s="772" t="s">
        <v>21</v>
      </c>
      <c r="U23" s="773">
        <f>H23</f>
        <v>100</v>
      </c>
      <c r="V23" s="772" t="s">
        <v>21</v>
      </c>
      <c r="W23" s="773">
        <f>J23</f>
        <v>100</v>
      </c>
      <c r="X23" s="1806"/>
      <c r="Y23" s="3220"/>
      <c r="Z23" s="1807" t="str">
        <f>Q23</f>
        <v>自然及人文环境</v>
      </c>
      <c r="AA23" s="1804">
        <f>D23/F23</f>
        <v>1</v>
      </c>
      <c r="AB23" s="1804">
        <f>D23/H23</f>
        <v>1</v>
      </c>
      <c r="AC23" s="1804">
        <f>D23/J23</f>
        <v>1</v>
      </c>
    </row>
    <row r="24" spans="1:29" ht="15">
      <c r="A24" s="427"/>
      <c r="B24" s="455"/>
      <c r="C24" s="446"/>
      <c r="D24" s="447"/>
      <c r="E24" s="2588"/>
      <c r="F24" s="447"/>
      <c r="G24" s="2589"/>
      <c r="H24" s="447"/>
      <c r="I24" s="2589"/>
      <c r="J24" s="447"/>
      <c r="K24" s="2590"/>
      <c r="L24" s="1135"/>
      <c r="M24" s="1126"/>
      <c r="N24" s="1126"/>
      <c r="O24" s="1126"/>
      <c r="P24" s="3282"/>
      <c r="Q24" s="1803"/>
      <c r="R24" s="772"/>
      <c r="S24" s="773"/>
      <c r="T24" s="772"/>
      <c r="U24" s="773"/>
      <c r="V24" s="772"/>
      <c r="W24" s="773"/>
      <c r="X24" s="1806"/>
      <c r="Y24" s="3220"/>
      <c r="Z24" s="1807"/>
      <c r="AA24" s="1804">
        <v>1</v>
      </c>
      <c r="AB24" s="1804">
        <v>1</v>
      </c>
      <c r="AC24" s="1804">
        <v>1</v>
      </c>
    </row>
    <row r="25" spans="1:29" ht="15">
      <c r="A25" s="427"/>
      <c r="B25" s="421" t="s">
        <v>2541</v>
      </c>
      <c r="C25" s="459"/>
      <c r="D25" s="434">
        <v>100</v>
      </c>
      <c r="E25" s="2597"/>
      <c r="F25" s="434">
        <f>SUMIF(86:86,E25,87:87)-SUMIF(86:86,C25,87:87)+100</f>
        <v>100</v>
      </c>
      <c r="G25" s="2598"/>
      <c r="H25" s="434">
        <f>SUMIF(86:86,G25,87:87)-SUMIF(86:86,C25,87:87)+100</f>
        <v>100</v>
      </c>
      <c r="I25" s="2598"/>
      <c r="J25" s="434">
        <f>SUMIF(86:86,I25,87:87)-SUMIF(86:86,C25,87:87)+100</f>
        <v>100</v>
      </c>
      <c r="K25" s="425"/>
      <c r="L25" s="1135"/>
      <c r="M25" s="1126"/>
      <c r="N25" s="1126"/>
      <c r="O25" s="1126"/>
      <c r="P25" s="3282"/>
      <c r="Q25" s="1803" t="str">
        <f t="shared" ref="Q25:Q46" si="11">B25</f>
        <v>楼层-1</v>
      </c>
      <c r="R25" s="772" t="s">
        <v>21</v>
      </c>
      <c r="S25" s="773">
        <f t="shared" ref="S25:S46" si="12">F25</f>
        <v>100</v>
      </c>
      <c r="T25" s="772" t="s">
        <v>21</v>
      </c>
      <c r="U25" s="773">
        <f t="shared" ref="U25:U46" si="13">H25</f>
        <v>100</v>
      </c>
      <c r="V25" s="772" t="s">
        <v>21</v>
      </c>
      <c r="W25" s="773">
        <f t="shared" ref="W25:W46" si="14">J25</f>
        <v>100</v>
      </c>
      <c r="X25" s="1806"/>
      <c r="Y25" s="3220"/>
      <c r="Z25" s="1807" t="str">
        <f>Q25</f>
        <v>楼层-1</v>
      </c>
      <c r="AA25" s="1804">
        <f t="shared" ref="AA25:AA46" si="15">D25/F25</f>
        <v>1</v>
      </c>
      <c r="AB25" s="1804">
        <f t="shared" ref="AB25:AB46" si="16">D25/H25</f>
        <v>1</v>
      </c>
      <c r="AC25" s="1804">
        <f t="shared" ref="AC25:AC46" si="17">D25/J25</f>
        <v>1</v>
      </c>
    </row>
    <row r="26" spans="1:29" ht="15">
      <c r="A26" s="427"/>
      <c r="B26" s="421" t="s">
        <v>2542</v>
      </c>
      <c r="C26" s="459"/>
      <c r="D26" s="434">
        <v>100</v>
      </c>
      <c r="E26" s="2597"/>
      <c r="F26" s="434">
        <f>SUMIF(88:88,E26,89:89)-SUMIF(88:88,C26,89:89)+100</f>
        <v>100</v>
      </c>
      <c r="G26" s="2598"/>
      <c r="H26" s="434">
        <f>SUMIF(88:88,G26,89:89)-SUMIF(88:88,C26,89:89)+100</f>
        <v>100</v>
      </c>
      <c r="I26" s="2598"/>
      <c r="J26" s="434">
        <f>SUMIF(88:88,I26,89:89)-SUMIF(88:88,C26,89:89)+100</f>
        <v>100</v>
      </c>
      <c r="K26" s="425"/>
      <c r="L26" s="1135"/>
      <c r="M26" s="1126"/>
      <c r="N26" s="1126"/>
      <c r="O26" s="1126"/>
      <c r="P26" s="3282"/>
      <c r="Q26" s="1803" t="str">
        <f t="shared" si="11"/>
        <v>朝向</v>
      </c>
      <c r="R26" s="772" t="s">
        <v>21</v>
      </c>
      <c r="S26" s="773">
        <f t="shared" si="12"/>
        <v>100</v>
      </c>
      <c r="T26" s="772" t="s">
        <v>21</v>
      </c>
      <c r="U26" s="773">
        <f t="shared" si="13"/>
        <v>100</v>
      </c>
      <c r="V26" s="772" t="s">
        <v>21</v>
      </c>
      <c r="W26" s="773">
        <f t="shared" si="14"/>
        <v>100</v>
      </c>
      <c r="X26" s="1806"/>
      <c r="Y26" s="3220"/>
      <c r="Z26" s="1807" t="str">
        <f>Q26</f>
        <v>朝向</v>
      </c>
      <c r="AA26" s="1804">
        <f t="shared" si="15"/>
        <v>1</v>
      </c>
      <c r="AB26" s="1804">
        <f t="shared" si="16"/>
        <v>1</v>
      </c>
      <c r="AC26" s="1804">
        <f t="shared" si="17"/>
        <v>1</v>
      </c>
    </row>
    <row r="27" spans="1:29" s="117" customFormat="1" ht="15">
      <c r="A27" s="430"/>
      <c r="B27" s="1381">
        <v>111</v>
      </c>
      <c r="C27" s="431"/>
      <c r="D27" s="461">
        <v>100</v>
      </c>
      <c r="E27" s="464"/>
      <c r="F27" s="461">
        <f>SUMIF(90:90,E27,91:91)-SUMIF(90:90,C27,91:91)+100</f>
        <v>100</v>
      </c>
      <c r="G27" s="462"/>
      <c r="H27" s="461">
        <f>SUMIF(90:90,G27,91:91)-SUMIF(90:90,C27,91:91)+100</f>
        <v>100</v>
      </c>
      <c r="I27" s="462"/>
      <c r="J27" s="461">
        <f>SUMIF(90:90,I27,91:91)-SUMIF(90:90,C27,91:91)+100</f>
        <v>100</v>
      </c>
      <c r="K27" s="2585"/>
      <c r="L27" s="1127"/>
      <c r="M27" s="1128"/>
      <c r="N27" s="1128"/>
      <c r="O27" s="1128"/>
      <c r="P27" s="3282"/>
      <c r="Q27" s="1788">
        <f t="shared" si="11"/>
        <v>111</v>
      </c>
      <c r="R27" s="768" t="s">
        <v>21</v>
      </c>
      <c r="S27" s="769">
        <f t="shared" si="12"/>
        <v>100</v>
      </c>
      <c r="T27" s="768" t="s">
        <v>21</v>
      </c>
      <c r="U27" s="769">
        <f t="shared" si="13"/>
        <v>100</v>
      </c>
      <c r="V27" s="768" t="s">
        <v>21</v>
      </c>
      <c r="W27" s="769">
        <f t="shared" si="14"/>
        <v>100</v>
      </c>
      <c r="X27" s="770"/>
      <c r="Y27" s="3220"/>
      <c r="Z27" s="55">
        <f>Q27</f>
        <v>111</v>
      </c>
      <c r="AA27" s="1804">
        <f t="shared" si="15"/>
        <v>1</v>
      </c>
      <c r="AB27" s="1804">
        <f t="shared" si="16"/>
        <v>1</v>
      </c>
      <c r="AC27" s="1804">
        <f t="shared" si="17"/>
        <v>1</v>
      </c>
    </row>
    <row r="28" spans="1:29" ht="15">
      <c r="A28" s="427"/>
      <c r="B28" s="1381">
        <v>111</v>
      </c>
      <c r="C28" s="433"/>
      <c r="D28" s="434">
        <v>100</v>
      </c>
      <c r="E28" s="433"/>
      <c r="F28" s="434">
        <f>SUMIF(92:92,E28,93:93)-SUMIF(92:92,C28,93:93)+100</f>
        <v>100</v>
      </c>
      <c r="G28" s="2599"/>
      <c r="H28" s="434">
        <f>SUMIF(92:92,G28,93:93)-SUMIF(92:92,C28,93:93)+100</f>
        <v>100</v>
      </c>
      <c r="I28" s="433"/>
      <c r="J28" s="434">
        <f>SUMIF(92:92,I28,93:93)-SUMIF(92:92,C28,93:93)+100</f>
        <v>100</v>
      </c>
      <c r="K28" s="2585"/>
      <c r="L28" s="1135"/>
      <c r="M28" s="1126"/>
      <c r="N28" s="1126"/>
      <c r="O28" s="1126"/>
      <c r="P28" s="3282"/>
      <c r="Q28" s="1803">
        <f t="shared" si="11"/>
        <v>111</v>
      </c>
      <c r="R28" s="772" t="s">
        <v>21</v>
      </c>
      <c r="S28" s="773">
        <f t="shared" si="12"/>
        <v>100</v>
      </c>
      <c r="T28" s="772" t="s">
        <v>21</v>
      </c>
      <c r="U28" s="773">
        <f t="shared" si="13"/>
        <v>100</v>
      </c>
      <c r="V28" s="772" t="s">
        <v>21</v>
      </c>
      <c r="W28" s="773">
        <f t="shared" si="14"/>
        <v>100</v>
      </c>
      <c r="X28" s="1806"/>
      <c r="Y28" s="3220"/>
      <c r="Z28" s="1807">
        <f t="shared" ref="Z28:Z46" si="18">Q28</f>
        <v>111</v>
      </c>
      <c r="AA28" s="1804">
        <f t="shared" si="15"/>
        <v>1</v>
      </c>
      <c r="AB28" s="1804">
        <f t="shared" si="16"/>
        <v>1</v>
      </c>
      <c r="AC28" s="1804">
        <f t="shared" si="17"/>
        <v>1</v>
      </c>
    </row>
    <row r="29" spans="1:29" ht="15">
      <c r="A29" s="427"/>
      <c r="B29" s="1381">
        <v>111</v>
      </c>
      <c r="C29" s="433"/>
      <c r="D29" s="434">
        <v>100</v>
      </c>
      <c r="E29" s="433"/>
      <c r="F29" s="434">
        <f>SUMIF(94:94,E29,95:95)-SUMIF(94:94,C29,95:95)+100</f>
        <v>100</v>
      </c>
      <c r="G29" s="2599"/>
      <c r="H29" s="434">
        <f>SUMIF(94:94,G29,95:95)-SUMIF(94:94,C29,95:95)+100</f>
        <v>100</v>
      </c>
      <c r="I29" s="433"/>
      <c r="J29" s="434">
        <f>SUMIF(94:94,I29,95:95)-SUMIF(94:94,C29,95:95)+100</f>
        <v>100</v>
      </c>
      <c r="K29" s="2585"/>
      <c r="L29" s="1135"/>
      <c r="M29" s="1126"/>
      <c r="N29" s="1126"/>
      <c r="O29" s="1126"/>
      <c r="P29" s="3282"/>
      <c r="Q29" s="1803">
        <f t="shared" si="11"/>
        <v>111</v>
      </c>
      <c r="R29" s="772" t="s">
        <v>21</v>
      </c>
      <c r="S29" s="773">
        <f t="shared" si="12"/>
        <v>100</v>
      </c>
      <c r="T29" s="772" t="s">
        <v>21</v>
      </c>
      <c r="U29" s="773">
        <f t="shared" si="13"/>
        <v>100</v>
      </c>
      <c r="V29" s="772" t="s">
        <v>21</v>
      </c>
      <c r="W29" s="773">
        <f t="shared" si="14"/>
        <v>100</v>
      </c>
      <c r="X29" s="1806"/>
      <c r="Y29" s="3220"/>
      <c r="Z29" s="1807">
        <f t="shared" si="18"/>
        <v>111</v>
      </c>
      <c r="AA29" s="1804">
        <f t="shared" si="15"/>
        <v>1</v>
      </c>
      <c r="AB29" s="1804">
        <f t="shared" si="16"/>
        <v>1</v>
      </c>
      <c r="AC29" s="1804">
        <f t="shared" si="17"/>
        <v>1</v>
      </c>
    </row>
    <row r="30" spans="1:29" ht="15">
      <c r="A30" s="427"/>
      <c r="B30" s="1381">
        <v>111</v>
      </c>
      <c r="C30" s="433"/>
      <c r="D30" s="434">
        <v>100</v>
      </c>
      <c r="E30" s="433"/>
      <c r="F30" s="434">
        <f>SUMIF(96:96,E30,97:97)-SUMIF(96:96,C30,97:97)+100</f>
        <v>100</v>
      </c>
      <c r="G30" s="2599"/>
      <c r="H30" s="434">
        <f>SUMIF(96:96,G30,97:97)-SUMIF(96:96,C30,97:97)+100</f>
        <v>100</v>
      </c>
      <c r="I30" s="433"/>
      <c r="J30" s="434">
        <f>SUMIF(96:96,I30,97:97)-SUMIF(96:96,C30,97:97)+100</f>
        <v>100</v>
      </c>
      <c r="K30" s="2585"/>
      <c r="L30" s="1135"/>
      <c r="M30" s="1126"/>
      <c r="N30" s="1126"/>
      <c r="O30" s="1126"/>
      <c r="P30" s="3282"/>
      <c r="Q30" s="1803">
        <f t="shared" si="11"/>
        <v>111</v>
      </c>
      <c r="R30" s="772" t="s">
        <v>21</v>
      </c>
      <c r="S30" s="773">
        <f t="shared" si="12"/>
        <v>100</v>
      </c>
      <c r="T30" s="772" t="s">
        <v>21</v>
      </c>
      <c r="U30" s="773">
        <f t="shared" si="13"/>
        <v>100</v>
      </c>
      <c r="V30" s="772" t="s">
        <v>21</v>
      </c>
      <c r="W30" s="773">
        <f t="shared" si="14"/>
        <v>100</v>
      </c>
      <c r="X30" s="1806"/>
      <c r="Y30" s="3220"/>
      <c r="Z30" s="1807">
        <f t="shared" si="18"/>
        <v>111</v>
      </c>
      <c r="AA30" s="1804">
        <f t="shared" si="15"/>
        <v>1</v>
      </c>
      <c r="AB30" s="1804">
        <f t="shared" si="16"/>
        <v>1</v>
      </c>
      <c r="AC30" s="1804">
        <f t="shared" si="17"/>
        <v>1</v>
      </c>
    </row>
    <row r="31" spans="1:29" ht="15.75" thickBot="1">
      <c r="A31" s="435"/>
      <c r="B31" s="1381">
        <v>111</v>
      </c>
      <c r="C31" s="436"/>
      <c r="D31" s="437">
        <v>100</v>
      </c>
      <c r="E31" s="436"/>
      <c r="F31" s="437">
        <f>SUMIF(98:98,E31,99:99)-SUMIF(98:98,C31,99:99)+100</f>
        <v>100</v>
      </c>
      <c r="G31" s="2600"/>
      <c r="H31" s="437">
        <f>SUMIF(98:98,G31,99:99)-SUMIF(98:98,C31,99:99)+100</f>
        <v>100</v>
      </c>
      <c r="I31" s="436"/>
      <c r="J31" s="437">
        <f>SUMIF(98:98,I31,99:99)-SUMIF(98:98,C31,99:99)+100</f>
        <v>100</v>
      </c>
      <c r="K31" s="2585"/>
      <c r="L31" s="1135"/>
      <c r="M31" s="1126"/>
      <c r="N31" s="1126"/>
      <c r="O31" s="1126"/>
      <c r="P31" s="3282"/>
      <c r="Q31" s="1803">
        <f t="shared" si="11"/>
        <v>111</v>
      </c>
      <c r="R31" s="772" t="s">
        <v>21</v>
      </c>
      <c r="S31" s="773">
        <f t="shared" si="12"/>
        <v>100</v>
      </c>
      <c r="T31" s="772" t="s">
        <v>21</v>
      </c>
      <c r="U31" s="773">
        <f t="shared" si="13"/>
        <v>100</v>
      </c>
      <c r="V31" s="772" t="s">
        <v>21</v>
      </c>
      <c r="W31" s="773">
        <f t="shared" si="14"/>
        <v>100</v>
      </c>
      <c r="X31" s="1806"/>
      <c r="Y31" s="3220"/>
      <c r="Z31" s="1807">
        <f t="shared" si="18"/>
        <v>111</v>
      </c>
      <c r="AA31" s="1804">
        <f t="shared" si="15"/>
        <v>1</v>
      </c>
      <c r="AB31" s="1804">
        <f t="shared" si="16"/>
        <v>1</v>
      </c>
      <c r="AC31" s="1804">
        <f t="shared" si="17"/>
        <v>1</v>
      </c>
    </row>
    <row r="32" spans="1:29" ht="15">
      <c r="A32" s="439" t="s">
        <v>2543</v>
      </c>
      <c r="B32" s="71" t="s">
        <v>2544</v>
      </c>
      <c r="C32" s="2601"/>
      <c r="D32" s="466">
        <v>100</v>
      </c>
      <c r="E32" s="2602"/>
      <c r="F32" s="460">
        <f>SUMIF(100:100,E32,101:101)-SUMIF(100:100,C32,101:101)+100</f>
        <v>100</v>
      </c>
      <c r="G32" s="2601"/>
      <c r="H32" s="466">
        <f>SUMIF(100:100,G32,101:101)-SUMIF(100:100,C32,101:101)+100</f>
        <v>100</v>
      </c>
      <c r="I32" s="2602"/>
      <c r="J32" s="434">
        <f>SUMIF(100:100,I32,101:101)-SUMIF(100:100,C32,101:101)+100</f>
        <v>100</v>
      </c>
      <c r="K32" s="425"/>
      <c r="L32" s="1135"/>
      <c r="M32" s="1126"/>
      <c r="N32" s="1126"/>
      <c r="O32" s="1126"/>
      <c r="P32" s="3277" t="s">
        <v>2545</v>
      </c>
      <c r="Q32" s="1803" t="str">
        <f t="shared" si="11"/>
        <v>建筑类型</v>
      </c>
      <c r="R32" s="772" t="s">
        <v>21</v>
      </c>
      <c r="S32" s="773">
        <f t="shared" si="12"/>
        <v>100</v>
      </c>
      <c r="T32" s="772" t="s">
        <v>21</v>
      </c>
      <c r="U32" s="773">
        <f t="shared" si="13"/>
        <v>100</v>
      </c>
      <c r="V32" s="772" t="s">
        <v>21</v>
      </c>
      <c r="W32" s="773">
        <f t="shared" si="14"/>
        <v>100</v>
      </c>
      <c r="X32" s="1806"/>
      <c r="Y32" s="3221" t="s">
        <v>2545</v>
      </c>
      <c r="Z32" s="1807" t="str">
        <f t="shared" si="18"/>
        <v>建筑类型</v>
      </c>
      <c r="AA32" s="1804">
        <f t="shared" si="15"/>
        <v>1</v>
      </c>
      <c r="AB32" s="1804">
        <f t="shared" si="16"/>
        <v>1</v>
      </c>
      <c r="AC32" s="1804">
        <f t="shared" si="17"/>
        <v>1</v>
      </c>
    </row>
    <row r="33" spans="1:29" s="470" customFormat="1" ht="15">
      <c r="A33" s="467"/>
      <c r="B33" s="421" t="s">
        <v>2546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85"/>
      <c r="L33" s="1133"/>
      <c r="M33" s="1136"/>
      <c r="N33" s="1136"/>
      <c r="O33" s="1136"/>
      <c r="P33" s="3278"/>
      <c r="Q33" s="774" t="str">
        <f t="shared" si="11"/>
        <v>项目建筑规模</v>
      </c>
      <c r="R33" s="775" t="s">
        <v>21</v>
      </c>
      <c r="S33" s="776" t="e">
        <f t="shared" si="12"/>
        <v>#N/A</v>
      </c>
      <c r="T33" s="775" t="s">
        <v>21</v>
      </c>
      <c r="U33" s="776" t="e">
        <f t="shared" si="13"/>
        <v>#N/A</v>
      </c>
      <c r="V33" s="775" t="s">
        <v>21</v>
      </c>
      <c r="W33" s="776" t="e">
        <f t="shared" si="14"/>
        <v>#N/A</v>
      </c>
      <c r="X33" s="777"/>
      <c r="Y33" s="3221"/>
      <c r="Z33" s="778" t="str">
        <f t="shared" si="18"/>
        <v>项目建筑规模</v>
      </c>
      <c r="AA33" s="1804" t="e">
        <f t="shared" si="15"/>
        <v>#N/A</v>
      </c>
      <c r="AB33" s="1804" t="e">
        <f t="shared" si="16"/>
        <v>#N/A</v>
      </c>
      <c r="AC33" s="1804" t="e">
        <f t="shared" si="17"/>
        <v>#N/A</v>
      </c>
    </row>
    <row r="34" spans="1:29" ht="15">
      <c r="A34" s="471"/>
      <c r="B34" s="421" t="s">
        <v>2547</v>
      </c>
      <c r="C34" s="2603"/>
      <c r="D34" s="434">
        <v>100</v>
      </c>
      <c r="E34" s="2604"/>
      <c r="F34" s="460">
        <f>SUMIF(105:105,E34,106:106)-SUMIF(105:105,C34,106:106)+100</f>
        <v>100</v>
      </c>
      <c r="G34" s="2603"/>
      <c r="H34" s="434">
        <f>SUMIF(105:105,G34,106:106)-SUMIF(105:105,C34,106:106)+100</f>
        <v>100</v>
      </c>
      <c r="I34" s="2604"/>
      <c r="J34" s="434">
        <f>SUMIF(105:105,I34,106:106)-SUMIF(105:105,C34,106:106)+100</f>
        <v>100</v>
      </c>
      <c r="K34" s="425"/>
      <c r="L34" s="1135"/>
      <c r="M34" s="1126"/>
      <c r="N34" s="1126"/>
      <c r="O34" s="1126"/>
      <c r="P34" s="3278"/>
      <c r="Q34" s="1803" t="str">
        <f t="shared" si="11"/>
        <v>建筑结构</v>
      </c>
      <c r="R34" s="772" t="s">
        <v>21</v>
      </c>
      <c r="S34" s="773">
        <f t="shared" si="12"/>
        <v>100</v>
      </c>
      <c r="T34" s="772" t="s">
        <v>21</v>
      </c>
      <c r="U34" s="773">
        <f t="shared" si="13"/>
        <v>100</v>
      </c>
      <c r="V34" s="772" t="s">
        <v>21</v>
      </c>
      <c r="W34" s="773">
        <f t="shared" si="14"/>
        <v>100</v>
      </c>
      <c r="X34" s="1806"/>
      <c r="Y34" s="3221"/>
      <c r="Z34" s="1807" t="str">
        <f t="shared" si="18"/>
        <v>建筑结构</v>
      </c>
      <c r="AA34" s="1804">
        <f t="shared" si="15"/>
        <v>1</v>
      </c>
      <c r="AB34" s="1804">
        <f t="shared" si="16"/>
        <v>1</v>
      </c>
      <c r="AC34" s="1804">
        <f t="shared" si="17"/>
        <v>1</v>
      </c>
    </row>
    <row r="35" spans="1:29" ht="15">
      <c r="A35" s="471"/>
      <c r="B35" s="421" t="s">
        <v>2548</v>
      </c>
      <c r="C35" s="2597"/>
      <c r="D35" s="434">
        <v>100</v>
      </c>
      <c r="E35" s="2598"/>
      <c r="F35" s="460">
        <f>SUMIF(107:107,E35,108:108)-SUMIF(107:107,C35,108:108)+100</f>
        <v>100</v>
      </c>
      <c r="G35" s="2597"/>
      <c r="H35" s="434">
        <f>SUMIF(107:107,G35,108:108)-SUMIF(107:107,C35,108:108)+100</f>
        <v>100</v>
      </c>
      <c r="I35" s="2598"/>
      <c r="J35" s="434">
        <f>SUMIF(107:107,I35,108:108)-SUMIF(107:107,C35,108:108)+100</f>
        <v>100</v>
      </c>
      <c r="K35" s="425"/>
      <c r="L35" s="1135"/>
      <c r="M35" s="1126"/>
      <c r="N35" s="1126"/>
      <c r="O35" s="1126"/>
      <c r="P35" s="3278"/>
      <c r="Q35" s="1803" t="str">
        <f t="shared" si="11"/>
        <v>建筑品质</v>
      </c>
      <c r="R35" s="772" t="s">
        <v>21</v>
      </c>
      <c r="S35" s="773">
        <f t="shared" si="12"/>
        <v>100</v>
      </c>
      <c r="T35" s="772" t="s">
        <v>21</v>
      </c>
      <c r="U35" s="773">
        <f t="shared" si="13"/>
        <v>100</v>
      </c>
      <c r="V35" s="772" t="s">
        <v>21</v>
      </c>
      <c r="W35" s="773">
        <f t="shared" si="14"/>
        <v>100</v>
      </c>
      <c r="X35" s="1806"/>
      <c r="Y35" s="3221"/>
      <c r="Z35" s="1807" t="str">
        <f t="shared" si="18"/>
        <v>建筑品质</v>
      </c>
      <c r="AA35" s="1804">
        <f t="shared" si="15"/>
        <v>1</v>
      </c>
      <c r="AB35" s="1804">
        <f t="shared" si="16"/>
        <v>1</v>
      </c>
      <c r="AC35" s="1804">
        <f t="shared" si="17"/>
        <v>1</v>
      </c>
    </row>
    <row r="36" spans="1:29" ht="15">
      <c r="A36" s="471"/>
      <c r="B36" s="421" t="s">
        <v>2549</v>
      </c>
      <c r="C36" s="2597"/>
      <c r="D36" s="434">
        <v>100</v>
      </c>
      <c r="E36" s="2598"/>
      <c r="F36" s="460">
        <f>SUMIF(109:109,E36,110:110)-SUMIF(109:109,C36,110:110)+100</f>
        <v>100</v>
      </c>
      <c r="G36" s="2597"/>
      <c r="H36" s="434">
        <f>SUMIF(109:109,G36,110:110)-SUMIF(109:109,C36,110:110)+100</f>
        <v>100</v>
      </c>
      <c r="I36" s="2598"/>
      <c r="J36" s="434">
        <f>SUMIF(109:109,I36,110:110)-SUMIF(109:109,C36,110:110)+100</f>
        <v>100</v>
      </c>
      <c r="K36" s="425"/>
      <c r="L36" s="1135"/>
      <c r="M36" s="1126"/>
      <c r="N36" s="1126"/>
      <c r="O36" s="1126"/>
      <c r="P36" s="3278"/>
      <c r="Q36" s="1803" t="str">
        <f t="shared" si="11"/>
        <v>公共部分装修</v>
      </c>
      <c r="R36" s="772" t="s">
        <v>21</v>
      </c>
      <c r="S36" s="773">
        <f t="shared" si="12"/>
        <v>100</v>
      </c>
      <c r="T36" s="772" t="s">
        <v>21</v>
      </c>
      <c r="U36" s="773">
        <f t="shared" si="13"/>
        <v>100</v>
      </c>
      <c r="V36" s="772" t="s">
        <v>21</v>
      </c>
      <c r="W36" s="773">
        <f t="shared" si="14"/>
        <v>100</v>
      </c>
      <c r="X36" s="1806"/>
      <c r="Y36" s="3221"/>
      <c r="Z36" s="1807" t="str">
        <f t="shared" si="18"/>
        <v>公共部分装修</v>
      </c>
      <c r="AA36" s="1804">
        <f t="shared" si="15"/>
        <v>1</v>
      </c>
      <c r="AB36" s="1804">
        <f t="shared" si="16"/>
        <v>1</v>
      </c>
      <c r="AC36" s="1804">
        <f t="shared" si="17"/>
        <v>1</v>
      </c>
    </row>
    <row r="37" spans="1:29" s="117" customFormat="1" ht="15">
      <c r="A37" s="472"/>
      <c r="B37" s="421" t="s">
        <v>2550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7"/>
      <c r="M37" s="1128"/>
      <c r="N37" s="1128"/>
      <c r="O37" s="1128"/>
      <c r="P37" s="3278"/>
      <c r="Q37" s="1788" t="str">
        <f t="shared" si="11"/>
        <v>成新度</v>
      </c>
      <c r="R37" s="768" t="s">
        <v>21</v>
      </c>
      <c r="S37" s="769" t="e">
        <f t="shared" si="12"/>
        <v>#N/A</v>
      </c>
      <c r="T37" s="768" t="s">
        <v>21</v>
      </c>
      <c r="U37" s="769" t="e">
        <f t="shared" si="13"/>
        <v>#N/A</v>
      </c>
      <c r="V37" s="768" t="s">
        <v>21</v>
      </c>
      <c r="W37" s="769" t="e">
        <f t="shared" si="14"/>
        <v>#N/A</v>
      </c>
      <c r="X37" s="770"/>
      <c r="Y37" s="3221"/>
      <c r="Z37" s="55" t="str">
        <f t="shared" si="18"/>
        <v>成新度</v>
      </c>
      <c r="AA37" s="771" t="e">
        <f t="shared" si="15"/>
        <v>#N/A</v>
      </c>
      <c r="AB37" s="771" t="e">
        <f t="shared" si="16"/>
        <v>#N/A</v>
      </c>
      <c r="AC37" s="771" t="e">
        <f t="shared" si="17"/>
        <v>#N/A</v>
      </c>
    </row>
    <row r="38" spans="1:29" ht="15">
      <c r="A38" s="471"/>
      <c r="B38" s="421" t="s">
        <v>2551</v>
      </c>
      <c r="C38" s="2597"/>
      <c r="D38" s="434">
        <v>100</v>
      </c>
      <c r="E38" s="2598"/>
      <c r="F38" s="460">
        <f>SUMIF(114:114,E38,115:115)-SUMIF(114:114,C38,115:115)+100</f>
        <v>100</v>
      </c>
      <c r="G38" s="2597"/>
      <c r="H38" s="434">
        <f>SUMIF(114:114,G38,115:115)-SUMIF(114:114,C38,115:115)+100</f>
        <v>100</v>
      </c>
      <c r="I38" s="2598"/>
      <c r="J38" s="434">
        <f>SUMIF(114:114,I38,115:115)-SUMIF(114:114,C38,115:115)+100</f>
        <v>100</v>
      </c>
      <c r="K38" s="425"/>
      <c r="L38" s="1135"/>
      <c r="M38" s="1126"/>
      <c r="N38" s="1126"/>
      <c r="O38" s="1126"/>
      <c r="P38" s="3278" t="s">
        <v>2545</v>
      </c>
      <c r="Q38" s="1803" t="str">
        <f t="shared" si="11"/>
        <v>物业管理</v>
      </c>
      <c r="R38" s="772" t="s">
        <v>21</v>
      </c>
      <c r="S38" s="773">
        <f t="shared" si="12"/>
        <v>100</v>
      </c>
      <c r="T38" s="772" t="s">
        <v>21</v>
      </c>
      <c r="U38" s="773">
        <f t="shared" si="13"/>
        <v>100</v>
      </c>
      <c r="V38" s="772" t="s">
        <v>21</v>
      </c>
      <c r="W38" s="773">
        <f t="shared" si="14"/>
        <v>100</v>
      </c>
      <c r="X38" s="1806"/>
      <c r="Y38" s="3221" t="s">
        <v>2545</v>
      </c>
      <c r="Z38" s="1807" t="str">
        <f t="shared" si="18"/>
        <v>物业管理</v>
      </c>
      <c r="AA38" s="1804">
        <f t="shared" si="15"/>
        <v>1</v>
      </c>
      <c r="AB38" s="1804">
        <f t="shared" si="16"/>
        <v>1</v>
      </c>
      <c r="AC38" s="1804">
        <f t="shared" si="17"/>
        <v>1</v>
      </c>
    </row>
    <row r="39" spans="1:29" ht="15">
      <c r="A39" s="471"/>
      <c r="B39" s="421" t="s">
        <v>2552</v>
      </c>
      <c r="C39" s="2597"/>
      <c r="D39" s="434">
        <v>100</v>
      </c>
      <c r="E39" s="2598"/>
      <c r="F39" s="460">
        <f>SUMIF(116:116,E39,117:117)-SUMIF(116:116,C39,117:117)+100</f>
        <v>100</v>
      </c>
      <c r="G39" s="2597"/>
      <c r="H39" s="434">
        <f>SUMIF(116:116,G39,117:117)-SUMIF(116:116,C39,117:117)+100</f>
        <v>100</v>
      </c>
      <c r="I39" s="2598"/>
      <c r="J39" s="434">
        <f>SUMIF(116:116,I39,117:117)-SUMIF(116:116,C39,117:117)+100</f>
        <v>100</v>
      </c>
      <c r="K39" s="425"/>
      <c r="L39" s="1135"/>
      <c r="M39" s="1126"/>
      <c r="N39" s="1126"/>
      <c r="O39" s="1126"/>
      <c r="P39" s="3278"/>
      <c r="Q39" s="1803" t="str">
        <f t="shared" si="11"/>
        <v>市政基础设施</v>
      </c>
      <c r="R39" s="772" t="s">
        <v>21</v>
      </c>
      <c r="S39" s="773">
        <f t="shared" si="12"/>
        <v>100</v>
      </c>
      <c r="T39" s="772" t="s">
        <v>21</v>
      </c>
      <c r="U39" s="773">
        <f t="shared" si="13"/>
        <v>100</v>
      </c>
      <c r="V39" s="772" t="s">
        <v>21</v>
      </c>
      <c r="W39" s="773">
        <f t="shared" si="14"/>
        <v>100</v>
      </c>
      <c r="X39" s="1806"/>
      <c r="Y39" s="3221"/>
      <c r="Z39" s="1807" t="str">
        <f t="shared" si="18"/>
        <v>市政基础设施</v>
      </c>
      <c r="AA39" s="1804">
        <f t="shared" si="15"/>
        <v>1</v>
      </c>
      <c r="AB39" s="1804">
        <f t="shared" si="16"/>
        <v>1</v>
      </c>
      <c r="AC39" s="1804">
        <f t="shared" si="17"/>
        <v>1</v>
      </c>
    </row>
    <row r="40" spans="1:29" ht="15">
      <c r="A40" s="471"/>
      <c r="B40" s="421" t="s">
        <v>2553</v>
      </c>
      <c r="C40" s="2597"/>
      <c r="D40" s="434">
        <v>100</v>
      </c>
      <c r="E40" s="2598"/>
      <c r="F40" s="460">
        <f>SUMIF(118:118,E40,119:119)-SUMIF(118:118,C40,119:119)+100</f>
        <v>100</v>
      </c>
      <c r="G40" s="2597"/>
      <c r="H40" s="434">
        <f>SUMIF(118:118,G40,119:119)-SUMIF(118:118,C40,119:119)+100</f>
        <v>100</v>
      </c>
      <c r="I40" s="2598"/>
      <c r="J40" s="434">
        <f>SUMIF(118:118,I40,119:119)-SUMIF(118:118,C40,119:119)+100</f>
        <v>100</v>
      </c>
      <c r="K40" s="425"/>
      <c r="L40" s="1135"/>
      <c r="M40" s="1126"/>
      <c r="N40" s="1126"/>
      <c r="O40" s="1126"/>
      <c r="P40" s="3278"/>
      <c r="Q40" s="1803" t="str">
        <f t="shared" si="11"/>
        <v>房型</v>
      </c>
      <c r="R40" s="772" t="s">
        <v>21</v>
      </c>
      <c r="S40" s="773">
        <f t="shared" si="12"/>
        <v>100</v>
      </c>
      <c r="T40" s="772" t="s">
        <v>21</v>
      </c>
      <c r="U40" s="773">
        <f t="shared" si="13"/>
        <v>100</v>
      </c>
      <c r="V40" s="772" t="s">
        <v>21</v>
      </c>
      <c r="W40" s="773">
        <f t="shared" si="14"/>
        <v>100</v>
      </c>
      <c r="X40" s="1806"/>
      <c r="Y40" s="3221"/>
      <c r="Z40" s="1807" t="str">
        <f t="shared" si="18"/>
        <v>房型</v>
      </c>
      <c r="AA40" s="1804">
        <f t="shared" si="15"/>
        <v>1</v>
      </c>
      <c r="AB40" s="1804">
        <f t="shared" si="16"/>
        <v>1</v>
      </c>
      <c r="AC40" s="1804">
        <f t="shared" si="17"/>
        <v>1</v>
      </c>
    </row>
    <row r="41" spans="1:29" s="470" customFormat="1" ht="28.5">
      <c r="A41" s="467"/>
      <c r="B41" s="421" t="s">
        <v>2554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85"/>
      <c r="L41" s="1133"/>
      <c r="M41" s="1136"/>
      <c r="N41" s="1136"/>
      <c r="O41" s="1136"/>
      <c r="P41" s="3278"/>
      <c r="Q41" s="774" t="str">
        <f t="shared" si="11"/>
        <v>单套/主力户型建筑面积</v>
      </c>
      <c r="R41" s="775" t="s">
        <v>21</v>
      </c>
      <c r="S41" s="776">
        <f t="shared" si="12"/>
        <v>100</v>
      </c>
      <c r="T41" s="775" t="s">
        <v>21</v>
      </c>
      <c r="U41" s="776">
        <f t="shared" si="13"/>
        <v>100</v>
      </c>
      <c r="V41" s="775" t="s">
        <v>21</v>
      </c>
      <c r="W41" s="776">
        <f t="shared" si="14"/>
        <v>100</v>
      </c>
      <c r="X41" s="777"/>
      <c r="Y41" s="3221"/>
      <c r="Z41" s="778" t="str">
        <f t="shared" si="18"/>
        <v>单套/主力户型建筑面积</v>
      </c>
      <c r="AA41" s="1804">
        <f t="shared" si="15"/>
        <v>1</v>
      </c>
      <c r="AB41" s="1804">
        <f t="shared" si="16"/>
        <v>1</v>
      </c>
      <c r="AC41" s="1804">
        <f t="shared" si="17"/>
        <v>1</v>
      </c>
    </row>
    <row r="42" spans="1:29" ht="15">
      <c r="A42" s="471"/>
      <c r="B42" s="421" t="s">
        <v>2555</v>
      </c>
      <c r="C42" s="2597"/>
      <c r="D42" s="434">
        <v>100</v>
      </c>
      <c r="E42" s="2598"/>
      <c r="F42" s="460">
        <f>SUMIF(122:122,E42,123:123)-SUMIF(122:122,C42,123:123)+100</f>
        <v>100</v>
      </c>
      <c r="G42" s="2597"/>
      <c r="H42" s="434">
        <f>SUMIF(122:122,G42,123:123)-SUMIF(122:122,C42,123:123)+100</f>
        <v>100</v>
      </c>
      <c r="I42" s="2598"/>
      <c r="J42" s="434">
        <f>SUMIF(122:122,I42,123:123)-SUMIF(122:122,C42,123:123)+100</f>
        <v>100</v>
      </c>
      <c r="K42" s="425"/>
      <c r="L42" s="1135"/>
      <c r="M42" s="1126"/>
      <c r="N42" s="1126"/>
      <c r="O42" s="1126"/>
      <c r="P42" s="3278"/>
      <c r="Q42" s="1803" t="str">
        <f t="shared" si="11"/>
        <v>内部装修</v>
      </c>
      <c r="R42" s="772" t="s">
        <v>21</v>
      </c>
      <c r="S42" s="773">
        <f t="shared" si="12"/>
        <v>100</v>
      </c>
      <c r="T42" s="772" t="s">
        <v>21</v>
      </c>
      <c r="U42" s="773">
        <f t="shared" si="13"/>
        <v>100</v>
      </c>
      <c r="V42" s="772" t="s">
        <v>21</v>
      </c>
      <c r="W42" s="773">
        <f t="shared" si="14"/>
        <v>100</v>
      </c>
      <c r="X42" s="1806"/>
      <c r="Y42" s="3221"/>
      <c r="Z42" s="1807" t="str">
        <f t="shared" si="18"/>
        <v>内部装修</v>
      </c>
      <c r="AA42" s="1804">
        <f t="shared" si="15"/>
        <v>1</v>
      </c>
      <c r="AB42" s="1804">
        <f t="shared" si="16"/>
        <v>1</v>
      </c>
      <c r="AC42" s="1804">
        <f t="shared" si="17"/>
        <v>1</v>
      </c>
    </row>
    <row r="43" spans="1:29" ht="15">
      <c r="A43" s="471"/>
      <c r="B43" s="421" t="s">
        <v>2556</v>
      </c>
      <c r="C43" s="2597"/>
      <c r="D43" s="434">
        <v>100</v>
      </c>
      <c r="E43" s="2598"/>
      <c r="F43" s="460">
        <f>SUMIF(124:124,E43,125:125)-SUMIF(124:124,C43,125:125)+100</f>
        <v>100</v>
      </c>
      <c r="G43" s="2597"/>
      <c r="H43" s="434">
        <f>SUMIF(124:124,G43,125:125)-SUMIF(124:124,C43,125:125)+100</f>
        <v>100</v>
      </c>
      <c r="I43" s="2598"/>
      <c r="J43" s="434">
        <f>SUMIF(124:124,I43,125:125)-SUMIF(124:124,C43,125:125)+100</f>
        <v>100</v>
      </c>
      <c r="K43" s="425"/>
      <c r="L43" s="1135"/>
      <c r="M43" s="1126"/>
      <c r="N43" s="1126"/>
      <c r="O43" s="1126"/>
      <c r="P43" s="3278"/>
      <c r="Q43" s="1803" t="str">
        <f t="shared" si="11"/>
        <v>内部装修维护情况</v>
      </c>
      <c r="R43" s="772" t="s">
        <v>21</v>
      </c>
      <c r="S43" s="773">
        <f t="shared" si="12"/>
        <v>100</v>
      </c>
      <c r="T43" s="772" t="s">
        <v>21</v>
      </c>
      <c r="U43" s="773">
        <f t="shared" si="13"/>
        <v>100</v>
      </c>
      <c r="V43" s="772" t="s">
        <v>21</v>
      </c>
      <c r="W43" s="773">
        <f t="shared" si="14"/>
        <v>100</v>
      </c>
      <c r="X43" s="1806"/>
      <c r="Y43" s="3221"/>
      <c r="Z43" s="1807" t="str">
        <f t="shared" si="18"/>
        <v>内部装修维护情况</v>
      </c>
      <c r="AA43" s="1804">
        <f t="shared" si="15"/>
        <v>1</v>
      </c>
      <c r="AB43" s="1804">
        <f t="shared" si="16"/>
        <v>1</v>
      </c>
      <c r="AC43" s="1804">
        <f t="shared" si="17"/>
        <v>1</v>
      </c>
    </row>
    <row r="44" spans="1:29" s="117" customFormat="1" ht="15">
      <c r="A44" s="472"/>
      <c r="B44" s="1381">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85"/>
      <c r="L44" s="1127"/>
      <c r="M44" s="1128"/>
      <c r="N44" s="1128"/>
      <c r="O44" s="1128"/>
      <c r="P44" s="3278"/>
      <c r="Q44" s="1788">
        <f t="shared" si="11"/>
        <v>111</v>
      </c>
      <c r="R44" s="768" t="s">
        <v>21</v>
      </c>
      <c r="S44" s="769">
        <f t="shared" si="12"/>
        <v>100</v>
      </c>
      <c r="T44" s="768" t="s">
        <v>21</v>
      </c>
      <c r="U44" s="769">
        <f t="shared" si="13"/>
        <v>100</v>
      </c>
      <c r="V44" s="768" t="s">
        <v>21</v>
      </c>
      <c r="W44" s="769">
        <f t="shared" si="14"/>
        <v>100</v>
      </c>
      <c r="X44" s="770"/>
      <c r="Y44" s="3221"/>
      <c r="Z44" s="55">
        <f t="shared" si="18"/>
        <v>111</v>
      </c>
      <c r="AA44" s="771">
        <f t="shared" si="15"/>
        <v>1</v>
      </c>
      <c r="AB44" s="771">
        <f t="shared" si="16"/>
        <v>1</v>
      </c>
      <c r="AC44" s="771">
        <f t="shared" si="17"/>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5"/>
      <c r="L45" s="1135"/>
      <c r="M45" s="1126"/>
      <c r="N45" s="1126"/>
      <c r="O45" s="1126"/>
      <c r="P45" s="3278"/>
      <c r="Q45" s="1803">
        <f t="shared" si="11"/>
        <v>111</v>
      </c>
      <c r="R45" s="772" t="s">
        <v>21</v>
      </c>
      <c r="S45" s="773">
        <f t="shared" si="12"/>
        <v>100</v>
      </c>
      <c r="T45" s="772" t="s">
        <v>21</v>
      </c>
      <c r="U45" s="773">
        <f t="shared" si="13"/>
        <v>100</v>
      </c>
      <c r="V45" s="772" t="s">
        <v>21</v>
      </c>
      <c r="W45" s="773">
        <f t="shared" si="14"/>
        <v>100</v>
      </c>
      <c r="X45" s="1806"/>
      <c r="Y45" s="3221"/>
      <c r="Z45" s="1807">
        <f t="shared" si="18"/>
        <v>111</v>
      </c>
      <c r="AA45" s="1804">
        <f t="shared" si="15"/>
        <v>1</v>
      </c>
      <c r="AB45" s="1804">
        <f t="shared" si="16"/>
        <v>1</v>
      </c>
      <c r="AC45" s="1804">
        <f t="shared" si="17"/>
        <v>1</v>
      </c>
    </row>
    <row r="46" spans="1:29" ht="15.75" thickBot="1">
      <c r="A46" s="477"/>
      <c r="B46" s="258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5"/>
      <c r="L46" s="1135"/>
      <c r="M46" s="1126"/>
      <c r="N46" s="1126"/>
      <c r="O46" s="1126"/>
      <c r="P46" s="3279"/>
      <c r="Q46" s="1803">
        <f t="shared" si="11"/>
        <v>111</v>
      </c>
      <c r="R46" s="772" t="s">
        <v>20</v>
      </c>
      <c r="S46" s="773">
        <f t="shared" si="12"/>
        <v>100</v>
      </c>
      <c r="T46" s="772" t="s">
        <v>20</v>
      </c>
      <c r="U46" s="773">
        <f t="shared" si="13"/>
        <v>100</v>
      </c>
      <c r="V46" s="772" t="s">
        <v>20</v>
      </c>
      <c r="W46" s="773">
        <f t="shared" si="14"/>
        <v>100</v>
      </c>
      <c r="X46" s="1806"/>
      <c r="Y46" s="3280"/>
      <c r="Z46" s="1807">
        <f t="shared" si="18"/>
        <v>111</v>
      </c>
      <c r="AA46" s="1804">
        <f t="shared" si="15"/>
        <v>1</v>
      </c>
      <c r="AB46" s="1804">
        <f t="shared" si="16"/>
        <v>1</v>
      </c>
      <c r="AC46" s="1804">
        <f t="shared" si="17"/>
        <v>1</v>
      </c>
    </row>
    <row r="47" spans="1:29" ht="15">
      <c r="A47" s="478" t="s">
        <v>2557</v>
      </c>
      <c r="B47" s="479"/>
      <c r="C47" s="1402" t="s">
        <v>19</v>
      </c>
      <c r="D47" s="1403"/>
      <c r="E47" s="1404"/>
      <c r="F47" s="1405"/>
      <c r="G47" s="1406"/>
      <c r="H47" s="1407"/>
      <c r="I47" s="1404"/>
      <c r="J47" s="1407"/>
      <c r="K47" s="2605"/>
      <c r="L47" s="1138"/>
      <c r="M47" s="1139"/>
      <c r="N47" s="1126"/>
      <c r="O47" s="1139"/>
      <c r="P47" s="3201" t="str">
        <f>A47</f>
        <v>成交单价（元/平方米）</v>
      </c>
      <c r="Q47" s="3201"/>
      <c r="R47" s="3276">
        <f>E47</f>
        <v>0</v>
      </c>
      <c r="S47" s="3276"/>
      <c r="T47" s="3276">
        <f>G47</f>
        <v>0</v>
      </c>
      <c r="U47" s="3276"/>
      <c r="V47" s="3276">
        <f>I47</f>
        <v>0</v>
      </c>
      <c r="W47" s="3276"/>
      <c r="X47" s="757"/>
      <c r="Y47" s="779"/>
      <c r="Z47" s="757"/>
      <c r="AA47" s="757"/>
      <c r="AB47" s="757"/>
      <c r="AC47" s="757"/>
    </row>
    <row r="48" spans="1:29" ht="15.75" thickBot="1">
      <c r="A48" s="485" t="s">
        <v>2558</v>
      </c>
      <c r="B48" s="486"/>
      <c r="C48" s="1408" t="e">
        <f>R49</f>
        <v>#DIV/0!</v>
      </c>
      <c r="D48" s="1409"/>
      <c r="E48" s="1410" t="e">
        <f>R48</f>
        <v>#DIV/0!</v>
      </c>
      <c r="F48" s="1410"/>
      <c r="G48" s="1408" t="e">
        <f>T48</f>
        <v>#DIV/0!</v>
      </c>
      <c r="H48" s="1409"/>
      <c r="I48" s="1410" t="e">
        <f>V48</f>
        <v>#DIV/0!</v>
      </c>
      <c r="J48" s="1409"/>
      <c r="K48" s="2606"/>
      <c r="L48" s="1138"/>
      <c r="M48" s="1139"/>
      <c r="N48" s="1139"/>
      <c r="O48" s="1139"/>
      <c r="P48" s="3201" t="str">
        <f>A48</f>
        <v>比较价值（元/平方米）</v>
      </c>
      <c r="Q48" s="3201"/>
      <c r="R48" s="3276" t="e">
        <f>IF(F1="售价",ROUND(PRODUCT(R47,AA7:AA46),0),ROUND(PRODUCT(R47,AA7:AA46),1))</f>
        <v>#DIV/0!</v>
      </c>
      <c r="S48" s="3276"/>
      <c r="T48" s="3276" t="e">
        <f>IF(F1="售价",ROUND(PRODUCT(T47,AB7:AB46),0),ROUND(PRODUCT(T47,AB7:AB46),1))</f>
        <v>#DIV/0!</v>
      </c>
      <c r="U48" s="3276"/>
      <c r="V48" s="3276" t="e">
        <f>IF(F1="售价",ROUND(PRODUCT(V47,AC7:AC46),0),ROUND(PRODUCT(V47,AC7:AC46),1))</f>
        <v>#DIV/0!</v>
      </c>
      <c r="W48" s="3276"/>
      <c r="X48" s="757"/>
      <c r="Y48" s="757"/>
      <c r="Z48" s="757"/>
      <c r="AA48" s="757"/>
      <c r="AB48" s="757"/>
      <c r="AC48" s="757"/>
    </row>
    <row r="49" spans="1:29" ht="15.75" thickBot="1">
      <c r="A49" s="491" t="s">
        <v>2559</v>
      </c>
      <c r="B49" s="492"/>
      <c r="C49" s="1411" t="e">
        <f>R49</f>
        <v>#DIV/0!</v>
      </c>
      <c r="D49" s="1412"/>
      <c r="E49" s="1412"/>
      <c r="F49" s="1412"/>
      <c r="G49" s="1412"/>
      <c r="H49" s="1412"/>
      <c r="I49" s="1412"/>
      <c r="J49" s="1412"/>
      <c r="K49" s="2607"/>
      <c r="L49" s="1138"/>
      <c r="M49" s="1139"/>
      <c r="N49" s="1139"/>
      <c r="O49" s="1139"/>
      <c r="P49" s="3237" t="str">
        <f>A49</f>
        <v>估价对象XX用房的比较价值（楼面单价，元/平方米）</v>
      </c>
      <c r="Q49" s="3238"/>
      <c r="R49" s="3275" t="e">
        <f>IF(F1="售价",ROUND(AVERAGE(R48:V48),0),ROUND(AVERAGE(R48:V48),1))</f>
        <v>#DIV/0!</v>
      </c>
      <c r="S49" s="3275"/>
      <c r="T49" s="3275"/>
      <c r="U49" s="3275"/>
      <c r="V49" s="3275"/>
      <c r="W49" s="3275"/>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6" t="s">
        <v>2560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0"/>
      <c r="L52" s="1101"/>
      <c r="M52" s="1139"/>
      <c r="N52" s="1139"/>
      <c r="O52" s="1139"/>
    </row>
    <row r="53" spans="1:29" ht="13.5" customHeight="1">
      <c r="A53" s="1139"/>
      <c r="B53" s="1139"/>
      <c r="C53" s="496" t="s">
        <v>2561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0"/>
      <c r="L53" s="1101"/>
      <c r="M53" s="1139"/>
      <c r="N53" s="1139"/>
      <c r="O53" s="1139"/>
    </row>
    <row r="54" spans="1:29" s="501" customFormat="1" ht="13.5" customHeight="1">
      <c r="A54" s="1140"/>
      <c r="B54" s="1140"/>
      <c r="C54" s="496" t="s">
        <v>2562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3"/>
      <c r="L54" s="1144"/>
      <c r="M54" s="1140"/>
      <c r="N54" s="1140"/>
      <c r="O54" s="1140"/>
      <c r="P54" s="2609"/>
    </row>
    <row r="55" spans="1:29" s="501" customFormat="1">
      <c r="A55" s="1140"/>
      <c r="B55" s="1141"/>
      <c r="C55" s="1145"/>
      <c r="D55" s="1140"/>
      <c r="E55" s="1140"/>
      <c r="F55" s="1140"/>
      <c r="G55" s="1140"/>
      <c r="H55" s="1140"/>
      <c r="I55" s="1140"/>
      <c r="J55" s="1140"/>
      <c r="K55" s="1143"/>
      <c r="L55" s="1144"/>
      <c r="M55" s="1140"/>
      <c r="N55" s="1140"/>
      <c r="O55" s="1140"/>
      <c r="P55" s="2609"/>
    </row>
    <row r="56" spans="1:29">
      <c r="A56" s="1139"/>
      <c r="B56" s="1141"/>
      <c r="C56" s="1145"/>
      <c r="D56" s="1139"/>
      <c r="E56" s="1139"/>
      <c r="F56" s="1139"/>
      <c r="G56" s="1139"/>
      <c r="H56" s="1139"/>
      <c r="I56" s="1139"/>
      <c r="J56" s="1139"/>
      <c r="K56" s="1100"/>
      <c r="L56" s="1101"/>
      <c r="M56" s="1139"/>
      <c r="N56" s="1139"/>
      <c r="O56" s="1139"/>
    </row>
    <row r="57" spans="1:29" ht="21.75" thickBot="1">
      <c r="A57" s="761" t="s">
        <v>2563</v>
      </c>
      <c r="B57" s="757"/>
      <c r="C57" s="762"/>
      <c r="D57" s="762"/>
      <c r="E57" s="762"/>
      <c r="F57" s="763"/>
      <c r="G57" s="763"/>
      <c r="H57" s="762"/>
      <c r="I57" s="762"/>
      <c r="J57" s="762"/>
      <c r="K57" s="1155"/>
      <c r="L57" s="1156"/>
      <c r="M57" s="1154"/>
      <c r="N57" s="1154"/>
      <c r="O57" s="1154"/>
      <c r="P57" s="2610"/>
      <c r="Q57" s="503"/>
    </row>
    <row r="58" spans="1:29" s="507" customFormat="1" ht="15">
      <c r="A58" s="504" t="s">
        <v>2564</v>
      </c>
      <c r="B58" s="505"/>
      <c r="C58" s="1569" t="str">
        <f>YEAR(C7)&amp;"-"&amp;MONTH(C7)</f>
        <v>2018-4</v>
      </c>
      <c r="D58" s="1568">
        <f>EDATE(C58,-1)</f>
        <v>43160</v>
      </c>
      <c r="E58" s="1568">
        <f>EDATE(D58,-1)</f>
        <v>43132</v>
      </c>
      <c r="F58" s="1568">
        <f t="shared" ref="F58:O58" si="19">EDATE(E58,-1)</f>
        <v>43101</v>
      </c>
      <c r="G58" s="1568">
        <f t="shared" si="19"/>
        <v>43070</v>
      </c>
      <c r="H58" s="1568">
        <f t="shared" si="19"/>
        <v>43040</v>
      </c>
      <c r="I58" s="1568">
        <f t="shared" si="19"/>
        <v>43009</v>
      </c>
      <c r="J58" s="1568">
        <f t="shared" si="19"/>
        <v>42979</v>
      </c>
      <c r="K58" s="1568">
        <f t="shared" si="19"/>
        <v>42948</v>
      </c>
      <c r="L58" s="1568">
        <f t="shared" si="19"/>
        <v>42917</v>
      </c>
      <c r="M58" s="1568">
        <f t="shared" si="19"/>
        <v>42887</v>
      </c>
      <c r="N58" s="1568">
        <f t="shared" si="19"/>
        <v>42856</v>
      </c>
      <c r="O58" s="1568">
        <f t="shared" si="19"/>
        <v>42826</v>
      </c>
      <c r="P58" s="1563"/>
    </row>
    <row r="59" spans="1:29" s="117" customFormat="1" ht="15">
      <c r="A59" s="508"/>
      <c r="B59" s="2611"/>
      <c r="C59" s="1566">
        <v>100</v>
      </c>
      <c r="D59" s="510"/>
      <c r="E59" s="511"/>
      <c r="F59" s="511"/>
      <c r="G59" s="511"/>
      <c r="H59" s="511"/>
      <c r="I59" s="511"/>
      <c r="J59" s="511"/>
      <c r="K59" s="511"/>
      <c r="L59" s="511"/>
      <c r="M59" s="512"/>
      <c r="N59" s="511"/>
      <c r="O59" s="512"/>
      <c r="P59" s="2612"/>
    </row>
    <row r="60" spans="1:29" s="117" customFormat="1" ht="15.75" thickBot="1">
      <c r="A60" s="514" t="s">
        <v>2565</v>
      </c>
      <c r="B60" s="515"/>
      <c r="C60" s="516"/>
      <c r="D60" s="517"/>
      <c r="E60" s="517"/>
      <c r="F60" s="517"/>
      <c r="G60" s="517"/>
      <c r="H60" s="517"/>
      <c r="I60" s="517"/>
      <c r="J60" s="517"/>
      <c r="K60" s="517"/>
      <c r="L60" s="517"/>
      <c r="M60" s="518"/>
      <c r="N60" s="517"/>
      <c r="O60" s="518"/>
      <c r="P60" s="2612"/>
      <c r="Q60" s="503"/>
    </row>
    <row r="61" spans="1:29" s="117" customFormat="1" ht="15">
      <c r="A61" s="520" t="s">
        <v>2566</v>
      </c>
      <c r="B61" s="509"/>
      <c r="C61" s="521" t="s">
        <v>2567</v>
      </c>
      <c r="D61" s="522"/>
      <c r="E61" s="522"/>
      <c r="F61" s="522"/>
      <c r="G61" s="522"/>
      <c r="H61" s="522"/>
      <c r="I61" s="522"/>
      <c r="J61" s="522"/>
      <c r="K61" s="522"/>
      <c r="L61" s="523"/>
      <c r="M61" s="524"/>
      <c r="N61" s="1146"/>
      <c r="O61" s="1146"/>
      <c r="P61" s="2613"/>
      <c r="Q61" s="503"/>
    </row>
    <row r="62" spans="1:29" s="117" customFormat="1" ht="15.75" thickBot="1">
      <c r="A62" s="520"/>
      <c r="B62" s="509"/>
      <c r="C62" s="510">
        <v>100</v>
      </c>
      <c r="D62" s="511"/>
      <c r="E62" s="511"/>
      <c r="F62" s="511"/>
      <c r="G62" s="511"/>
      <c r="H62" s="511"/>
      <c r="I62" s="511"/>
      <c r="J62" s="511"/>
      <c r="K62" s="511"/>
      <c r="L62" s="511"/>
      <c r="M62" s="513"/>
      <c r="N62" s="1146"/>
      <c r="O62" s="1146"/>
      <c r="P62" s="2612"/>
      <c r="Q62" s="503"/>
    </row>
    <row r="63" spans="1:29">
      <c r="A63" s="526" t="s">
        <v>2568</v>
      </c>
      <c r="B63" s="527" t="s">
        <v>2534</v>
      </c>
      <c r="C63" s="528">
        <f>C9</f>
        <v>0</v>
      </c>
      <c r="D63" s="529"/>
      <c r="E63" s="529"/>
      <c r="F63" s="529"/>
      <c r="G63" s="529"/>
      <c r="H63" s="529"/>
      <c r="I63" s="529"/>
      <c r="J63" s="529"/>
      <c r="K63" s="530"/>
      <c r="L63" s="531"/>
      <c r="M63" s="532"/>
      <c r="N63" s="1147"/>
      <c r="O63" s="1147"/>
      <c r="P63" s="2614"/>
      <c r="Q63" s="503"/>
    </row>
    <row r="64" spans="1:29" ht="15.75" thickBot="1">
      <c r="A64" s="533"/>
      <c r="B64" s="534"/>
      <c r="C64" s="535">
        <v>100</v>
      </c>
      <c r="D64" s="535"/>
      <c r="E64" s="535"/>
      <c r="F64" s="535"/>
      <c r="G64" s="535"/>
      <c r="H64" s="535"/>
      <c r="I64" s="535"/>
      <c r="J64" s="535"/>
      <c r="K64" s="535"/>
      <c r="L64" s="535"/>
      <c r="M64" s="536"/>
      <c r="N64" s="1148"/>
      <c r="O64" s="1148"/>
      <c r="P64" s="2614"/>
      <c r="Q64" s="503"/>
    </row>
    <row r="65" spans="1:17" ht="27.75" thickTop="1">
      <c r="A65" s="533"/>
      <c r="B65" s="537" t="s">
        <v>2537</v>
      </c>
      <c r="C65" s="538" t="s">
        <v>2569</v>
      </c>
      <c r="D65" s="538" t="s">
        <v>2570</v>
      </c>
      <c r="E65" s="538" t="s">
        <v>2571</v>
      </c>
      <c r="F65" s="538" t="s">
        <v>2572</v>
      </c>
      <c r="G65" s="538" t="s">
        <v>2573</v>
      </c>
      <c r="H65" s="538" t="s">
        <v>2574</v>
      </c>
      <c r="I65" s="538" t="s">
        <v>2575</v>
      </c>
      <c r="J65" s="538"/>
      <c r="K65" s="539"/>
      <c r="L65" s="540"/>
      <c r="M65" s="541"/>
      <c r="N65" s="1147"/>
      <c r="O65" s="1147"/>
      <c r="P65" s="261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8"/>
      <c r="O66" s="1148"/>
      <c r="P66" s="2614"/>
      <c r="Q66" s="503"/>
    </row>
    <row r="67" spans="1:17" ht="15.75" thickTop="1">
      <c r="A67" s="533"/>
      <c r="B67" s="545" t="s">
        <v>2538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8"/>
      <c r="O67" s="1148"/>
      <c r="P67" s="2614"/>
      <c r="Q67" s="503"/>
    </row>
    <row r="68" spans="1:17" ht="15">
      <c r="A68" s="533"/>
      <c r="B68" s="547"/>
      <c r="C68" s="548"/>
      <c r="D68" s="548"/>
      <c r="E68" s="548"/>
      <c r="F68" s="548"/>
      <c r="G68" s="548"/>
      <c r="H68" s="548"/>
      <c r="I68" s="548"/>
      <c r="J68" s="548"/>
      <c r="K68" s="549"/>
      <c r="L68" s="550"/>
      <c r="M68" s="551"/>
      <c r="N68" s="1147"/>
      <c r="O68" s="1147"/>
      <c r="P68" s="261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8"/>
      <c r="O69" s="1148"/>
      <c r="P69" s="2614"/>
      <c r="Q69" s="503"/>
    </row>
    <row r="70" spans="1:17" s="470" customFormat="1" ht="15.75" thickTop="1">
      <c r="A70" s="552"/>
      <c r="B70" s="537">
        <f>B12</f>
        <v>111</v>
      </c>
      <c r="C70" s="553"/>
      <c r="D70" s="553"/>
      <c r="E70" s="553"/>
      <c r="F70" s="553"/>
      <c r="G70" s="553"/>
      <c r="H70" s="554"/>
      <c r="I70" s="554"/>
      <c r="J70" s="554"/>
      <c r="K70" s="554"/>
      <c r="L70" s="555"/>
      <c r="M70" s="556"/>
      <c r="N70" s="1149"/>
      <c r="O70" s="1149"/>
      <c r="P70" s="2615"/>
      <c r="Q70" s="558"/>
    </row>
    <row r="71" spans="1:17" s="470" customFormat="1" ht="15.75" thickBot="1">
      <c r="A71" s="552"/>
      <c r="B71" s="542"/>
      <c r="C71" s="559"/>
      <c r="D71" s="535"/>
      <c r="E71" s="535"/>
      <c r="F71" s="535"/>
      <c r="G71" s="535"/>
      <c r="H71" s="535"/>
      <c r="I71" s="535"/>
      <c r="J71" s="535"/>
      <c r="K71" s="535"/>
      <c r="L71" s="535"/>
      <c r="M71" s="536"/>
      <c r="N71" s="1148"/>
      <c r="O71" s="1148"/>
      <c r="P71" s="2615"/>
      <c r="Q71" s="558"/>
    </row>
    <row r="72" spans="1:17" s="470" customFormat="1" ht="15.75" thickTop="1">
      <c r="A72" s="552"/>
      <c r="B72" s="537">
        <f>B13</f>
        <v>111</v>
      </c>
      <c r="C72" s="553"/>
      <c r="D72" s="553"/>
      <c r="E72" s="553"/>
      <c r="F72" s="553"/>
      <c r="G72" s="553"/>
      <c r="H72" s="554"/>
      <c r="I72" s="554"/>
      <c r="J72" s="554"/>
      <c r="K72" s="554"/>
      <c r="L72" s="555"/>
      <c r="M72" s="556"/>
      <c r="N72" s="1149"/>
      <c r="O72" s="1149"/>
      <c r="P72" s="2616"/>
      <c r="Q72" s="560"/>
    </row>
    <row r="73" spans="1:17" s="470" customFormat="1" ht="15.75" thickBot="1">
      <c r="A73" s="552"/>
      <c r="B73" s="542"/>
      <c r="C73" s="559"/>
      <c r="D73" s="559"/>
      <c r="E73" s="559"/>
      <c r="F73" s="559"/>
      <c r="G73" s="559"/>
      <c r="H73" s="561"/>
      <c r="I73" s="561"/>
      <c r="J73" s="561"/>
      <c r="K73" s="561"/>
      <c r="L73" s="561"/>
      <c r="M73" s="562"/>
      <c r="N73" s="1149"/>
      <c r="O73" s="1149"/>
      <c r="P73" s="2615"/>
      <c r="Q73" s="558"/>
    </row>
    <row r="74" spans="1:17" s="470" customFormat="1" ht="15.75" thickTop="1">
      <c r="A74" s="552"/>
      <c r="B74" s="545">
        <f>B14</f>
        <v>111</v>
      </c>
      <c r="C74" s="553"/>
      <c r="D74" s="553"/>
      <c r="E74" s="553"/>
      <c r="F74" s="553"/>
      <c r="G74" s="522"/>
      <c r="H74" s="563"/>
      <c r="I74" s="563"/>
      <c r="J74" s="563"/>
      <c r="K74" s="563"/>
      <c r="L74" s="564"/>
      <c r="M74" s="565"/>
      <c r="N74" s="1149"/>
      <c r="O74" s="1149"/>
      <c r="P74" s="2617"/>
      <c r="Q74" s="558"/>
    </row>
    <row r="75" spans="1:17" s="470" customFormat="1" ht="15.75" thickBot="1">
      <c r="A75" s="567"/>
      <c r="B75" s="568"/>
      <c r="C75" s="569"/>
      <c r="D75" s="569"/>
      <c r="E75" s="569"/>
      <c r="F75" s="569"/>
      <c r="G75" s="569"/>
      <c r="H75" s="570"/>
      <c r="I75" s="570"/>
      <c r="J75" s="570"/>
      <c r="K75" s="570"/>
      <c r="L75" s="570"/>
      <c r="M75" s="571"/>
      <c r="N75" s="1149"/>
      <c r="O75" s="1149"/>
      <c r="P75" s="2615"/>
      <c r="Q75" s="558"/>
    </row>
    <row r="76" spans="1:17">
      <c r="A76" s="526" t="s">
        <v>2539</v>
      </c>
      <c r="B76" s="527" t="s">
        <v>2576</v>
      </c>
      <c r="C76" s="572" t="s">
        <v>2577</v>
      </c>
      <c r="D76" s="572" t="s">
        <v>2578</v>
      </c>
      <c r="E76" s="572" t="s">
        <v>2579</v>
      </c>
      <c r="F76" s="572" t="s">
        <v>2580</v>
      </c>
      <c r="G76" s="572" t="s">
        <v>2581</v>
      </c>
      <c r="H76" s="528"/>
      <c r="I76" s="528"/>
      <c r="J76" s="528"/>
      <c r="K76" s="573"/>
      <c r="L76" s="574"/>
      <c r="M76" s="575"/>
      <c r="N76" s="1147"/>
      <c r="O76" s="1147"/>
      <c r="P76" s="261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8"/>
      <c r="O77" s="1148"/>
      <c r="P77" s="2614"/>
      <c r="Q77" s="503"/>
    </row>
    <row r="78" spans="1:17" ht="15.75" thickTop="1">
      <c r="A78" s="533"/>
      <c r="B78" s="537" t="s">
        <v>2582</v>
      </c>
      <c r="C78" s="577" t="s">
        <v>2577</v>
      </c>
      <c r="D78" s="577" t="s">
        <v>2578</v>
      </c>
      <c r="E78" s="577" t="s">
        <v>2579</v>
      </c>
      <c r="F78" s="577" t="s">
        <v>2580</v>
      </c>
      <c r="G78" s="577" t="s">
        <v>2581</v>
      </c>
      <c r="H78" s="538"/>
      <c r="I78" s="538"/>
      <c r="J78" s="538"/>
      <c r="K78" s="539"/>
      <c r="L78" s="540"/>
      <c r="M78" s="541"/>
      <c r="N78" s="1147"/>
      <c r="O78" s="1147"/>
      <c r="P78" s="261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8"/>
      <c r="O79" s="1148"/>
      <c r="P79" s="2614"/>
      <c r="Q79" s="503"/>
    </row>
    <row r="80" spans="1:17" ht="15.75" thickTop="1">
      <c r="A80" s="533"/>
      <c r="B80" s="537" t="s">
        <v>2583</v>
      </c>
      <c r="C80" s="577" t="s">
        <v>2577</v>
      </c>
      <c r="D80" s="577" t="s">
        <v>2578</v>
      </c>
      <c r="E80" s="577" t="s">
        <v>2579</v>
      </c>
      <c r="F80" s="577" t="s">
        <v>2580</v>
      </c>
      <c r="G80" s="577" t="s">
        <v>2581</v>
      </c>
      <c r="H80" s="538"/>
      <c r="I80" s="538"/>
      <c r="J80" s="538"/>
      <c r="K80" s="539"/>
      <c r="L80" s="540"/>
      <c r="M80" s="541"/>
      <c r="N80" s="1147"/>
      <c r="O80" s="1147"/>
      <c r="P80" s="261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8"/>
      <c r="O81" s="1148"/>
      <c r="P81" s="2614"/>
      <c r="Q81" s="503"/>
    </row>
    <row r="82" spans="1:17" ht="15.75" thickTop="1">
      <c r="A82" s="533"/>
      <c r="B82" s="545" t="s">
        <v>2088</v>
      </c>
      <c r="C82" s="538" t="s">
        <v>2584</v>
      </c>
      <c r="D82" s="538" t="s">
        <v>2585</v>
      </c>
      <c r="E82" s="538" t="s">
        <v>2586</v>
      </c>
      <c r="F82" s="538" t="s">
        <v>2587</v>
      </c>
      <c r="G82" s="538" t="s">
        <v>2588</v>
      </c>
      <c r="H82" s="538"/>
      <c r="I82" s="538"/>
      <c r="J82" s="538"/>
      <c r="K82" s="538"/>
      <c r="L82" s="538"/>
      <c r="M82" s="1377"/>
      <c r="N82" s="1148"/>
      <c r="O82" s="1148"/>
      <c r="P82" s="2614"/>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48"/>
      <c r="O83" s="1148"/>
      <c r="P83" s="2614"/>
      <c r="Q83" s="503"/>
    </row>
    <row r="84" spans="1:17" ht="15.75" thickTop="1">
      <c r="A84" s="533"/>
      <c r="B84" s="537" t="s">
        <v>2589</v>
      </c>
      <c r="C84" s="577" t="s">
        <v>2577</v>
      </c>
      <c r="D84" s="577" t="s">
        <v>2578</v>
      </c>
      <c r="E84" s="577" t="s">
        <v>2579</v>
      </c>
      <c r="F84" s="577" t="s">
        <v>2580</v>
      </c>
      <c r="G84" s="577" t="s">
        <v>2581</v>
      </c>
      <c r="H84" s="538"/>
      <c r="I84" s="538"/>
      <c r="J84" s="538"/>
      <c r="K84" s="539"/>
      <c r="L84" s="540"/>
      <c r="M84" s="541"/>
      <c r="N84" s="1147"/>
      <c r="O84" s="1147"/>
      <c r="P84" s="261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8"/>
      <c r="O85" s="1148"/>
      <c r="P85" s="2614"/>
      <c r="Q85" s="503"/>
    </row>
    <row r="86" spans="1:17" s="117" customFormat="1" ht="15.75" thickTop="1">
      <c r="A86" s="578"/>
      <c r="B86" s="537" t="s">
        <v>2590</v>
      </c>
      <c r="C86" s="553"/>
      <c r="D86" s="553"/>
      <c r="E86" s="553"/>
      <c r="F86" s="553"/>
      <c r="G86" s="553"/>
      <c r="H86" s="553"/>
      <c r="I86" s="553"/>
      <c r="J86" s="553"/>
      <c r="K86" s="553"/>
      <c r="L86" s="579"/>
      <c r="M86" s="580"/>
      <c r="N86" s="1146"/>
      <c r="O86" s="1146"/>
      <c r="P86" s="2614"/>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8"/>
      <c r="O87" s="1148"/>
      <c r="P87" s="2614"/>
      <c r="Q87" s="503"/>
    </row>
    <row r="88" spans="1:17" s="117" customFormat="1" ht="15.75" thickTop="1">
      <c r="A88" s="578"/>
      <c r="B88" s="537" t="s">
        <v>2591</v>
      </c>
      <c r="C88" s="553"/>
      <c r="D88" s="553"/>
      <c r="E88" s="553"/>
      <c r="F88" s="2619"/>
      <c r="G88" s="553"/>
      <c r="H88" s="553"/>
      <c r="I88" s="553"/>
      <c r="J88" s="553"/>
      <c r="K88" s="553"/>
      <c r="L88" s="553"/>
      <c r="M88" s="580"/>
      <c r="N88" s="1146"/>
      <c r="O88" s="1146"/>
      <c r="P88" s="2614"/>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8"/>
      <c r="O89" s="1148"/>
      <c r="P89" s="2614"/>
      <c r="Q89" s="503"/>
    </row>
    <row r="90" spans="1:17" s="470" customFormat="1" ht="15.75" thickTop="1">
      <c r="A90" s="552"/>
      <c r="B90" s="537">
        <f>B27</f>
        <v>111</v>
      </c>
      <c r="C90" s="553"/>
      <c r="D90" s="553"/>
      <c r="E90" s="553"/>
      <c r="F90" s="553"/>
      <c r="G90" s="553"/>
      <c r="H90" s="554"/>
      <c r="I90" s="554"/>
      <c r="J90" s="554"/>
      <c r="K90" s="554"/>
      <c r="L90" s="555"/>
      <c r="M90" s="556"/>
      <c r="N90" s="1149"/>
      <c r="O90" s="1149"/>
      <c r="P90" s="2615"/>
      <c r="Q90" s="558"/>
    </row>
    <row r="91" spans="1:17" s="470" customFormat="1" ht="15.75" thickBot="1">
      <c r="A91" s="552"/>
      <c r="B91" s="542"/>
      <c r="C91" s="559"/>
      <c r="D91" s="559"/>
      <c r="E91" s="559"/>
      <c r="F91" s="559"/>
      <c r="G91" s="559"/>
      <c r="H91" s="561"/>
      <c r="I91" s="561"/>
      <c r="J91" s="561"/>
      <c r="K91" s="561"/>
      <c r="L91" s="561"/>
      <c r="M91" s="562"/>
      <c r="N91" s="1149"/>
      <c r="O91" s="1149"/>
      <c r="P91" s="2615"/>
      <c r="Q91" s="558"/>
    </row>
    <row r="92" spans="1:17" ht="15.75" thickTop="1">
      <c r="A92" s="533"/>
      <c r="B92" s="537">
        <f>B28</f>
        <v>111</v>
      </c>
      <c r="C92" s="553"/>
      <c r="D92" s="553"/>
      <c r="E92" s="553"/>
      <c r="F92" s="553"/>
      <c r="G92" s="582"/>
      <c r="H92" s="582"/>
      <c r="I92" s="582"/>
      <c r="J92" s="582"/>
      <c r="K92" s="583"/>
      <c r="L92" s="584"/>
      <c r="M92" s="585"/>
      <c r="N92" s="1147"/>
      <c r="O92" s="1147"/>
      <c r="P92" s="2614"/>
      <c r="Q92" s="503"/>
    </row>
    <row r="93" spans="1:17" ht="15.75" thickBot="1">
      <c r="A93" s="533"/>
      <c r="B93" s="542"/>
      <c r="C93" s="559"/>
      <c r="D93" s="535"/>
      <c r="E93" s="535"/>
      <c r="F93" s="535"/>
      <c r="G93" s="535"/>
      <c r="H93" s="535"/>
      <c r="I93" s="535"/>
      <c r="J93" s="535"/>
      <c r="K93" s="535"/>
      <c r="L93" s="535"/>
      <c r="M93" s="536"/>
      <c r="N93" s="1148"/>
      <c r="O93" s="1148"/>
      <c r="P93" s="2614"/>
      <c r="Q93" s="503"/>
    </row>
    <row r="94" spans="1:17" ht="15.75" thickTop="1">
      <c r="A94" s="533"/>
      <c r="B94" s="537">
        <f>B29</f>
        <v>111</v>
      </c>
      <c r="C94" s="553"/>
      <c r="D94" s="553"/>
      <c r="E94" s="553"/>
      <c r="F94" s="553"/>
      <c r="G94" s="582"/>
      <c r="H94" s="582"/>
      <c r="I94" s="582"/>
      <c r="J94" s="582"/>
      <c r="K94" s="583"/>
      <c r="L94" s="584"/>
      <c r="M94" s="585"/>
      <c r="N94" s="1147"/>
      <c r="O94" s="1147"/>
      <c r="P94" s="2614"/>
      <c r="Q94" s="503"/>
    </row>
    <row r="95" spans="1:17" ht="15.75" thickBot="1">
      <c r="A95" s="533"/>
      <c r="B95" s="542"/>
      <c r="C95" s="559"/>
      <c r="D95" s="559"/>
      <c r="E95" s="559"/>
      <c r="F95" s="559"/>
      <c r="G95" s="535"/>
      <c r="H95" s="535"/>
      <c r="I95" s="535"/>
      <c r="J95" s="535"/>
      <c r="K95" s="535"/>
      <c r="L95" s="535"/>
      <c r="M95" s="536"/>
      <c r="N95" s="1148"/>
      <c r="O95" s="1148"/>
      <c r="P95" s="2614"/>
      <c r="Q95" s="503"/>
    </row>
    <row r="96" spans="1:17" ht="15.75" thickTop="1">
      <c r="A96" s="533"/>
      <c r="B96" s="537">
        <f>B30</f>
        <v>111</v>
      </c>
      <c r="C96" s="553"/>
      <c r="D96" s="553"/>
      <c r="E96" s="553"/>
      <c r="F96" s="553"/>
      <c r="G96" s="582"/>
      <c r="H96" s="582"/>
      <c r="I96" s="582"/>
      <c r="J96" s="582"/>
      <c r="K96" s="583"/>
      <c r="L96" s="584"/>
      <c r="M96" s="585"/>
      <c r="N96" s="1147"/>
      <c r="O96" s="1147"/>
      <c r="P96" s="2614"/>
      <c r="Q96" s="503"/>
    </row>
    <row r="97" spans="1:17" ht="15.75" thickBot="1">
      <c r="A97" s="533"/>
      <c r="B97" s="542"/>
      <c r="C97" s="569"/>
      <c r="D97" s="569"/>
      <c r="E97" s="569"/>
      <c r="F97" s="569"/>
      <c r="G97" s="535"/>
      <c r="H97" s="535"/>
      <c r="I97" s="535"/>
      <c r="J97" s="535"/>
      <c r="K97" s="535"/>
      <c r="L97" s="535"/>
      <c r="M97" s="536"/>
      <c r="N97" s="1148"/>
      <c r="O97" s="1148"/>
      <c r="P97" s="2614"/>
      <c r="Q97" s="503"/>
    </row>
    <row r="98" spans="1:17" ht="15.75" thickTop="1">
      <c r="A98" s="533"/>
      <c r="B98" s="545">
        <f>B31</f>
        <v>111</v>
      </c>
      <c r="C98" s="586"/>
      <c r="D98" s="586"/>
      <c r="E98" s="586"/>
      <c r="F98" s="586"/>
      <c r="G98" s="586"/>
      <c r="H98" s="586"/>
      <c r="I98" s="586"/>
      <c r="J98" s="586"/>
      <c r="K98" s="587"/>
      <c r="L98" s="588"/>
      <c r="M98" s="589"/>
      <c r="N98" s="1147"/>
      <c r="O98" s="1147"/>
      <c r="P98" s="2614"/>
      <c r="Q98" s="503"/>
    </row>
    <row r="99" spans="1:17" ht="15.75" thickBot="1">
      <c r="A99" s="2620"/>
      <c r="B99" s="568"/>
      <c r="C99" s="590"/>
      <c r="D99" s="590"/>
      <c r="E99" s="590"/>
      <c r="F99" s="590"/>
      <c r="G99" s="590"/>
      <c r="H99" s="590"/>
      <c r="I99" s="590"/>
      <c r="J99" s="590"/>
      <c r="K99" s="590"/>
      <c r="L99" s="590"/>
      <c r="M99" s="591"/>
      <c r="N99" s="1148"/>
      <c r="O99" s="1148"/>
      <c r="P99" s="2614"/>
      <c r="Q99" s="503"/>
    </row>
    <row r="100" spans="1:17">
      <c r="A100" s="526" t="s">
        <v>2543</v>
      </c>
      <c r="B100" s="527" t="s">
        <v>2592</v>
      </c>
      <c r="C100" s="529"/>
      <c r="D100" s="529"/>
      <c r="E100" s="529"/>
      <c r="F100" s="529"/>
      <c r="G100" s="529"/>
      <c r="H100" s="529"/>
      <c r="I100" s="529"/>
      <c r="J100" s="529"/>
      <c r="K100" s="530"/>
      <c r="L100" s="531"/>
      <c r="M100" s="532"/>
      <c r="N100" s="1147"/>
      <c r="O100" s="1147"/>
      <c r="P100" s="261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8"/>
      <c r="O101" s="1148"/>
      <c r="P101" s="2614"/>
      <c r="Q101" s="503"/>
    </row>
    <row r="102" spans="1:17" ht="15.75" thickTop="1">
      <c r="A102" s="533"/>
      <c r="B102" s="537" t="s">
        <v>2593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6"/>
      <c r="O102" s="1146"/>
      <c r="P102" s="2614"/>
      <c r="Q102" s="503"/>
    </row>
    <row r="103" spans="1:17" s="470" customFormat="1">
      <c r="A103" s="592"/>
      <c r="B103" s="593"/>
      <c r="C103" s="594"/>
      <c r="D103" s="594"/>
      <c r="E103" s="594"/>
      <c r="F103" s="594"/>
      <c r="G103" s="594"/>
      <c r="H103" s="594"/>
      <c r="I103" s="594"/>
      <c r="J103" s="595"/>
      <c r="K103" s="595"/>
      <c r="L103" s="596"/>
      <c r="M103" s="597"/>
      <c r="N103" s="1149"/>
      <c r="O103" s="1149"/>
      <c r="P103" s="2615"/>
      <c r="Q103" s="558"/>
    </row>
    <row r="104" spans="1:17" s="470" customFormat="1" ht="15.75" thickBot="1">
      <c r="A104" s="552"/>
      <c r="B104" s="542"/>
      <c r="C104" s="559"/>
      <c r="D104" s="535"/>
      <c r="E104" s="535"/>
      <c r="F104" s="535"/>
      <c r="G104" s="535"/>
      <c r="H104" s="535"/>
      <c r="I104" s="535"/>
      <c r="J104" s="535"/>
      <c r="K104" s="535"/>
      <c r="L104" s="535"/>
      <c r="M104" s="535"/>
      <c r="N104" s="1148"/>
      <c r="O104" s="1148"/>
      <c r="P104" s="2615"/>
      <c r="Q104" s="558"/>
    </row>
    <row r="105" spans="1:17" ht="15" thickTop="1">
      <c r="A105" s="598"/>
      <c r="B105" s="537" t="s">
        <v>2594</v>
      </c>
      <c r="C105" s="553"/>
      <c r="D105" s="553"/>
      <c r="E105" s="582"/>
      <c r="F105" s="582"/>
      <c r="G105" s="582"/>
      <c r="H105" s="582"/>
      <c r="I105" s="582"/>
      <c r="J105" s="582"/>
      <c r="K105" s="583"/>
      <c r="L105" s="584"/>
      <c r="M105" s="585"/>
      <c r="N105" s="1147"/>
      <c r="O105" s="1147"/>
      <c r="P105" s="261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8"/>
      <c r="O106" s="1148"/>
      <c r="P106" s="2614"/>
      <c r="Q106" s="503"/>
    </row>
    <row r="107" spans="1:17" ht="15" thickTop="1">
      <c r="A107" s="598"/>
      <c r="B107" s="537" t="s">
        <v>2595</v>
      </c>
      <c r="C107" s="582"/>
      <c r="D107" s="582"/>
      <c r="E107" s="582"/>
      <c r="F107" s="582"/>
      <c r="G107" s="582"/>
      <c r="H107" s="582"/>
      <c r="I107" s="582"/>
      <c r="J107" s="582"/>
      <c r="K107" s="583"/>
      <c r="L107" s="584"/>
      <c r="M107" s="585"/>
      <c r="N107" s="1147"/>
      <c r="O107" s="1147"/>
      <c r="P107" s="261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8"/>
      <c r="O108" s="1148"/>
      <c r="P108" s="2614"/>
      <c r="Q108" s="503"/>
    </row>
    <row r="109" spans="1:17" ht="15" thickTop="1">
      <c r="A109" s="598"/>
      <c r="B109" s="537" t="s">
        <v>2596</v>
      </c>
      <c r="C109" s="553"/>
      <c r="D109" s="553"/>
      <c r="E109" s="553"/>
      <c r="F109" s="582"/>
      <c r="G109" s="582"/>
      <c r="H109" s="582"/>
      <c r="I109" s="582"/>
      <c r="J109" s="582"/>
      <c r="K109" s="583"/>
      <c r="L109" s="584"/>
      <c r="M109" s="585"/>
      <c r="N109" s="1147"/>
      <c r="O109" s="1147"/>
      <c r="P109" s="261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8"/>
      <c r="O110" s="1148"/>
      <c r="P110" s="2614"/>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9"/>
      <c r="O111" s="1149"/>
      <c r="P111" s="261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9"/>
      <c r="O112" s="1149"/>
      <c r="P112" s="261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9"/>
      <c r="O113" s="1149"/>
      <c r="P113" s="2615"/>
      <c r="Q113" s="558"/>
    </row>
    <row r="114" spans="1:17" ht="15" thickTop="1">
      <c r="A114" s="598"/>
      <c r="B114" s="537" t="s">
        <v>2597</v>
      </c>
      <c r="C114" s="553"/>
      <c r="D114" s="553"/>
      <c r="E114" s="582"/>
      <c r="F114" s="582"/>
      <c r="G114" s="582"/>
      <c r="H114" s="582"/>
      <c r="I114" s="582"/>
      <c r="J114" s="582"/>
      <c r="K114" s="583"/>
      <c r="L114" s="584"/>
      <c r="M114" s="585"/>
      <c r="N114" s="1147"/>
      <c r="O114" s="1147"/>
      <c r="P114" s="261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8"/>
      <c r="O115" s="1148"/>
      <c r="P115" s="2614"/>
      <c r="Q115" s="503"/>
    </row>
    <row r="116" spans="1:17" ht="15" thickTop="1">
      <c r="A116" s="598"/>
      <c r="B116" s="537" t="s">
        <v>2598</v>
      </c>
      <c r="C116" s="553"/>
      <c r="D116" s="553"/>
      <c r="E116" s="553"/>
      <c r="F116" s="553"/>
      <c r="G116" s="553"/>
      <c r="H116" s="582"/>
      <c r="I116" s="582"/>
      <c r="J116" s="582"/>
      <c r="K116" s="583"/>
      <c r="L116" s="584"/>
      <c r="M116" s="585"/>
      <c r="N116" s="1147"/>
      <c r="O116" s="1147"/>
      <c r="P116" s="261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8"/>
      <c r="O117" s="1148"/>
      <c r="P117" s="2614"/>
      <c r="Q117" s="503"/>
    </row>
    <row r="118" spans="1:17" ht="15" thickTop="1">
      <c r="A118" s="598"/>
      <c r="B118" s="537" t="s">
        <v>2599</v>
      </c>
      <c r="C118" s="582"/>
      <c r="D118" s="582"/>
      <c r="E118" s="582"/>
      <c r="F118" s="582"/>
      <c r="G118" s="582"/>
      <c r="H118" s="582"/>
      <c r="I118" s="582"/>
      <c r="J118" s="582"/>
      <c r="K118" s="583"/>
      <c r="L118" s="584"/>
      <c r="M118" s="585"/>
      <c r="N118" s="1147"/>
      <c r="O118" s="1147"/>
      <c r="P118" s="261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8"/>
      <c r="O119" s="1148"/>
      <c r="P119" s="2614"/>
      <c r="Q119" s="503"/>
    </row>
    <row r="120" spans="1:17" s="470" customFormat="1" ht="28.5" thickTop="1">
      <c r="A120" s="592"/>
      <c r="B120" s="537" t="s">
        <v>2554</v>
      </c>
      <c r="C120" s="553"/>
      <c r="D120" s="553"/>
      <c r="E120" s="553"/>
      <c r="F120" s="553"/>
      <c r="G120" s="553"/>
      <c r="H120" s="553"/>
      <c r="I120" s="553"/>
      <c r="J120" s="553"/>
      <c r="K120" s="553"/>
      <c r="L120" s="579"/>
      <c r="M120" s="580"/>
      <c r="N120" s="1149"/>
      <c r="O120" s="1149"/>
      <c r="P120" s="2615"/>
      <c r="Q120" s="558"/>
    </row>
    <row r="121" spans="1:17" s="470" customFormat="1" ht="15.75" thickBot="1">
      <c r="A121" s="552"/>
      <c r="B121" s="534"/>
      <c r="C121" s="559"/>
      <c r="D121" s="535"/>
      <c r="E121" s="535"/>
      <c r="F121" s="535"/>
      <c r="G121" s="535"/>
      <c r="H121" s="535"/>
      <c r="I121" s="535"/>
      <c r="J121" s="535"/>
      <c r="K121" s="535"/>
      <c r="L121" s="535"/>
      <c r="M121" s="535"/>
      <c r="N121" s="1149"/>
      <c r="O121" s="1149"/>
      <c r="P121" s="2615"/>
      <c r="Q121" s="558"/>
    </row>
    <row r="122" spans="1:17" ht="15" thickTop="1">
      <c r="A122" s="598"/>
      <c r="B122" s="537" t="s">
        <v>2600</v>
      </c>
      <c r="C122" s="553"/>
      <c r="D122" s="553"/>
      <c r="E122" s="553"/>
      <c r="F122" s="582"/>
      <c r="G122" s="582"/>
      <c r="H122" s="582"/>
      <c r="I122" s="582"/>
      <c r="J122" s="582"/>
      <c r="K122" s="583"/>
      <c r="L122" s="584"/>
      <c r="M122" s="585"/>
      <c r="N122" s="1147"/>
      <c r="O122" s="1147"/>
      <c r="P122" s="261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8"/>
      <c r="O123" s="1148"/>
      <c r="P123" s="2614"/>
      <c r="Q123" s="503"/>
    </row>
    <row r="124" spans="1:17" ht="15" thickTop="1">
      <c r="A124" s="598"/>
      <c r="B124" s="537" t="s">
        <v>2601</v>
      </c>
      <c r="C124" s="577" t="s">
        <v>2577</v>
      </c>
      <c r="D124" s="577" t="s">
        <v>2578</v>
      </c>
      <c r="E124" s="577" t="s">
        <v>2579</v>
      </c>
      <c r="F124" s="577" t="s">
        <v>2580</v>
      </c>
      <c r="G124" s="577" t="s">
        <v>2581</v>
      </c>
      <c r="H124" s="538"/>
      <c r="I124" s="538"/>
      <c r="J124" s="538"/>
      <c r="K124" s="539"/>
      <c r="L124" s="540"/>
      <c r="M124" s="541"/>
      <c r="N124" s="1147"/>
      <c r="O124" s="1147"/>
      <c r="P124" s="261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14"/>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15"/>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15"/>
      <c r="Q127" s="558"/>
    </row>
    <row r="128" spans="1:17" ht="15" thickTop="1">
      <c r="A128" s="598"/>
      <c r="B128" s="537">
        <f>B45</f>
        <v>111</v>
      </c>
      <c r="C128" s="553"/>
      <c r="D128" s="553"/>
      <c r="E128" s="553"/>
      <c r="F128" s="553"/>
      <c r="G128" s="582"/>
      <c r="H128" s="582"/>
      <c r="I128" s="582"/>
      <c r="J128" s="582"/>
      <c r="K128" s="583"/>
      <c r="L128" s="584"/>
      <c r="M128" s="585"/>
      <c r="N128" s="1147"/>
      <c r="O128" s="1147"/>
      <c r="P128" s="2614"/>
      <c r="Q128" s="503"/>
    </row>
    <row r="129" spans="1:17" ht="15.75" thickBot="1">
      <c r="A129" s="533"/>
      <c r="B129" s="542"/>
      <c r="C129" s="559"/>
      <c r="D129" s="559"/>
      <c r="E129" s="559"/>
      <c r="F129" s="559"/>
      <c r="G129" s="535"/>
      <c r="H129" s="535"/>
      <c r="I129" s="535"/>
      <c r="J129" s="535"/>
      <c r="K129" s="535"/>
      <c r="L129" s="535"/>
      <c r="M129" s="536"/>
      <c r="N129" s="1148"/>
      <c r="O129" s="1148"/>
      <c r="P129" s="2614"/>
      <c r="Q129" s="503"/>
    </row>
    <row r="130" spans="1:17" ht="15" thickTop="1">
      <c r="A130" s="598"/>
      <c r="B130" s="545">
        <f>B46</f>
        <v>111</v>
      </c>
      <c r="C130" s="553"/>
      <c r="D130" s="553"/>
      <c r="E130" s="553"/>
      <c r="F130" s="553"/>
      <c r="G130" s="586"/>
      <c r="H130" s="586"/>
      <c r="I130" s="586"/>
      <c r="J130" s="586"/>
      <c r="K130" s="522"/>
      <c r="L130" s="523"/>
      <c r="M130" s="589"/>
      <c r="N130" s="1147"/>
      <c r="O130" s="1147"/>
      <c r="P130" s="2614"/>
      <c r="Q130" s="503"/>
    </row>
    <row r="131" spans="1:17" ht="15.75" thickBot="1">
      <c r="A131" s="2620"/>
      <c r="B131" s="568"/>
      <c r="C131" s="569"/>
      <c r="D131" s="569"/>
      <c r="E131" s="569"/>
      <c r="F131" s="569"/>
      <c r="G131" s="590"/>
      <c r="H131" s="590"/>
      <c r="I131" s="590"/>
      <c r="J131" s="590"/>
      <c r="K131" s="590"/>
      <c r="L131" s="590"/>
      <c r="M131" s="591"/>
      <c r="N131" s="1148"/>
      <c r="O131" s="1148"/>
      <c r="P131" s="2614"/>
      <c r="Q131" s="503"/>
    </row>
    <row r="136" spans="1:17" ht="15" thickBot="1">
      <c r="B136" s="2621" t="s">
        <v>2602</v>
      </c>
    </row>
    <row r="137" spans="1:17" ht="15">
      <c r="B137" s="2622" t="s">
        <v>2603</v>
      </c>
      <c r="C137" s="2623"/>
      <c r="D137" s="2623"/>
      <c r="E137" s="2623"/>
      <c r="F137" s="2623"/>
      <c r="G137" s="2624"/>
      <c r="H137" s="2625"/>
      <c r="I137" s="2626" t="s">
        <v>2604</v>
      </c>
      <c r="J137" s="2623"/>
      <c r="K137" s="2627"/>
    </row>
    <row r="138" spans="1:17" ht="15">
      <c r="B138" s="2628"/>
      <c r="C138" s="145" t="s">
        <v>2605</v>
      </c>
      <c r="D138" s="145" t="s">
        <v>2606</v>
      </c>
      <c r="E138" s="2629" t="s">
        <v>2607</v>
      </c>
      <c r="F138" s="2630" t="s">
        <v>2608</v>
      </c>
      <c r="G138" s="145" t="s">
        <v>2606</v>
      </c>
      <c r="H138" s="146" t="s">
        <v>2607</v>
      </c>
      <c r="I138" s="2631"/>
      <c r="J138" s="145" t="s">
        <v>2609</v>
      </c>
      <c r="K138" s="146" t="s">
        <v>2610</v>
      </c>
    </row>
    <row r="139" spans="1:17" ht="15">
      <c r="B139" s="1079">
        <v>6</v>
      </c>
      <c r="C139" s="1080">
        <v>96</v>
      </c>
      <c r="D139" s="2632" t="s">
        <v>2611</v>
      </c>
      <c r="E139" s="1081">
        <v>100</v>
      </c>
      <c r="F139" s="1082">
        <v>102.5</v>
      </c>
      <c r="G139" s="2632" t="s">
        <v>2611</v>
      </c>
      <c r="H139" s="1083">
        <v>105</v>
      </c>
      <c r="I139" s="2633" t="s">
        <v>2612</v>
      </c>
      <c r="J139" s="1080">
        <v>20</v>
      </c>
      <c r="K139" s="1084">
        <f>C145/(J139-2)</f>
        <v>4.0555555555555553E-3</v>
      </c>
    </row>
    <row r="140" spans="1:17" ht="15">
      <c r="B140" s="1085">
        <v>5</v>
      </c>
      <c r="C140" s="1086">
        <v>100</v>
      </c>
      <c r="D140" s="1086"/>
      <c r="E140" s="1087"/>
      <c r="F140" s="1088">
        <v>102</v>
      </c>
      <c r="G140" s="1086"/>
      <c r="H140" s="1089"/>
      <c r="I140" s="2634" t="s">
        <v>2613</v>
      </c>
      <c r="J140" s="314">
        <f>ROUNDUP((J139-1)/2,0)</f>
        <v>10</v>
      </c>
      <c r="K140" s="1090">
        <v>100</v>
      </c>
    </row>
    <row r="141" spans="1:17" ht="15">
      <c r="B141" s="1085">
        <v>4</v>
      </c>
      <c r="C141" s="1086">
        <v>102</v>
      </c>
      <c r="D141" s="1086"/>
      <c r="E141" s="1087"/>
      <c r="F141" s="1088">
        <v>101.5</v>
      </c>
      <c r="G141" s="1086"/>
      <c r="H141" s="1089"/>
      <c r="I141" s="2634" t="s">
        <v>2614</v>
      </c>
      <c r="J141" s="314">
        <v>1</v>
      </c>
      <c r="K141" s="1091">
        <f>ROUND(100+(J141-J140)*K139*100,1)</f>
        <v>96.4</v>
      </c>
    </row>
    <row r="142" spans="1:17" ht="15">
      <c r="B142" s="1085">
        <v>3</v>
      </c>
      <c r="C142" s="1086">
        <v>103</v>
      </c>
      <c r="D142" s="1086"/>
      <c r="E142" s="1087"/>
      <c r="F142" s="1088">
        <v>101</v>
      </c>
      <c r="G142" s="1086"/>
      <c r="H142" s="1089"/>
      <c r="I142" s="2634" t="s">
        <v>2615</v>
      </c>
      <c r="J142" s="314">
        <f>J139</f>
        <v>20</v>
      </c>
      <c r="K142" s="1092">
        <v>95</v>
      </c>
    </row>
    <row r="143" spans="1:17" ht="15">
      <c r="B143" s="1085">
        <v>2</v>
      </c>
      <c r="C143" s="1086">
        <v>100</v>
      </c>
      <c r="D143" s="1086"/>
      <c r="E143" s="1087"/>
      <c r="F143" s="1088">
        <v>100.5</v>
      </c>
      <c r="G143" s="1086"/>
      <c r="H143" s="1089"/>
      <c r="I143" s="2634" t="s">
        <v>2616</v>
      </c>
      <c r="J143" s="1086">
        <v>15</v>
      </c>
      <c r="K143" s="1091">
        <f>ROUND(100+(J143-J140)*K139*100,1)</f>
        <v>102</v>
      </c>
    </row>
    <row r="144" spans="1:17" ht="15">
      <c r="B144" s="1085">
        <v>1</v>
      </c>
      <c r="C144" s="1086">
        <v>98</v>
      </c>
      <c r="D144" s="2635" t="s">
        <v>2617</v>
      </c>
      <c r="E144" s="1087">
        <v>102</v>
      </c>
      <c r="F144" s="1093">
        <v>100</v>
      </c>
      <c r="G144" s="2635" t="s">
        <v>2617</v>
      </c>
      <c r="H144" s="1089">
        <v>105</v>
      </c>
      <c r="I144" s="2634" t="s">
        <v>2616</v>
      </c>
      <c r="J144" s="1086">
        <v>18</v>
      </c>
      <c r="K144" s="1091">
        <f>ROUND(100+(J144-J140)*K139*100,1)</f>
        <v>103.2</v>
      </c>
    </row>
    <row r="145" spans="2:11" ht="15.75" thickBot="1">
      <c r="B145" s="2636" t="s">
        <v>2618</v>
      </c>
      <c r="C145" s="1094">
        <f>ROUND(MAX(C139:C144)/MIN(C139:C144)-1,3)</f>
        <v>7.2999999999999995E-2</v>
      </c>
      <c r="D145" s="1095"/>
      <c r="E145" s="1095"/>
      <c r="F145" s="2637" t="s">
        <v>2619</v>
      </c>
      <c r="G145" s="2638"/>
      <c r="H145" s="2639"/>
      <c r="I145" s="2640" t="s">
        <v>2616</v>
      </c>
      <c r="J145" s="1096">
        <v>8</v>
      </c>
      <c r="K145" s="1097">
        <f>ROUND(100+(J145-J140)*K139*100,1)</f>
        <v>99.2</v>
      </c>
    </row>
    <row r="147" spans="2:11">
      <c r="B147" s="2621" t="s">
        <v>2620</v>
      </c>
    </row>
    <row r="148" spans="2:11">
      <c r="B148" s="2621" t="s">
        <v>2621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90" zoomScaleNormal="90" workbookViewId="0">
      <selection activeCell="C50" sqref="C50"/>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2508</v>
      </c>
      <c r="B1" s="2653" t="s">
        <v>2666</v>
      </c>
      <c r="C1" s="1613" t="s">
        <v>2510</v>
      </c>
      <c r="D1" s="1614" t="s">
        <v>27</v>
      </c>
      <c r="E1" s="1623"/>
      <c r="F1" s="2568" t="s">
        <v>3174</v>
      </c>
      <c r="G1" s="1624" t="s">
        <v>2623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2307</v>
      </c>
      <c r="B2" s="1413">
        <f>IF(C2="——",ROUND(C50*D3/10000,0),ROUND(C50*D3/10000,0)-D2)</f>
        <v>0</v>
      </c>
      <c r="C2" s="2570" t="s">
        <v>70</v>
      </c>
      <c r="D2" s="1360" t="e">
        <f ca="1">SUMIF(INDIRECT("'"&amp;F2&amp;"'"&amp;"!A:A"),"承租人权益价值",INDIRECT("'"&amp;F2&amp;"'"&amp;"!c:c"))</f>
        <v>#REF!</v>
      </c>
      <c r="E2" s="2571" t="s">
        <v>2308</v>
      </c>
      <c r="F2" s="2572"/>
      <c r="G2" s="1120"/>
      <c r="H2" s="1120"/>
      <c r="I2" s="1120"/>
      <c r="J2" s="1120"/>
      <c r="K2" s="1120"/>
      <c r="L2" s="1123"/>
      <c r="M2" s="1124"/>
      <c r="N2" s="1124"/>
      <c r="O2" s="1124"/>
      <c r="P2" s="766"/>
      <c r="Q2" s="766"/>
      <c r="R2" s="766"/>
      <c r="S2" s="766"/>
      <c r="T2" s="766"/>
      <c r="U2" s="766"/>
      <c r="V2" s="766"/>
      <c r="W2" s="766"/>
      <c r="X2" s="766"/>
      <c r="Y2" s="766"/>
      <c r="Z2" s="766"/>
      <c r="AA2" s="766"/>
      <c r="AB2" s="766"/>
      <c r="AC2" s="767"/>
    </row>
    <row r="3" spans="1:29" s="397" customFormat="1" ht="28.5" customHeight="1" thickBot="1">
      <c r="A3" s="246" t="s">
        <v>2309</v>
      </c>
      <c r="B3" s="608">
        <f>IF(C2="——",C50,ROUND(B2*10000/D3,0))</f>
        <v>5.4</v>
      </c>
      <c r="C3" s="399" t="s">
        <v>2624</v>
      </c>
      <c r="D3" s="398">
        <f>IF(D1="",'数据-汇总表'!E3,SUMIF('数据-汇总表'!$C19:$C33,D1,'数据-汇总表'!$E19:$E33))</f>
        <v>0</v>
      </c>
      <c r="E3" s="2647"/>
      <c r="F3" s="1121"/>
      <c r="G3" s="1120"/>
      <c r="H3" s="1120"/>
      <c r="I3" s="1120"/>
      <c r="J3" s="1120"/>
      <c r="K3" s="1122"/>
      <c r="L3" s="1123"/>
      <c r="M3" s="1124"/>
      <c r="N3" s="1124"/>
      <c r="O3" s="1124"/>
      <c r="P3" s="766"/>
      <c r="Q3" s="766"/>
      <c r="R3" s="766"/>
      <c r="S3" s="766"/>
      <c r="T3" s="766"/>
      <c r="U3" s="766"/>
      <c r="V3" s="766"/>
      <c r="W3" s="766"/>
      <c r="X3" s="766"/>
      <c r="Y3" s="766"/>
      <c r="Z3" s="766"/>
      <c r="AA3" s="766"/>
      <c r="AB3" s="766"/>
      <c r="AC3" s="767"/>
    </row>
    <row r="4" spans="1:29" ht="15">
      <c r="A4" s="400" t="s">
        <v>2625</v>
      </c>
      <c r="B4" s="401"/>
      <c r="C4" s="3198" t="s">
        <v>2626</v>
      </c>
      <c r="D4" s="3225"/>
      <c r="E4" s="3226" t="s">
        <v>2627</v>
      </c>
      <c r="F4" s="3227"/>
      <c r="G4" s="3198" t="s">
        <v>2628</v>
      </c>
      <c r="H4" s="3225"/>
      <c r="I4" s="3198" t="s">
        <v>2629</v>
      </c>
      <c r="J4" s="3225"/>
      <c r="K4" s="609" t="s">
        <v>2630</v>
      </c>
      <c r="L4" s="1125"/>
      <c r="M4" s="1126"/>
      <c r="N4" s="1126"/>
      <c r="O4" s="1126"/>
      <c r="P4" s="3289" t="s">
        <v>2631</v>
      </c>
      <c r="Q4" s="3290"/>
      <c r="R4" s="3293" t="s">
        <v>2627</v>
      </c>
      <c r="S4" s="3294"/>
      <c r="T4" s="3293" t="s">
        <v>2628</v>
      </c>
      <c r="U4" s="3294"/>
      <c r="V4" s="3295" t="s">
        <v>2629</v>
      </c>
      <c r="W4" s="3295"/>
      <c r="X4" s="2654"/>
      <c r="Y4" s="3293" t="s">
        <v>2631</v>
      </c>
      <c r="Z4" s="3294"/>
      <c r="AA4" s="3298" t="s">
        <v>2627</v>
      </c>
      <c r="AB4" s="3298" t="s">
        <v>2628</v>
      </c>
      <c r="AC4" s="3286" t="s">
        <v>2629</v>
      </c>
    </row>
    <row r="5" spans="1:29" ht="15">
      <c r="A5" s="403"/>
      <c r="B5" s="404"/>
      <c r="C5" s="3209" t="s">
        <v>2522</v>
      </c>
      <c r="D5" s="3210"/>
      <c r="E5" s="3299" t="s">
        <v>3177</v>
      </c>
      <c r="F5" s="3235"/>
      <c r="G5" s="3296" t="s">
        <v>3178</v>
      </c>
      <c r="H5" s="3210"/>
      <c r="I5" s="3296" t="s">
        <v>3179</v>
      </c>
      <c r="J5" s="3210"/>
      <c r="K5" s="609"/>
      <c r="L5" s="1125"/>
      <c r="M5" s="1126"/>
      <c r="N5" s="1126"/>
      <c r="O5" s="1126"/>
      <c r="P5" s="3291"/>
      <c r="Q5" s="3231"/>
      <c r="R5" s="3207"/>
      <c r="S5" s="3208"/>
      <c r="T5" s="3207"/>
      <c r="U5" s="3208"/>
      <c r="V5" s="3218"/>
      <c r="W5" s="3218"/>
      <c r="X5" s="1806"/>
      <c r="Y5" s="3207"/>
      <c r="Z5" s="3208"/>
      <c r="AA5" s="3223"/>
      <c r="AB5" s="3223"/>
      <c r="AC5" s="3287"/>
    </row>
    <row r="6" spans="1:29" ht="15.75" thickBot="1">
      <c r="A6" s="405"/>
      <c r="B6" s="406"/>
      <c r="C6" s="3244" t="s">
        <v>2526</v>
      </c>
      <c r="D6" s="3245"/>
      <c r="E6" s="3246" t="s">
        <v>2526</v>
      </c>
      <c r="F6" s="3247"/>
      <c r="G6" s="3244" t="s">
        <v>2526</v>
      </c>
      <c r="H6" s="3245"/>
      <c r="I6" s="3244" t="s">
        <v>2526</v>
      </c>
      <c r="J6" s="3245"/>
      <c r="K6" s="609" t="s">
        <v>2527</v>
      </c>
      <c r="L6" s="1125"/>
      <c r="M6" s="1126"/>
      <c r="N6" s="1126"/>
      <c r="O6" s="1126"/>
      <c r="P6" s="3292"/>
      <c r="Q6" s="3233"/>
      <c r="R6" s="3207"/>
      <c r="S6" s="3208"/>
      <c r="T6" s="3216"/>
      <c r="U6" s="3217"/>
      <c r="V6" s="3218"/>
      <c r="W6" s="3218"/>
      <c r="X6" s="1806"/>
      <c r="Y6" s="3216"/>
      <c r="Z6" s="3217"/>
      <c r="AA6" s="3224"/>
      <c r="AB6" s="3224"/>
      <c r="AC6" s="3288"/>
    </row>
    <row r="7" spans="1:29" s="117" customFormat="1" ht="15.75" thickBot="1">
      <c r="A7" s="407" t="s">
        <v>2528</v>
      </c>
      <c r="B7" s="408"/>
      <c r="C7" s="409">
        <f>'数据-取费表'!B2</f>
        <v>43216</v>
      </c>
      <c r="D7" s="410">
        <v>100</v>
      </c>
      <c r="E7" s="411">
        <v>43191</v>
      </c>
      <c r="F7" s="412">
        <f>SUMIF(59:59,YEAR(E7)&amp;"-"&amp;MONTH(E7),60:60)</f>
        <v>100</v>
      </c>
      <c r="G7" s="411">
        <v>43191</v>
      </c>
      <c r="H7" s="410">
        <f>SUMIF(59:59,YEAR(G7)&amp;"-"&amp;MONTH(G7),60:60)</f>
        <v>100</v>
      </c>
      <c r="I7" s="411">
        <v>43191</v>
      </c>
      <c r="J7" s="410">
        <f>SUMIF(59:59,YEAR(I7)&amp;"-"&amp;MONTH(I7),60:60)</f>
        <v>100</v>
      </c>
      <c r="K7" s="610"/>
      <c r="L7" s="1127"/>
      <c r="M7" s="1128"/>
      <c r="N7" s="1128"/>
      <c r="O7" s="1128"/>
      <c r="P7" s="3297" t="s">
        <v>2529</v>
      </c>
      <c r="Q7" s="3213"/>
      <c r="R7" s="768" t="s">
        <v>17</v>
      </c>
      <c r="S7" s="769">
        <f t="shared" ref="S7:S15" si="0">F7</f>
        <v>100</v>
      </c>
      <c r="T7" s="768" t="s">
        <v>17</v>
      </c>
      <c r="U7" s="769">
        <f t="shared" ref="U7:U15" si="1">H7</f>
        <v>100</v>
      </c>
      <c r="V7" s="768" t="s">
        <v>17</v>
      </c>
      <c r="W7" s="769">
        <f t="shared" ref="W7:W15" si="2">J7</f>
        <v>100</v>
      </c>
      <c r="X7" s="770"/>
      <c r="Y7" s="3203" t="s">
        <v>2529</v>
      </c>
      <c r="Z7" s="3204"/>
      <c r="AA7" s="771">
        <f>D7/F7</f>
        <v>1</v>
      </c>
      <c r="AB7" s="771">
        <f>D7/H7</f>
        <v>1</v>
      </c>
      <c r="AC7" s="2655">
        <f>D7/J7</f>
        <v>1</v>
      </c>
    </row>
    <row r="8" spans="1:29" s="117" customFormat="1" ht="15.75" thickBot="1">
      <c r="A8" s="407" t="s">
        <v>2530</v>
      </c>
      <c r="B8" s="408"/>
      <c r="C8" s="413" t="s">
        <v>2632</v>
      </c>
      <c r="D8" s="410">
        <v>100</v>
      </c>
      <c r="E8" s="413" t="s">
        <v>2567</v>
      </c>
      <c r="F8" s="412">
        <f>SUMIF(62:62,E8,63:63)-SUMIF(62:62,C8,63:63)+100</f>
        <v>100</v>
      </c>
      <c r="G8" s="413" t="s">
        <v>2567</v>
      </c>
      <c r="H8" s="410">
        <f>SUMIF(62:62,G8,63:63)-SUMIF(62:62,C8,63:63)+100</f>
        <v>100</v>
      </c>
      <c r="I8" s="413" t="s">
        <v>2567</v>
      </c>
      <c r="J8" s="410">
        <f>SUMIF(62:62,I8,63:63)-SUMIF(62:62,C8,63:63)+100</f>
        <v>100</v>
      </c>
      <c r="K8" s="610"/>
      <c r="L8" s="1127"/>
      <c r="M8" s="1128"/>
      <c r="N8" s="1128"/>
      <c r="O8" s="1128"/>
      <c r="P8" s="3297" t="s">
        <v>2532</v>
      </c>
      <c r="Q8" s="3204"/>
      <c r="R8" s="768" t="s">
        <v>17</v>
      </c>
      <c r="S8" s="769">
        <f t="shared" si="0"/>
        <v>100</v>
      </c>
      <c r="T8" s="768" t="s">
        <v>17</v>
      </c>
      <c r="U8" s="769">
        <f t="shared" si="1"/>
        <v>100</v>
      </c>
      <c r="V8" s="768" t="s">
        <v>17</v>
      </c>
      <c r="W8" s="769">
        <f t="shared" si="2"/>
        <v>100</v>
      </c>
      <c r="X8" s="770"/>
      <c r="Y8" s="3203" t="s">
        <v>2532</v>
      </c>
      <c r="Z8" s="3204"/>
      <c r="AA8" s="771">
        <f t="shared" ref="AA8:AA47" si="3">D8/F8</f>
        <v>1</v>
      </c>
      <c r="AB8" s="771">
        <f t="shared" ref="AB8:AB47" si="4">D8/H8</f>
        <v>1</v>
      </c>
      <c r="AC8" s="2655">
        <f t="shared" ref="AC8:AC47" si="5">D8/J8</f>
        <v>1</v>
      </c>
    </row>
    <row r="9" spans="1:29" s="117" customFormat="1">
      <c r="A9" s="414" t="s">
        <v>2533</v>
      </c>
      <c r="B9" s="71" t="s">
        <v>2534</v>
      </c>
      <c r="C9" s="2959" t="s">
        <v>3175</v>
      </c>
      <c r="D9" s="134">
        <v>100</v>
      </c>
      <c r="E9" s="418" t="s">
        <v>27</v>
      </c>
      <c r="F9" s="134">
        <f>SUMIF(64:64,E9,65:65)-SUMIF(64:64,C9,65:65)+100</f>
        <v>100</v>
      </c>
      <c r="G9" s="418" t="s">
        <v>27</v>
      </c>
      <c r="H9" s="134">
        <f>SUMIF(64:64,G9,65:65)-SUMIF(64:64,C9,65:65)+100</f>
        <v>100</v>
      </c>
      <c r="I9" s="418" t="s">
        <v>27</v>
      </c>
      <c r="J9" s="134">
        <f>SUMIF(64:64,I9,65:65)-SUMIF(64:64,C9,65:65)+100</f>
        <v>100</v>
      </c>
      <c r="K9" s="610"/>
      <c r="L9" s="1127"/>
      <c r="M9" s="1128"/>
      <c r="N9" s="1128"/>
      <c r="O9" s="1128"/>
      <c r="P9" s="3200" t="s">
        <v>2535</v>
      </c>
      <c r="Q9" s="1788" t="str">
        <f t="shared" ref="Q9:Q15" si="6">B9</f>
        <v>用途</v>
      </c>
      <c r="R9" s="768" t="s">
        <v>17</v>
      </c>
      <c r="S9" s="769">
        <f t="shared" si="0"/>
        <v>100</v>
      </c>
      <c r="T9" s="768" t="s">
        <v>17</v>
      </c>
      <c r="U9" s="769">
        <f t="shared" si="1"/>
        <v>100</v>
      </c>
      <c r="V9" s="768" t="s">
        <v>17</v>
      </c>
      <c r="W9" s="769">
        <f t="shared" si="2"/>
        <v>100</v>
      </c>
      <c r="X9" s="770"/>
      <c r="Y9" s="3056" t="s">
        <v>2536</v>
      </c>
      <c r="Z9" s="55" t="str">
        <f t="shared" ref="Z9:Z15" si="7">Q9</f>
        <v>用途</v>
      </c>
      <c r="AA9" s="771">
        <f t="shared" si="3"/>
        <v>1</v>
      </c>
      <c r="AB9" s="771">
        <f t="shared" si="4"/>
        <v>1</v>
      </c>
      <c r="AC9" s="2655">
        <f t="shared" si="5"/>
        <v>1</v>
      </c>
    </row>
    <row r="10" spans="1:29" s="426" customFormat="1" ht="27">
      <c r="A10" s="420"/>
      <c r="B10" s="421" t="s">
        <v>2537</v>
      </c>
      <c r="C10" s="422" t="s">
        <v>3176</v>
      </c>
      <c r="D10" s="135">
        <v>100</v>
      </c>
      <c r="E10" s="422" t="s">
        <v>3188</v>
      </c>
      <c r="F10" s="135">
        <f>SUMIF(66:66,E10,67:67)-SUMIF(66:66,C10,67:67)+100</f>
        <v>98</v>
      </c>
      <c r="G10" s="422" t="s">
        <v>3176</v>
      </c>
      <c r="H10" s="135">
        <f>SUMIF(66:66,G10,67:67)-SUMIF(66:66,C10,67:67)+100</f>
        <v>100</v>
      </c>
      <c r="I10" s="422" t="s">
        <v>3176</v>
      </c>
      <c r="J10" s="135">
        <f>SUMIF(66:66,I10,67:67)-SUMIF(66:66,C10,67:67)+100</f>
        <v>100</v>
      </c>
      <c r="K10" s="2960">
        <v>2</v>
      </c>
      <c r="L10" s="1130"/>
      <c r="M10" s="1131"/>
      <c r="N10" s="1131"/>
      <c r="O10" s="1131"/>
      <c r="P10" s="3200"/>
      <c r="Q10" s="1788" t="str">
        <f t="shared" si="6"/>
        <v>土地使用年限（年）</v>
      </c>
      <c r="R10" s="768" t="s">
        <v>17</v>
      </c>
      <c r="S10" s="769">
        <f t="shared" si="0"/>
        <v>98</v>
      </c>
      <c r="T10" s="768" t="s">
        <v>17</v>
      </c>
      <c r="U10" s="769">
        <f t="shared" si="1"/>
        <v>100</v>
      </c>
      <c r="V10" s="768" t="s">
        <v>17</v>
      </c>
      <c r="W10" s="769">
        <f t="shared" si="2"/>
        <v>100</v>
      </c>
      <c r="X10" s="770"/>
      <c r="Y10" s="3056"/>
      <c r="Z10" s="55" t="str">
        <f t="shared" si="7"/>
        <v>土地使用年限（年）</v>
      </c>
      <c r="AA10" s="771">
        <f t="shared" si="3"/>
        <v>1.0204081632653061</v>
      </c>
      <c r="AB10" s="771">
        <f t="shared" si="4"/>
        <v>1</v>
      </c>
      <c r="AC10" s="2655">
        <f t="shared" si="5"/>
        <v>1</v>
      </c>
    </row>
    <row r="11" spans="1:29" ht="15.75" thickBot="1">
      <c r="A11" s="427"/>
      <c r="B11" s="421" t="s">
        <v>2538</v>
      </c>
      <c r="C11" s="428">
        <v>4</v>
      </c>
      <c r="D11" s="135">
        <v>100</v>
      </c>
      <c r="E11" s="428">
        <v>2.7</v>
      </c>
      <c r="F11" s="135">
        <f>LOOKUP(E11,69:69,70:70)-LOOKUP(C11,69:69,70:70)+100</f>
        <v>100</v>
      </c>
      <c r="G11" s="2966">
        <v>4</v>
      </c>
      <c r="H11" s="135">
        <f>LOOKUP(G11,69:69,70:70)-LOOKUP(C11,69:69,70:70)+100</f>
        <v>100</v>
      </c>
      <c r="I11" s="428">
        <v>4</v>
      </c>
      <c r="J11" s="135">
        <f>LOOKUP(I11,69:69,70:70)-LOOKUP(C11,69:69,70:70)+100</f>
        <v>100</v>
      </c>
      <c r="K11" s="2960">
        <v>0</v>
      </c>
      <c r="L11" s="1133"/>
      <c r="M11" s="1126"/>
      <c r="N11" s="1126"/>
      <c r="O11" s="1126"/>
      <c r="P11" s="3200"/>
      <c r="Q11" s="1788" t="str">
        <f t="shared" si="6"/>
        <v>容积率</v>
      </c>
      <c r="R11" s="768" t="s">
        <v>17</v>
      </c>
      <c r="S11" s="769">
        <f t="shared" si="0"/>
        <v>100</v>
      </c>
      <c r="T11" s="768" t="s">
        <v>17</v>
      </c>
      <c r="U11" s="769">
        <f t="shared" si="1"/>
        <v>100</v>
      </c>
      <c r="V11" s="768" t="s">
        <v>17</v>
      </c>
      <c r="W11" s="769">
        <f t="shared" si="2"/>
        <v>100</v>
      </c>
      <c r="X11" s="770"/>
      <c r="Y11" s="3056"/>
      <c r="Z11" s="55" t="str">
        <f t="shared" si="7"/>
        <v>容积率</v>
      </c>
      <c r="AA11" s="771">
        <f t="shared" si="3"/>
        <v>1</v>
      </c>
      <c r="AB11" s="771">
        <f t="shared" si="4"/>
        <v>1</v>
      </c>
      <c r="AC11" s="2655">
        <f t="shared" si="5"/>
        <v>1</v>
      </c>
    </row>
    <row r="12" spans="1:29" s="117" customFormat="1" ht="15" hidden="1">
      <c r="A12" s="430"/>
      <c r="B12" s="2584">
        <v>111</v>
      </c>
      <c r="C12" s="431"/>
      <c r="D12" s="432">
        <v>100</v>
      </c>
      <c r="E12" s="431"/>
      <c r="F12" s="135">
        <f>SUMIF(71:71,E12,72:72)-SUMIF(71:71,C12,72:72)+100</f>
        <v>100</v>
      </c>
      <c r="G12" s="2656"/>
      <c r="H12" s="135">
        <f>SUMIF(71:71,G12,72:72)-SUMIF(71:71,C12,72:72)+100</f>
        <v>100</v>
      </c>
      <c r="I12" s="431"/>
      <c r="J12" s="135">
        <f>SUMIF(71:71,I12,72:72)-SUMIF(71:71,C12,72:72)+100</f>
        <v>100</v>
      </c>
      <c r="K12" s="612"/>
      <c r="L12" s="1127"/>
      <c r="M12" s="1128"/>
      <c r="N12" s="1128"/>
      <c r="O12" s="1128"/>
      <c r="P12" s="3200"/>
      <c r="Q12" s="1788">
        <f t="shared" si="6"/>
        <v>111</v>
      </c>
      <c r="R12" s="768" t="s">
        <v>17</v>
      </c>
      <c r="S12" s="769">
        <f t="shared" si="0"/>
        <v>100</v>
      </c>
      <c r="T12" s="768" t="s">
        <v>17</v>
      </c>
      <c r="U12" s="769">
        <f t="shared" si="1"/>
        <v>100</v>
      </c>
      <c r="V12" s="768" t="s">
        <v>17</v>
      </c>
      <c r="W12" s="769">
        <f t="shared" si="2"/>
        <v>100</v>
      </c>
      <c r="X12" s="770"/>
      <c r="Y12" s="3056"/>
      <c r="Z12" s="55">
        <f t="shared" si="7"/>
        <v>111</v>
      </c>
      <c r="AA12" s="771">
        <f>D12/F12</f>
        <v>1</v>
      </c>
      <c r="AB12" s="771">
        <f>D12/H12</f>
        <v>1</v>
      </c>
      <c r="AC12" s="2655">
        <f>D12/J12</f>
        <v>1</v>
      </c>
    </row>
    <row r="13" spans="1:29" ht="15" hidden="1">
      <c r="A13" s="427"/>
      <c r="B13" s="2584">
        <v>111</v>
      </c>
      <c r="C13" s="433"/>
      <c r="D13" s="434">
        <v>100</v>
      </c>
      <c r="E13" s="431"/>
      <c r="F13" s="135">
        <f>SUMIF(73:73,E13,74:74)-SUMIF(73:73,C13,74:74)+100</f>
        <v>100</v>
      </c>
      <c r="G13" s="2656"/>
      <c r="H13" s="434">
        <f>SUMIF(73:73,G13,74:74)-SUMIF(73:73,C13,74:74)+100</f>
        <v>100</v>
      </c>
      <c r="I13" s="431"/>
      <c r="J13" s="434">
        <f>SUMIF(73:73,I13,74:74)-SUMIF(73:73,C13,74:74)+100</f>
        <v>100</v>
      </c>
      <c r="K13" s="612"/>
      <c r="L13" s="1135"/>
      <c r="M13" s="1126"/>
      <c r="N13" s="1126"/>
      <c r="O13" s="1126"/>
      <c r="P13" s="3200"/>
      <c r="Q13" s="1788">
        <f t="shared" si="6"/>
        <v>111</v>
      </c>
      <c r="R13" s="768" t="s">
        <v>17</v>
      </c>
      <c r="S13" s="769">
        <f t="shared" si="0"/>
        <v>100</v>
      </c>
      <c r="T13" s="768" t="s">
        <v>17</v>
      </c>
      <c r="U13" s="769">
        <f t="shared" si="1"/>
        <v>100</v>
      </c>
      <c r="V13" s="768" t="s">
        <v>17</v>
      </c>
      <c r="W13" s="769">
        <f t="shared" si="2"/>
        <v>100</v>
      </c>
      <c r="X13" s="770"/>
      <c r="Y13" s="3056"/>
      <c r="Z13" s="55">
        <f t="shared" si="7"/>
        <v>111</v>
      </c>
      <c r="AA13" s="771">
        <f t="shared" si="3"/>
        <v>1</v>
      </c>
      <c r="AB13" s="771">
        <f t="shared" si="4"/>
        <v>1</v>
      </c>
      <c r="AC13" s="2655">
        <f t="shared" si="5"/>
        <v>1</v>
      </c>
    </row>
    <row r="14" spans="1:29" ht="15.75" hidden="1" thickBot="1">
      <c r="A14" s="435"/>
      <c r="B14" s="2586">
        <v>111</v>
      </c>
      <c r="C14" s="436"/>
      <c r="D14" s="437">
        <v>100</v>
      </c>
      <c r="E14" s="626"/>
      <c r="F14" s="437">
        <f>SUMIF(75:75,E14,76:76)-SUMIF(75:75,C14,76:76)+100</f>
        <v>100</v>
      </c>
      <c r="G14" s="2656"/>
      <c r="H14" s="437">
        <f>SUMIF(75:75,G14,76:76)-SUMIF(75:75,C14,76:76)+100</f>
        <v>100</v>
      </c>
      <c r="I14" s="431"/>
      <c r="J14" s="437">
        <f>SUMIF(75:75,I14,76:76)-SUMIF(75:75,C14,76:76)+100</f>
        <v>100</v>
      </c>
      <c r="K14" s="612"/>
      <c r="L14" s="1135"/>
      <c r="M14" s="1126"/>
      <c r="N14" s="1126"/>
      <c r="O14" s="1126"/>
      <c r="P14" s="3200"/>
      <c r="Q14" s="1788">
        <f t="shared" si="6"/>
        <v>111</v>
      </c>
      <c r="R14" s="768" t="s">
        <v>17</v>
      </c>
      <c r="S14" s="769">
        <f t="shared" si="0"/>
        <v>100</v>
      </c>
      <c r="T14" s="768" t="s">
        <v>17</v>
      </c>
      <c r="U14" s="769">
        <f t="shared" si="1"/>
        <v>100</v>
      </c>
      <c r="V14" s="768" t="s">
        <v>17</v>
      </c>
      <c r="W14" s="769">
        <f t="shared" si="2"/>
        <v>100</v>
      </c>
      <c r="X14" s="770"/>
      <c r="Y14" s="3056"/>
      <c r="Z14" s="55">
        <f t="shared" si="7"/>
        <v>111</v>
      </c>
      <c r="AA14" s="771">
        <f t="shared" si="3"/>
        <v>1</v>
      </c>
      <c r="AB14" s="771">
        <f t="shared" si="4"/>
        <v>1</v>
      </c>
      <c r="AC14" s="2655">
        <f t="shared" si="5"/>
        <v>1</v>
      </c>
    </row>
    <row r="15" spans="1:29" ht="15">
      <c r="A15" s="439" t="s">
        <v>2539</v>
      </c>
      <c r="B15" s="627" t="s">
        <v>2667</v>
      </c>
      <c r="C15" s="2657">
        <f>估价对象房地状况!C5</f>
        <v>0</v>
      </c>
      <c r="D15" s="440">
        <v>100</v>
      </c>
      <c r="E15" s="2983" t="s">
        <v>3245</v>
      </c>
      <c r="F15" s="440">
        <f>SUMIF(77:77,E16,78:78)-SUMIF(77:77,C16,78:78)+100</f>
        <v>100</v>
      </c>
      <c r="G15" s="2983" t="s">
        <v>3245</v>
      </c>
      <c r="H15" s="440">
        <f>SUMIF(77:77,G16,78:78)-SUMIF(77:77,C16,78:78)+100</f>
        <v>100</v>
      </c>
      <c r="I15" s="2983" t="s">
        <v>3245</v>
      </c>
      <c r="J15" s="440">
        <f>SUMIF(77:77,I16,78:78)-SUMIF(77:77,C16,78:78)+100</f>
        <v>100</v>
      </c>
      <c r="K15" s="2964">
        <f>'土地比较法-住宅、综合'!K19</f>
        <v>2</v>
      </c>
      <c r="L15" s="1135"/>
      <c r="M15" s="1126"/>
      <c r="N15" s="1126"/>
      <c r="O15" s="1126"/>
      <c r="P15" s="3281" t="s">
        <v>2540</v>
      </c>
      <c r="Q15" s="1803" t="str">
        <f t="shared" si="6"/>
        <v>办公集聚程度</v>
      </c>
      <c r="R15" s="772" t="s">
        <v>17</v>
      </c>
      <c r="S15" s="773">
        <f t="shared" si="0"/>
        <v>100</v>
      </c>
      <c r="T15" s="772" t="s">
        <v>17</v>
      </c>
      <c r="U15" s="773">
        <f t="shared" si="1"/>
        <v>100</v>
      </c>
      <c r="V15" s="772" t="s">
        <v>17</v>
      </c>
      <c r="W15" s="773">
        <f t="shared" si="2"/>
        <v>100</v>
      </c>
      <c r="X15" s="1806"/>
      <c r="Y15" s="3219" t="s">
        <v>2540</v>
      </c>
      <c r="Z15" s="1807" t="str">
        <f t="shared" si="7"/>
        <v>办公集聚程度</v>
      </c>
      <c r="AA15" s="1804">
        <f t="shared" si="3"/>
        <v>1</v>
      </c>
      <c r="AB15" s="1804">
        <f t="shared" si="4"/>
        <v>1</v>
      </c>
      <c r="AC15" s="2658">
        <f t="shared" si="5"/>
        <v>1</v>
      </c>
    </row>
    <row r="16" spans="1:29" ht="15.75" thickBot="1">
      <c r="A16" s="427"/>
      <c r="B16" s="628"/>
      <c r="C16" s="2595" t="s">
        <v>3049</v>
      </c>
      <c r="D16" s="447"/>
      <c r="E16" s="2595" t="s">
        <v>3049</v>
      </c>
      <c r="F16" s="447"/>
      <c r="G16" s="2595" t="s">
        <v>3049</v>
      </c>
      <c r="H16" s="449"/>
      <c r="I16" s="2595" t="s">
        <v>3049</v>
      </c>
      <c r="J16" s="447"/>
      <c r="K16" s="614"/>
      <c r="L16" s="1135"/>
      <c r="M16" s="1126"/>
      <c r="N16" s="1126"/>
      <c r="O16" s="1126"/>
      <c r="P16" s="3282"/>
      <c r="Q16" s="1803"/>
      <c r="R16" s="772"/>
      <c r="S16" s="773"/>
      <c r="T16" s="772"/>
      <c r="U16" s="773"/>
      <c r="V16" s="772"/>
      <c r="W16" s="773"/>
      <c r="X16" s="1806"/>
      <c r="Y16" s="3220"/>
      <c r="Z16" s="1807"/>
      <c r="AA16" s="1804">
        <v>1</v>
      </c>
      <c r="AB16" s="1804">
        <v>1</v>
      </c>
      <c r="AC16" s="2658">
        <v>1</v>
      </c>
    </row>
    <row r="17" spans="1:29" ht="15">
      <c r="A17" s="427"/>
      <c r="B17" s="629" t="s">
        <v>2087</v>
      </c>
      <c r="C17" s="2659">
        <f>估价对象房地状况!C6</f>
        <v>0</v>
      </c>
      <c r="D17" s="449">
        <v>100</v>
      </c>
      <c r="E17" s="2983" t="s">
        <v>3245</v>
      </c>
      <c r="F17" s="449">
        <f>SUMIF(79:79,E18,80:80)-SUMIF(79:79,C18,80:80)+100</f>
        <v>100</v>
      </c>
      <c r="G17" s="2983" t="s">
        <v>3245</v>
      </c>
      <c r="H17" s="454">
        <f>SUMIF(79:79,G18,80:80)-SUMIF(79:79,C18,80:80)+100</f>
        <v>100</v>
      </c>
      <c r="I17" s="2983" t="s">
        <v>3245</v>
      </c>
      <c r="J17" s="454">
        <f>SUMIF(79:79,I18,80:80)-SUMIF(79:79,C18,80:80)+100</f>
        <v>100</v>
      </c>
      <c r="K17" s="2964">
        <f>'土地比较法-住宅、综合'!K21</f>
        <v>2</v>
      </c>
      <c r="L17" s="1135"/>
      <c r="M17" s="1126"/>
      <c r="N17" s="1126"/>
      <c r="O17" s="1126"/>
      <c r="P17" s="3282"/>
      <c r="Q17" s="1803" t="str">
        <f>B17</f>
        <v>交通便捷度</v>
      </c>
      <c r="R17" s="772" t="s">
        <v>17</v>
      </c>
      <c r="S17" s="773">
        <f>F17</f>
        <v>100</v>
      </c>
      <c r="T17" s="772" t="s">
        <v>17</v>
      </c>
      <c r="U17" s="773">
        <f>H17</f>
        <v>100</v>
      </c>
      <c r="V17" s="772" t="s">
        <v>17</v>
      </c>
      <c r="W17" s="773">
        <f>J17</f>
        <v>100</v>
      </c>
      <c r="X17" s="1806"/>
      <c r="Y17" s="3220"/>
      <c r="Z17" s="1807" t="str">
        <f>Q17</f>
        <v>交通便捷度</v>
      </c>
      <c r="AA17" s="1804">
        <f t="shared" si="3"/>
        <v>1</v>
      </c>
      <c r="AB17" s="1804">
        <f t="shared" si="4"/>
        <v>1</v>
      </c>
      <c r="AC17" s="2658">
        <f t="shared" si="5"/>
        <v>1</v>
      </c>
    </row>
    <row r="18" spans="1:29" ht="15">
      <c r="A18" s="427"/>
      <c r="B18" s="630"/>
      <c r="C18" s="2660" t="s">
        <v>3049</v>
      </c>
      <c r="D18" s="449"/>
      <c r="E18" s="2660" t="s">
        <v>3049</v>
      </c>
      <c r="F18" s="449"/>
      <c r="G18" s="2660" t="s">
        <v>3049</v>
      </c>
      <c r="H18" s="447"/>
      <c r="I18" s="2660" t="s">
        <v>3049</v>
      </c>
      <c r="J18" s="447"/>
      <c r="K18" s="614"/>
      <c r="L18" s="1135"/>
      <c r="M18" s="1126"/>
      <c r="N18" s="1126"/>
      <c r="O18" s="1126"/>
      <c r="P18" s="3282"/>
      <c r="Q18" s="1803"/>
      <c r="R18" s="772"/>
      <c r="S18" s="773"/>
      <c r="T18" s="772"/>
      <c r="U18" s="773"/>
      <c r="V18" s="772"/>
      <c r="W18" s="773"/>
      <c r="X18" s="1806"/>
      <c r="Y18" s="3220"/>
      <c r="Z18" s="1807"/>
      <c r="AA18" s="1804">
        <v>1</v>
      </c>
      <c r="AB18" s="1804">
        <v>1</v>
      </c>
      <c r="AC18" s="2658">
        <v>1</v>
      </c>
    </row>
    <row r="19" spans="1:29" ht="15">
      <c r="A19" s="427"/>
      <c r="B19" s="629" t="s">
        <v>2668</v>
      </c>
      <c r="C19" s="2659">
        <f>估价对象房地状况!C7</f>
        <v>0</v>
      </c>
      <c r="D19" s="454">
        <v>100</v>
      </c>
      <c r="E19" s="2984" t="s">
        <v>3246</v>
      </c>
      <c r="F19" s="454">
        <f>SUMIF(81:81,E20,82:82)-SUMIF(81:81,C20,82:82)+100</f>
        <v>100</v>
      </c>
      <c r="G19" s="2984" t="s">
        <v>3246</v>
      </c>
      <c r="H19" s="449">
        <f>SUMIF(81:81,G20,82:82)-SUMIF(81:81,C20,82:82)+100</f>
        <v>100</v>
      </c>
      <c r="I19" s="2984" t="s">
        <v>3246</v>
      </c>
      <c r="J19" s="449">
        <f>SUMIF(81:81,I20,82:82)-SUMIF(81:81,C20,82:82)+100</f>
        <v>100</v>
      </c>
      <c r="K19" s="2964">
        <f>'土地比较法-住宅、综合'!K27</f>
        <v>2</v>
      </c>
      <c r="L19" s="1135"/>
      <c r="M19" s="1126"/>
      <c r="N19" s="1126"/>
      <c r="O19" s="1126"/>
      <c r="P19" s="3282"/>
      <c r="Q19" s="1803" t="str">
        <f>B19</f>
        <v>公共配套设施</v>
      </c>
      <c r="R19" s="772" t="s">
        <v>17</v>
      </c>
      <c r="S19" s="773">
        <f>F19</f>
        <v>100</v>
      </c>
      <c r="T19" s="772" t="s">
        <v>17</v>
      </c>
      <c r="U19" s="773">
        <f>H19</f>
        <v>100</v>
      </c>
      <c r="V19" s="772" t="s">
        <v>17</v>
      </c>
      <c r="W19" s="773">
        <f>J19</f>
        <v>100</v>
      </c>
      <c r="X19" s="1806"/>
      <c r="Y19" s="3220"/>
      <c r="Z19" s="1807" t="str">
        <f>Q19</f>
        <v>公共配套设施</v>
      </c>
      <c r="AA19" s="1804">
        <f t="shared" si="3"/>
        <v>1</v>
      </c>
      <c r="AB19" s="1804">
        <f t="shared" si="4"/>
        <v>1</v>
      </c>
      <c r="AC19" s="2658">
        <f t="shared" si="5"/>
        <v>1</v>
      </c>
    </row>
    <row r="20" spans="1:29" ht="15">
      <c r="A20" s="427"/>
      <c r="B20" s="630"/>
      <c r="C20" s="2595" t="s">
        <v>3119</v>
      </c>
      <c r="D20" s="447"/>
      <c r="E20" s="2595" t="s">
        <v>3119</v>
      </c>
      <c r="F20" s="447"/>
      <c r="G20" s="2595" t="s">
        <v>3119</v>
      </c>
      <c r="H20" s="447"/>
      <c r="I20" s="2595" t="s">
        <v>3119</v>
      </c>
      <c r="J20" s="447"/>
      <c r="K20" s="614"/>
      <c r="L20" s="1135"/>
      <c r="M20" s="1126"/>
      <c r="N20" s="1126"/>
      <c r="O20" s="1126"/>
      <c r="P20" s="3282"/>
      <c r="Q20" s="1803"/>
      <c r="R20" s="772"/>
      <c r="S20" s="773"/>
      <c r="T20" s="772"/>
      <c r="U20" s="773"/>
      <c r="V20" s="772"/>
      <c r="W20" s="773"/>
      <c r="X20" s="1806"/>
      <c r="Y20" s="3220"/>
      <c r="Z20" s="1807"/>
      <c r="AA20" s="1804">
        <v>1</v>
      </c>
      <c r="AB20" s="1804">
        <v>1</v>
      </c>
      <c r="AC20" s="2658">
        <v>1</v>
      </c>
    </row>
    <row r="21" spans="1:29" ht="15">
      <c r="A21" s="427"/>
      <c r="B21" s="631" t="s">
        <v>2669</v>
      </c>
      <c r="C21" s="2659">
        <f>估价对象房地状况!C8</f>
        <v>0</v>
      </c>
      <c r="D21" s="449">
        <v>100</v>
      </c>
      <c r="E21" s="2985" t="s">
        <v>3247</v>
      </c>
      <c r="F21" s="454">
        <f>SUMIF(83:83,E22,84:84)-SUMIF(83:83,C22,84:84)+100</f>
        <v>100</v>
      </c>
      <c r="G21" s="2985" t="s">
        <v>3247</v>
      </c>
      <c r="H21" s="449">
        <f>SUMIF(83:83,G22,84:84)-SUMIF(83:83,C22,84:84)+100</f>
        <v>100</v>
      </c>
      <c r="I21" s="2985" t="s">
        <v>3247</v>
      </c>
      <c r="J21" s="449">
        <f>SUMIF(83:83,I22,84:84)-SUMIF(83:83,C22,84:84)+100</f>
        <v>100</v>
      </c>
      <c r="K21" s="2964">
        <f>'土地比较法-住宅、综合'!K29</f>
        <v>1</v>
      </c>
      <c r="L21" s="1135"/>
      <c r="M21" s="1126"/>
      <c r="N21" s="1126"/>
      <c r="O21" s="1126"/>
      <c r="P21" s="3282"/>
      <c r="Q21" s="1803" t="str">
        <f>B21</f>
        <v>基础设施水平</v>
      </c>
      <c r="R21" s="772" t="s">
        <v>17</v>
      </c>
      <c r="S21" s="773">
        <f>F21</f>
        <v>100</v>
      </c>
      <c r="T21" s="772" t="s">
        <v>17</v>
      </c>
      <c r="U21" s="773">
        <f>H21</f>
        <v>100</v>
      </c>
      <c r="V21" s="772" t="s">
        <v>17</v>
      </c>
      <c r="W21" s="773">
        <f>J21</f>
        <v>100</v>
      </c>
      <c r="X21" s="1806"/>
      <c r="Y21" s="3220"/>
      <c r="Z21" s="1807" t="str">
        <f>Q21</f>
        <v>基础设施水平</v>
      </c>
      <c r="AA21" s="1804">
        <f t="shared" ref="AA21" si="8">D21/F21</f>
        <v>1</v>
      </c>
      <c r="AB21" s="1804">
        <f t="shared" ref="AB21" si="9">D21/H21</f>
        <v>1</v>
      </c>
      <c r="AC21" s="2658">
        <f t="shared" ref="AC21" si="10">D21/J21</f>
        <v>1</v>
      </c>
    </row>
    <row r="22" spans="1:29" ht="15">
      <c r="A22" s="427"/>
      <c r="B22" s="631"/>
      <c r="C22" s="2660" t="s">
        <v>3051</v>
      </c>
      <c r="D22" s="447"/>
      <c r="E22" s="2660" t="s">
        <v>3051</v>
      </c>
      <c r="F22" s="447"/>
      <c r="G22" s="2660" t="s">
        <v>3051</v>
      </c>
      <c r="H22" s="447"/>
      <c r="I22" s="2660" t="s">
        <v>3051</v>
      </c>
      <c r="J22" s="447"/>
      <c r="K22" s="1378"/>
      <c r="L22" s="1135"/>
      <c r="M22" s="1126"/>
      <c r="N22" s="1126"/>
      <c r="O22" s="1126"/>
      <c r="P22" s="3282"/>
      <c r="Q22" s="1803"/>
      <c r="R22" s="772"/>
      <c r="S22" s="773"/>
      <c r="T22" s="772"/>
      <c r="U22" s="773"/>
      <c r="V22" s="772"/>
      <c r="W22" s="773"/>
      <c r="X22" s="1806"/>
      <c r="Y22" s="3220"/>
      <c r="Z22" s="1807"/>
      <c r="AA22" s="1804">
        <v>1</v>
      </c>
      <c r="AB22" s="1804">
        <v>1</v>
      </c>
      <c r="AC22" s="2658">
        <v>1</v>
      </c>
    </row>
    <row r="23" spans="1:29" ht="15">
      <c r="A23" s="427"/>
      <c r="B23" s="629" t="s">
        <v>2670</v>
      </c>
      <c r="C23" s="2659">
        <f>估价对象房地状况!C9</f>
        <v>0</v>
      </c>
      <c r="D23" s="449">
        <v>100</v>
      </c>
      <c r="E23" s="2958" t="s">
        <v>3245</v>
      </c>
      <c r="F23" s="449">
        <f>SUMIF(85:85,E24,86:86)-SUMIF(85:85,C24,86:86)+100</f>
        <v>100</v>
      </c>
      <c r="G23" s="2958" t="s">
        <v>3245</v>
      </c>
      <c r="H23" s="449">
        <f>SUMIF(85:85,G24,86:86)-SUMIF(85:85,C24,86:86)+100</f>
        <v>100</v>
      </c>
      <c r="I23" s="2958" t="s">
        <v>3245</v>
      </c>
      <c r="J23" s="449">
        <f>SUMIF(85:85,I24,86:86)-SUMIF(85:85,C24,86:86)+100</f>
        <v>100</v>
      </c>
      <c r="K23" s="2964">
        <f>'土地比较法-住宅、综合'!K25</f>
        <v>2</v>
      </c>
      <c r="L23" s="1135"/>
      <c r="M23" s="1126"/>
      <c r="N23" s="1126"/>
      <c r="O23" s="1126"/>
      <c r="P23" s="3282"/>
      <c r="Q23" s="1803" t="str">
        <f>B23</f>
        <v>环境质量</v>
      </c>
      <c r="R23" s="772" t="s">
        <v>17</v>
      </c>
      <c r="S23" s="773">
        <f>F23</f>
        <v>100</v>
      </c>
      <c r="T23" s="772" t="s">
        <v>17</v>
      </c>
      <c r="U23" s="773">
        <f>H23</f>
        <v>100</v>
      </c>
      <c r="V23" s="772" t="s">
        <v>17</v>
      </c>
      <c r="W23" s="773">
        <f>J23</f>
        <v>100</v>
      </c>
      <c r="X23" s="1806"/>
      <c r="Y23" s="3220"/>
      <c r="Z23" s="1807" t="str">
        <f>Q23</f>
        <v>环境质量</v>
      </c>
      <c r="AA23" s="1804">
        <f t="shared" si="3"/>
        <v>1</v>
      </c>
      <c r="AB23" s="1804">
        <f t="shared" si="4"/>
        <v>1</v>
      </c>
      <c r="AC23" s="2658">
        <f t="shared" si="5"/>
        <v>1</v>
      </c>
    </row>
    <row r="24" spans="1:29" ht="15">
      <c r="A24" s="427"/>
      <c r="B24" s="631"/>
      <c r="C24" s="2595" t="s">
        <v>3049</v>
      </c>
      <c r="D24" s="447"/>
      <c r="E24" s="2595" t="s">
        <v>3049</v>
      </c>
      <c r="F24" s="447"/>
      <c r="G24" s="2595" t="s">
        <v>3049</v>
      </c>
      <c r="H24" s="447"/>
      <c r="I24" s="2595" t="s">
        <v>3049</v>
      </c>
      <c r="J24" s="447"/>
      <c r="K24" s="614"/>
      <c r="L24" s="1135"/>
      <c r="M24" s="1126"/>
      <c r="N24" s="1126"/>
      <c r="O24" s="1126"/>
      <c r="P24" s="3282"/>
      <c r="Q24" s="1803"/>
      <c r="R24" s="772"/>
      <c r="S24" s="773"/>
      <c r="T24" s="772"/>
      <c r="U24" s="773"/>
      <c r="V24" s="772"/>
      <c r="W24" s="773"/>
      <c r="X24" s="1806"/>
      <c r="Y24" s="3220"/>
      <c r="Z24" s="1807"/>
      <c r="AA24" s="1804">
        <v>1</v>
      </c>
      <c r="AB24" s="1804">
        <v>1</v>
      </c>
      <c r="AC24" s="2658">
        <v>1</v>
      </c>
    </row>
    <row r="25" spans="1:29" ht="27">
      <c r="A25" s="403"/>
      <c r="B25" s="629" t="s">
        <v>2671</v>
      </c>
      <c r="C25" s="2963" t="str">
        <f>'土地比较法-住宅、综合'!C32</f>
        <v>四环</v>
      </c>
      <c r="D25" s="434">
        <v>100</v>
      </c>
      <c r="E25" s="2961" t="s">
        <v>3180</v>
      </c>
      <c r="F25" s="434">
        <f>SUMIF(87:87,E26,88:88)-SUMIF(87:87,C26,88:88)+100</f>
        <v>100</v>
      </c>
      <c r="G25" s="2962" t="s">
        <v>3182</v>
      </c>
      <c r="H25" s="434">
        <f>SUMIF(87:87,G26,88:88)-SUMIF(87:87,C26,88:88)+100</f>
        <v>96</v>
      </c>
      <c r="I25" s="2961" t="s">
        <v>3181</v>
      </c>
      <c r="J25" s="434">
        <f>SUMIF(87:87,I26,88:88)-SUMIF(87:87,C26,88:88)+100</f>
        <v>96</v>
      </c>
      <c r="K25" s="2964">
        <f>'土地比较法-住宅、综合'!K32</f>
        <v>2</v>
      </c>
      <c r="L25" s="1135"/>
      <c r="M25" s="1126"/>
      <c r="N25" s="1126"/>
      <c r="O25" s="1126"/>
      <c r="P25" s="3282"/>
      <c r="Q25" s="1803" t="str">
        <f>B25</f>
        <v>毗邻道路的类型与等级</v>
      </c>
      <c r="R25" s="772" t="s">
        <v>17</v>
      </c>
      <c r="S25" s="773">
        <f>F25</f>
        <v>100</v>
      </c>
      <c r="T25" s="772" t="s">
        <v>17</v>
      </c>
      <c r="U25" s="773">
        <f>H25</f>
        <v>96</v>
      </c>
      <c r="V25" s="772" t="s">
        <v>17</v>
      </c>
      <c r="W25" s="773">
        <f>J25</f>
        <v>96</v>
      </c>
      <c r="X25" s="1806"/>
      <c r="Y25" s="3220"/>
      <c r="Z25" s="1807" t="str">
        <f>Q25</f>
        <v>毗邻道路的类型与等级</v>
      </c>
      <c r="AA25" s="1804">
        <f t="shared" si="3"/>
        <v>1</v>
      </c>
      <c r="AB25" s="1804">
        <f t="shared" si="4"/>
        <v>1.0416666666666667</v>
      </c>
      <c r="AC25" s="2658">
        <f t="shared" si="5"/>
        <v>1.0416666666666667</v>
      </c>
    </row>
    <row r="26" spans="1:29" ht="15">
      <c r="A26" s="403"/>
      <c r="B26" s="630"/>
      <c r="C26" s="632" t="s">
        <v>3168</v>
      </c>
      <c r="D26" s="434"/>
      <c r="E26" s="632" t="s">
        <v>3168</v>
      </c>
      <c r="F26" s="434"/>
      <c r="G26" s="632" t="s">
        <v>3171</v>
      </c>
      <c r="H26" s="434"/>
      <c r="I26" s="632" t="s">
        <v>3171</v>
      </c>
      <c r="J26" s="434"/>
      <c r="K26" s="614"/>
      <c r="L26" s="1135"/>
      <c r="M26" s="1126"/>
      <c r="N26" s="1126"/>
      <c r="O26" s="1126"/>
      <c r="P26" s="3282"/>
      <c r="Q26" s="1803"/>
      <c r="R26" s="772"/>
      <c r="S26" s="773"/>
      <c r="T26" s="772"/>
      <c r="U26" s="773"/>
      <c r="V26" s="772"/>
      <c r="W26" s="773"/>
      <c r="X26" s="1806"/>
      <c r="Y26" s="3220"/>
      <c r="Z26" s="1807"/>
      <c r="AA26" s="1804">
        <v>1</v>
      </c>
      <c r="AB26" s="1804">
        <v>1</v>
      </c>
      <c r="AC26" s="2658">
        <v>1</v>
      </c>
    </row>
    <row r="27" spans="1:29" ht="15">
      <c r="A27" s="427"/>
      <c r="B27" s="630" t="s">
        <v>2639</v>
      </c>
      <c r="C27" s="632" t="s">
        <v>3184</v>
      </c>
      <c r="D27" s="434">
        <v>100</v>
      </c>
      <c r="E27" s="615" t="s">
        <v>3186</v>
      </c>
      <c r="F27" s="434">
        <f>SUMIF(89:89,E27,90:90)-SUMIF(89:89,C27,90:90)+100</f>
        <v>98</v>
      </c>
      <c r="G27" s="632" t="s">
        <v>3184</v>
      </c>
      <c r="H27" s="434">
        <f>SUMIF(89:89,G27,90:90)-SUMIF(89:89,C27,90:90)+100</f>
        <v>100</v>
      </c>
      <c r="I27" s="615" t="s">
        <v>3184</v>
      </c>
      <c r="J27" s="434">
        <f>SUMIF(89:89,I27,90:90)-SUMIF(89:89,C27,90:90)+100</f>
        <v>100</v>
      </c>
      <c r="K27" s="611">
        <v>2</v>
      </c>
      <c r="L27" s="1135"/>
      <c r="M27" s="1126"/>
      <c r="N27" s="1126"/>
      <c r="O27" s="1126"/>
      <c r="P27" s="3282"/>
      <c r="Q27" s="1803" t="str">
        <f t="shared" ref="Q27:Q47" si="11">B27</f>
        <v>楼层</v>
      </c>
      <c r="R27" s="772" t="s">
        <v>17</v>
      </c>
      <c r="S27" s="773">
        <f>F27</f>
        <v>98</v>
      </c>
      <c r="T27" s="772" t="s">
        <v>17</v>
      </c>
      <c r="U27" s="773">
        <f>H27</f>
        <v>100</v>
      </c>
      <c r="V27" s="772" t="s">
        <v>17</v>
      </c>
      <c r="W27" s="773">
        <f>J27</f>
        <v>100</v>
      </c>
      <c r="X27" s="1806"/>
      <c r="Y27" s="3220"/>
      <c r="Z27" s="1807" t="str">
        <f>Q27</f>
        <v>楼层</v>
      </c>
      <c r="AA27" s="1804">
        <f t="shared" si="3"/>
        <v>1.0204081632653061</v>
      </c>
      <c r="AB27" s="1804">
        <f t="shared" si="4"/>
        <v>1</v>
      </c>
      <c r="AC27" s="2658">
        <f t="shared" si="5"/>
        <v>1</v>
      </c>
    </row>
    <row r="28" spans="1:29" s="117" customFormat="1" ht="15.75" thickBot="1">
      <c r="A28" s="430"/>
      <c r="B28" s="629" t="s">
        <v>2672</v>
      </c>
      <c r="C28" s="2661"/>
      <c r="D28" s="461">
        <v>100</v>
      </c>
      <c r="E28" s="2649"/>
      <c r="F28" s="461">
        <f>SUMIF(91:91,E28,92:92)-SUMIF(91:91,C28,92:92)+100</f>
        <v>100</v>
      </c>
      <c r="G28" s="2661"/>
      <c r="H28" s="461">
        <f>SUMIF(91:91,G28,92:92)-SUMIF(91:91,C28,92:92)+100</f>
        <v>100</v>
      </c>
      <c r="I28" s="2649"/>
      <c r="J28" s="461">
        <f>SUMIF(91:91,I28,92:92)-SUMIF(91:91,C28,92:92)+100</f>
        <v>100</v>
      </c>
      <c r="K28" s="611"/>
      <c r="L28" s="1127"/>
      <c r="M28" s="1128"/>
      <c r="N28" s="1128"/>
      <c r="O28" s="1128"/>
      <c r="P28" s="3282"/>
      <c r="Q28" s="1788" t="str">
        <f t="shared" si="11"/>
        <v>朝向</v>
      </c>
      <c r="R28" s="768" t="s">
        <v>17</v>
      </c>
      <c r="S28" s="769">
        <f>F28</f>
        <v>100</v>
      </c>
      <c r="T28" s="768" t="s">
        <v>17</v>
      </c>
      <c r="U28" s="769">
        <f>H28</f>
        <v>100</v>
      </c>
      <c r="V28" s="768" t="s">
        <v>17</v>
      </c>
      <c r="W28" s="769">
        <f>J28</f>
        <v>100</v>
      </c>
      <c r="X28" s="770"/>
      <c r="Y28" s="3220"/>
      <c r="Z28" s="55" t="str">
        <f>Q28</f>
        <v>朝向</v>
      </c>
      <c r="AA28" s="1804">
        <f>D28/F28</f>
        <v>1</v>
      </c>
      <c r="AB28" s="1804">
        <f>D28/H28</f>
        <v>1</v>
      </c>
      <c r="AC28" s="2658">
        <f>D28/J28</f>
        <v>1</v>
      </c>
    </row>
    <row r="29" spans="1:29" ht="15" hidden="1">
      <c r="A29" s="427"/>
      <c r="B29" s="2662">
        <v>111</v>
      </c>
      <c r="C29" s="2599"/>
      <c r="D29" s="434">
        <v>100</v>
      </c>
      <c r="E29" s="431"/>
      <c r="F29" s="434">
        <f>SUMIF(93:93,E29,94:94)-SUMIF(93:93,C29,94:94)+100</f>
        <v>100</v>
      </c>
      <c r="G29" s="2656"/>
      <c r="H29" s="434">
        <f>SUMIF(93:93,G29,94:94)-SUMIF(93:93,C29,94:94)+100</f>
        <v>100</v>
      </c>
      <c r="I29" s="431"/>
      <c r="J29" s="434">
        <f>SUMIF(93:93,I29,94:94)-SUMIF(93:93,C29,94:94)+100</f>
        <v>100</v>
      </c>
      <c r="K29" s="612"/>
      <c r="L29" s="1135"/>
      <c r="M29" s="1126"/>
      <c r="N29" s="1126"/>
      <c r="O29" s="1126"/>
      <c r="P29" s="3282"/>
      <c r="Q29" s="1803">
        <f t="shared" si="11"/>
        <v>111</v>
      </c>
      <c r="R29" s="772" t="s">
        <v>17</v>
      </c>
      <c r="S29" s="773">
        <f t="shared" ref="S29:S47" si="12">F29</f>
        <v>100</v>
      </c>
      <c r="T29" s="772" t="s">
        <v>17</v>
      </c>
      <c r="U29" s="773">
        <f t="shared" ref="U29:U47" si="13">H29</f>
        <v>100</v>
      </c>
      <c r="V29" s="772" t="s">
        <v>17</v>
      </c>
      <c r="W29" s="773">
        <f t="shared" ref="W29:W47" si="14">J29</f>
        <v>100</v>
      </c>
      <c r="X29" s="1806"/>
      <c r="Y29" s="3220"/>
      <c r="Z29" s="1807">
        <f t="shared" ref="Z29:Z47" si="15">Q29</f>
        <v>111</v>
      </c>
      <c r="AA29" s="1804">
        <f t="shared" si="3"/>
        <v>1</v>
      </c>
      <c r="AB29" s="1804">
        <f t="shared" si="4"/>
        <v>1</v>
      </c>
      <c r="AC29" s="2658">
        <f t="shared" si="5"/>
        <v>1</v>
      </c>
    </row>
    <row r="30" spans="1:29" ht="15" hidden="1">
      <c r="A30" s="427"/>
      <c r="B30" s="2662">
        <v>111</v>
      </c>
      <c r="C30" s="2599"/>
      <c r="D30" s="434">
        <v>100</v>
      </c>
      <c r="E30" s="431"/>
      <c r="F30" s="434">
        <f>SUMIF(95:95,E30,96:96)-SUMIF(95:95,C30,96:96)+100</f>
        <v>100</v>
      </c>
      <c r="G30" s="2656"/>
      <c r="H30" s="434">
        <f>SUMIF(95:95,G30,96:96)-SUMIF(95:95,C30,96:96)+100</f>
        <v>100</v>
      </c>
      <c r="I30" s="431"/>
      <c r="J30" s="434">
        <f>SUMIF(95:95,I30,96:96)-SUMIF(95:95,C30,96:96)+100</f>
        <v>100</v>
      </c>
      <c r="K30" s="612"/>
      <c r="L30" s="1135"/>
      <c r="M30" s="1126"/>
      <c r="N30" s="1126"/>
      <c r="O30" s="1126"/>
      <c r="P30" s="3282"/>
      <c r="Q30" s="1803">
        <f t="shared" si="11"/>
        <v>111</v>
      </c>
      <c r="R30" s="772" t="s">
        <v>17</v>
      </c>
      <c r="S30" s="773">
        <f t="shared" si="12"/>
        <v>100</v>
      </c>
      <c r="T30" s="772" t="s">
        <v>17</v>
      </c>
      <c r="U30" s="773">
        <f t="shared" si="13"/>
        <v>100</v>
      </c>
      <c r="V30" s="772" t="s">
        <v>17</v>
      </c>
      <c r="W30" s="773">
        <f t="shared" si="14"/>
        <v>100</v>
      </c>
      <c r="X30" s="1806"/>
      <c r="Y30" s="3220"/>
      <c r="Z30" s="1807">
        <f t="shared" si="15"/>
        <v>111</v>
      </c>
      <c r="AA30" s="1804">
        <f t="shared" si="3"/>
        <v>1</v>
      </c>
      <c r="AB30" s="1804">
        <f t="shared" si="4"/>
        <v>1</v>
      </c>
      <c r="AC30" s="2658">
        <f t="shared" si="5"/>
        <v>1</v>
      </c>
    </row>
    <row r="31" spans="1:29" ht="15" hidden="1">
      <c r="A31" s="427"/>
      <c r="B31" s="2662">
        <v>111</v>
      </c>
      <c r="C31" s="2599"/>
      <c r="D31" s="434">
        <v>100</v>
      </c>
      <c r="E31" s="431"/>
      <c r="F31" s="434">
        <f>SUMIF(97:97,E31,98:98)-SUMIF(97:97,C31,98:98)+100</f>
        <v>100</v>
      </c>
      <c r="G31" s="2656"/>
      <c r="H31" s="434">
        <f>SUMIF(97:97,G31,98:98)-SUMIF(97:97,C31,98:98)+100</f>
        <v>100</v>
      </c>
      <c r="I31" s="431"/>
      <c r="J31" s="434">
        <f>SUMIF(97:97,I31,98:98)-SUMIF(97:97,C31,98:98)+100</f>
        <v>100</v>
      </c>
      <c r="K31" s="612"/>
      <c r="L31" s="1135"/>
      <c r="M31" s="1126"/>
      <c r="N31" s="1126"/>
      <c r="O31" s="1126"/>
      <c r="P31" s="3282"/>
      <c r="Q31" s="1803">
        <f t="shared" si="11"/>
        <v>111</v>
      </c>
      <c r="R31" s="772" t="s">
        <v>17</v>
      </c>
      <c r="S31" s="773">
        <f t="shared" si="12"/>
        <v>100</v>
      </c>
      <c r="T31" s="772" t="s">
        <v>17</v>
      </c>
      <c r="U31" s="773">
        <f t="shared" si="13"/>
        <v>100</v>
      </c>
      <c r="V31" s="772" t="s">
        <v>17</v>
      </c>
      <c r="W31" s="773">
        <f t="shared" si="14"/>
        <v>100</v>
      </c>
      <c r="X31" s="1806"/>
      <c r="Y31" s="3220"/>
      <c r="Z31" s="1807">
        <f t="shared" si="15"/>
        <v>111</v>
      </c>
      <c r="AA31" s="1804">
        <f t="shared" si="3"/>
        <v>1</v>
      </c>
      <c r="AB31" s="1804">
        <f t="shared" si="4"/>
        <v>1</v>
      </c>
      <c r="AC31" s="2658">
        <f t="shared" si="5"/>
        <v>1</v>
      </c>
    </row>
    <row r="32" spans="1:29" ht="15.75" hidden="1" thickBot="1">
      <c r="A32" s="435"/>
      <c r="B32" s="633">
        <v>111</v>
      </c>
      <c r="C32" s="2600"/>
      <c r="D32" s="437">
        <v>100</v>
      </c>
      <c r="E32" s="626"/>
      <c r="F32" s="437">
        <f>SUMIF(99:99,E32,100:100)-SUMIF(99:99,C32,100:100)+100</f>
        <v>100</v>
      </c>
      <c r="G32" s="2656"/>
      <c r="H32" s="437">
        <f>SUMIF(99:99,G32,100:100)-SUMIF(99:99,C32,100:100)+100</f>
        <v>100</v>
      </c>
      <c r="I32" s="431"/>
      <c r="J32" s="437">
        <f>SUMIF(99:99,I32,100:100)-SUMIF(99:99,C32,100:100)+100</f>
        <v>100</v>
      </c>
      <c r="K32" s="612"/>
      <c r="L32" s="1135"/>
      <c r="M32" s="1126"/>
      <c r="N32" s="1126"/>
      <c r="O32" s="1126"/>
      <c r="P32" s="3282"/>
      <c r="Q32" s="1803">
        <f t="shared" si="11"/>
        <v>111</v>
      </c>
      <c r="R32" s="772" t="s">
        <v>17</v>
      </c>
      <c r="S32" s="773">
        <f t="shared" si="12"/>
        <v>100</v>
      </c>
      <c r="T32" s="772" t="s">
        <v>17</v>
      </c>
      <c r="U32" s="773">
        <f t="shared" si="13"/>
        <v>100</v>
      </c>
      <c r="V32" s="772" t="s">
        <v>17</v>
      </c>
      <c r="W32" s="773">
        <f t="shared" si="14"/>
        <v>100</v>
      </c>
      <c r="X32" s="1806"/>
      <c r="Y32" s="3220"/>
      <c r="Z32" s="1807">
        <f t="shared" si="15"/>
        <v>111</v>
      </c>
      <c r="AA32" s="1804">
        <f t="shared" si="3"/>
        <v>1</v>
      </c>
      <c r="AB32" s="1804">
        <f t="shared" si="4"/>
        <v>1</v>
      </c>
      <c r="AC32" s="2658">
        <f t="shared" si="5"/>
        <v>1</v>
      </c>
    </row>
    <row r="33" spans="1:29" ht="15">
      <c r="A33" s="439" t="s">
        <v>2543</v>
      </c>
      <c r="B33" s="71" t="s">
        <v>2673</v>
      </c>
      <c r="C33" s="2663" t="s">
        <v>3192</v>
      </c>
      <c r="D33" s="466">
        <v>100</v>
      </c>
      <c r="E33" s="2663" t="s">
        <v>3192</v>
      </c>
      <c r="F33" s="460">
        <f>SUMIF(101:101,E33,102:102)-SUMIF(101:101,C33,102:102)+100</f>
        <v>100</v>
      </c>
      <c r="G33" s="2663" t="s">
        <v>3192</v>
      </c>
      <c r="H33" s="434">
        <f>SUMIF(101:101,G33,102:102)-SUMIF(101:101,C33,102:102)+100</f>
        <v>100</v>
      </c>
      <c r="I33" s="2663" t="s">
        <v>3192</v>
      </c>
      <c r="J33" s="466">
        <f>SUMIF(101:101,I33,102:102)-SUMIF(101:101,C33,102:102)+100</f>
        <v>100</v>
      </c>
      <c r="K33" s="611">
        <v>5</v>
      </c>
      <c r="L33" s="1135"/>
      <c r="M33" s="1126"/>
      <c r="N33" s="1126"/>
      <c r="O33" s="1126"/>
      <c r="P33" s="3277" t="s">
        <v>2545</v>
      </c>
      <c r="Q33" s="1803" t="str">
        <f t="shared" si="11"/>
        <v>建筑类型</v>
      </c>
      <c r="R33" s="772" t="s">
        <v>17</v>
      </c>
      <c r="S33" s="773">
        <f t="shared" si="12"/>
        <v>100</v>
      </c>
      <c r="T33" s="772" t="s">
        <v>17</v>
      </c>
      <c r="U33" s="773">
        <f t="shared" si="13"/>
        <v>100</v>
      </c>
      <c r="V33" s="772" t="s">
        <v>17</v>
      </c>
      <c r="W33" s="773">
        <f t="shared" si="14"/>
        <v>100</v>
      </c>
      <c r="X33" s="1806"/>
      <c r="Y33" s="3221" t="s">
        <v>2545</v>
      </c>
      <c r="Z33" s="1807" t="str">
        <f t="shared" si="15"/>
        <v>建筑类型</v>
      </c>
      <c r="AA33" s="1804">
        <f t="shared" si="3"/>
        <v>1</v>
      </c>
      <c r="AB33" s="1804">
        <f t="shared" si="4"/>
        <v>1</v>
      </c>
      <c r="AC33" s="2658">
        <f t="shared" si="5"/>
        <v>1</v>
      </c>
    </row>
    <row r="34" spans="1:29" s="470" customFormat="1" ht="15">
      <c r="A34" s="467"/>
      <c r="B34" s="421" t="s">
        <v>2546</v>
      </c>
      <c r="C34" s="468"/>
      <c r="D34" s="135">
        <v>100</v>
      </c>
      <c r="E34" s="429"/>
      <c r="F34" s="424">
        <f>LOOKUP(E34,104:104,105:105)-LOOKUP(C34,104:104,105:105)+100</f>
        <v>100</v>
      </c>
      <c r="G34" s="428"/>
      <c r="H34" s="135">
        <f>LOOKUP(G34,104:104,105:105)-LOOKUP(C34,104:104,105:105)+100</f>
        <v>100</v>
      </c>
      <c r="I34" s="428"/>
      <c r="J34" s="135">
        <f>LOOKUP(I34,104:104,105:105)-LOOKUP(C34,104:104,105:105)+100</f>
        <v>100</v>
      </c>
      <c r="K34" s="612"/>
      <c r="L34" s="1133"/>
      <c r="M34" s="1136"/>
      <c r="N34" s="1136"/>
      <c r="O34" s="1136"/>
      <c r="P34" s="3278"/>
      <c r="Q34" s="774" t="str">
        <f t="shared" si="11"/>
        <v>项目建筑规模</v>
      </c>
      <c r="R34" s="775" t="s">
        <v>17</v>
      </c>
      <c r="S34" s="776">
        <f t="shared" si="12"/>
        <v>100</v>
      </c>
      <c r="T34" s="775" t="s">
        <v>17</v>
      </c>
      <c r="U34" s="776">
        <f t="shared" si="13"/>
        <v>100</v>
      </c>
      <c r="V34" s="775" t="s">
        <v>17</v>
      </c>
      <c r="W34" s="776">
        <f t="shared" si="14"/>
        <v>100</v>
      </c>
      <c r="X34" s="777"/>
      <c r="Y34" s="3221"/>
      <c r="Z34" s="778" t="str">
        <f t="shared" si="15"/>
        <v>项目建筑规模</v>
      </c>
      <c r="AA34" s="1804">
        <f t="shared" si="3"/>
        <v>1</v>
      </c>
      <c r="AB34" s="1804">
        <f t="shared" si="4"/>
        <v>1</v>
      </c>
      <c r="AC34" s="2658">
        <f t="shared" si="5"/>
        <v>1</v>
      </c>
    </row>
    <row r="35" spans="1:29" ht="15">
      <c r="A35" s="471"/>
      <c r="B35" s="421" t="s">
        <v>2547</v>
      </c>
      <c r="C35" s="459" t="s">
        <v>3123</v>
      </c>
      <c r="D35" s="434">
        <v>100</v>
      </c>
      <c r="E35" s="459" t="s">
        <v>3123</v>
      </c>
      <c r="F35" s="460">
        <f>SUMIF(106:106,E35,107:107)-SUMIF(106:106,C35,107:107)+100</f>
        <v>100</v>
      </c>
      <c r="G35" s="459" t="s">
        <v>3123</v>
      </c>
      <c r="H35" s="434">
        <f>SUMIF(106:106,G35,107:107)-SUMIF(106:106,C35,107:107)+100</f>
        <v>100</v>
      </c>
      <c r="I35" s="459" t="s">
        <v>3123</v>
      </c>
      <c r="J35" s="434">
        <f>SUMIF(106:106,I35,107:107)-SUMIF(106:106,C35,107:107)+100</f>
        <v>100</v>
      </c>
      <c r="K35" s="611">
        <v>2</v>
      </c>
      <c r="L35" s="1135"/>
      <c r="M35" s="1126"/>
      <c r="N35" s="1126"/>
      <c r="O35" s="1126"/>
      <c r="P35" s="3278"/>
      <c r="Q35" s="1803" t="str">
        <f t="shared" si="11"/>
        <v>建筑结构</v>
      </c>
      <c r="R35" s="772" t="s">
        <v>17</v>
      </c>
      <c r="S35" s="773">
        <f t="shared" si="12"/>
        <v>100</v>
      </c>
      <c r="T35" s="772" t="s">
        <v>17</v>
      </c>
      <c r="U35" s="773">
        <f t="shared" si="13"/>
        <v>100</v>
      </c>
      <c r="V35" s="772" t="s">
        <v>17</v>
      </c>
      <c r="W35" s="773">
        <f t="shared" si="14"/>
        <v>100</v>
      </c>
      <c r="X35" s="1806"/>
      <c r="Y35" s="3221"/>
      <c r="Z35" s="1807" t="str">
        <f t="shared" si="15"/>
        <v>建筑结构</v>
      </c>
      <c r="AA35" s="1804">
        <f t="shared" si="3"/>
        <v>1</v>
      </c>
      <c r="AB35" s="1804">
        <f t="shared" si="4"/>
        <v>1</v>
      </c>
      <c r="AC35" s="2658">
        <f t="shared" si="5"/>
        <v>1</v>
      </c>
    </row>
    <row r="36" spans="1:29" ht="15">
      <c r="A36" s="471"/>
      <c r="B36" s="421" t="s">
        <v>2641</v>
      </c>
      <c r="C36" s="459" t="s">
        <v>3198</v>
      </c>
      <c r="D36" s="434">
        <v>100</v>
      </c>
      <c r="E36" s="459" t="s">
        <v>3198</v>
      </c>
      <c r="F36" s="460">
        <f>SUMIF(108:108,E36,109:109)-SUMIF(108:108,C36,109:109)+100</f>
        <v>100</v>
      </c>
      <c r="G36" s="459" t="s">
        <v>3198</v>
      </c>
      <c r="H36" s="434">
        <f>SUMIF(108:108,G36,109:109)-SUMIF(108:108,C36,109:109)+100</f>
        <v>100</v>
      </c>
      <c r="I36" s="459" t="s">
        <v>3198</v>
      </c>
      <c r="J36" s="434">
        <f>SUMIF(108:108,I36,109:109)-SUMIF(108:108,C36,109:109)+100</f>
        <v>100</v>
      </c>
      <c r="K36" s="611">
        <v>2</v>
      </c>
      <c r="L36" s="1135"/>
      <c r="M36" s="1126"/>
      <c r="N36" s="1126"/>
      <c r="O36" s="1126"/>
      <c r="P36" s="3278"/>
      <c r="Q36" s="1803" t="str">
        <f t="shared" si="11"/>
        <v>公共部分装修</v>
      </c>
      <c r="R36" s="772" t="s">
        <v>17</v>
      </c>
      <c r="S36" s="773">
        <f t="shared" si="12"/>
        <v>100</v>
      </c>
      <c r="T36" s="772" t="s">
        <v>17</v>
      </c>
      <c r="U36" s="773">
        <f t="shared" si="13"/>
        <v>100</v>
      </c>
      <c r="V36" s="772" t="s">
        <v>17</v>
      </c>
      <c r="W36" s="773">
        <f t="shared" si="14"/>
        <v>100</v>
      </c>
      <c r="X36" s="1806"/>
      <c r="Y36" s="3221"/>
      <c r="Z36" s="1807" t="str">
        <f t="shared" si="15"/>
        <v>公共部分装修</v>
      </c>
      <c r="AA36" s="1804">
        <f t="shared" si="3"/>
        <v>1</v>
      </c>
      <c r="AB36" s="1804">
        <f t="shared" si="4"/>
        <v>1</v>
      </c>
      <c r="AC36" s="2658">
        <f t="shared" si="5"/>
        <v>1</v>
      </c>
    </row>
    <row r="37" spans="1:29" ht="15">
      <c r="A37" s="471"/>
      <c r="B37" s="421" t="s">
        <v>2642</v>
      </c>
      <c r="C37" s="473">
        <f>'数据-取费表'!Y6</f>
        <v>0.78</v>
      </c>
      <c r="D37" s="434">
        <v>100</v>
      </c>
      <c r="E37" s="473">
        <f>ROUND(1-(1-0%)*(2018-E61)/60,2)</f>
        <v>0.7</v>
      </c>
      <c r="F37" s="460">
        <f>LOOKUP(E37,111:111,112:112)-LOOKUP(C37,111:111,112:112)+100</f>
        <v>100</v>
      </c>
      <c r="G37" s="473">
        <f>ROUND(1-(1-0%)*(2018-G61)/60,2)</f>
        <v>0.92</v>
      </c>
      <c r="H37" s="460">
        <f>LOOKUP(G37,111:111,112:112)-LOOKUP(C37,111:111,112:112)+100</f>
        <v>110</v>
      </c>
      <c r="I37" s="473">
        <f>ROUND(1-(1-0%)*(2018-I61)/60,2)</f>
        <v>0.97</v>
      </c>
      <c r="J37" s="434">
        <f>LOOKUP(I37,111:111,112:112)-LOOKUP(C37,111:111,112:112)+100</f>
        <v>110</v>
      </c>
      <c r="K37" s="611">
        <v>5</v>
      </c>
      <c r="L37" s="1135"/>
      <c r="M37" s="1126"/>
      <c r="N37" s="1126"/>
      <c r="O37" s="1126"/>
      <c r="P37" s="3278"/>
      <c r="Q37" s="1803" t="str">
        <f t="shared" si="11"/>
        <v>成新度</v>
      </c>
      <c r="R37" s="772" t="s">
        <v>17</v>
      </c>
      <c r="S37" s="773">
        <f t="shared" si="12"/>
        <v>100</v>
      </c>
      <c r="T37" s="772" t="s">
        <v>17</v>
      </c>
      <c r="U37" s="773">
        <f t="shared" si="13"/>
        <v>110</v>
      </c>
      <c r="V37" s="772" t="s">
        <v>17</v>
      </c>
      <c r="W37" s="773">
        <f t="shared" si="14"/>
        <v>110</v>
      </c>
      <c r="X37" s="1806"/>
      <c r="Y37" s="3221"/>
      <c r="Z37" s="1807" t="str">
        <f t="shared" si="15"/>
        <v>成新度</v>
      </c>
      <c r="AA37" s="1804">
        <f t="shared" si="3"/>
        <v>1</v>
      </c>
      <c r="AB37" s="1804">
        <f t="shared" si="4"/>
        <v>0.90909090909090906</v>
      </c>
      <c r="AC37" s="2658">
        <f t="shared" si="5"/>
        <v>0.90909090909090906</v>
      </c>
    </row>
    <row r="38" spans="1:29" s="117" customFormat="1" ht="15">
      <c r="A38" s="472"/>
      <c r="B38" s="421" t="s">
        <v>2674</v>
      </c>
      <c r="C38" s="459" t="s">
        <v>3190</v>
      </c>
      <c r="D38" s="135">
        <v>100</v>
      </c>
      <c r="E38" s="459" t="s">
        <v>3190</v>
      </c>
      <c r="F38" s="460">
        <f>SUMIF(113:113,E38,114:114)-SUMIF(113:113,C38,114:114)+100</f>
        <v>100</v>
      </c>
      <c r="G38" s="459" t="s">
        <v>3190</v>
      </c>
      <c r="H38" s="434">
        <f>SUMIF(113:113,G38,114:114)-SUMIF(113:113,C38,114:114)+100</f>
        <v>100</v>
      </c>
      <c r="I38" s="459" t="s">
        <v>3190</v>
      </c>
      <c r="J38" s="434">
        <f>SUMIF(113:113,I38,114:114)-SUMIF(113:113,C38,114:114)+100</f>
        <v>100</v>
      </c>
      <c r="K38" s="611">
        <v>5</v>
      </c>
      <c r="L38" s="1127"/>
      <c r="M38" s="1128"/>
      <c r="N38" s="1128"/>
      <c r="O38" s="1128"/>
      <c r="P38" s="3278"/>
      <c r="Q38" s="1788" t="str">
        <f t="shared" si="11"/>
        <v>写字楼等级</v>
      </c>
      <c r="R38" s="768" t="s">
        <v>17</v>
      </c>
      <c r="S38" s="769">
        <f t="shared" si="12"/>
        <v>100</v>
      </c>
      <c r="T38" s="768" t="s">
        <v>17</v>
      </c>
      <c r="U38" s="769">
        <f t="shared" si="13"/>
        <v>100</v>
      </c>
      <c r="V38" s="768" t="s">
        <v>17</v>
      </c>
      <c r="W38" s="769">
        <f t="shared" si="14"/>
        <v>100</v>
      </c>
      <c r="X38" s="770"/>
      <c r="Y38" s="3221"/>
      <c r="Z38" s="55" t="str">
        <f t="shared" si="15"/>
        <v>写字楼等级</v>
      </c>
      <c r="AA38" s="771">
        <f t="shared" si="3"/>
        <v>1</v>
      </c>
      <c r="AB38" s="771">
        <f t="shared" si="4"/>
        <v>1</v>
      </c>
      <c r="AC38" s="2655">
        <f t="shared" si="5"/>
        <v>1</v>
      </c>
    </row>
    <row r="39" spans="1:29" ht="15">
      <c r="A39" s="471"/>
      <c r="B39" s="421" t="s">
        <v>2675</v>
      </c>
      <c r="C39" s="459" t="s">
        <v>3194</v>
      </c>
      <c r="D39" s="434">
        <v>100</v>
      </c>
      <c r="E39" s="459" t="s">
        <v>3194</v>
      </c>
      <c r="F39" s="460">
        <f>SUMIF(115:115,E39,116:116)-SUMIF(115:115,C39,116:116)+100</f>
        <v>100</v>
      </c>
      <c r="G39" s="459" t="s">
        <v>3194</v>
      </c>
      <c r="H39" s="434">
        <f>SUMIF(115:115,G39,116:116)-SUMIF(115:115,C39,116:116)+100</f>
        <v>100</v>
      </c>
      <c r="I39" s="459" t="s">
        <v>3194</v>
      </c>
      <c r="J39" s="434">
        <f>SUMIF(115:115,I39,116:116)-SUMIF(115:115,C39,116:116)+100</f>
        <v>100</v>
      </c>
      <c r="K39" s="611">
        <v>2</v>
      </c>
      <c r="L39" s="1135"/>
      <c r="M39" s="1126"/>
      <c r="N39" s="1126"/>
      <c r="O39" s="1126"/>
      <c r="P39" s="3278" t="s">
        <v>2545</v>
      </c>
      <c r="Q39" s="1803" t="str">
        <f t="shared" si="11"/>
        <v>物业管理</v>
      </c>
      <c r="R39" s="772" t="s">
        <v>17</v>
      </c>
      <c r="S39" s="773">
        <f t="shared" si="12"/>
        <v>100</v>
      </c>
      <c r="T39" s="772" t="s">
        <v>17</v>
      </c>
      <c r="U39" s="773">
        <f t="shared" si="13"/>
        <v>100</v>
      </c>
      <c r="V39" s="772" t="s">
        <v>17</v>
      </c>
      <c r="W39" s="773">
        <f t="shared" si="14"/>
        <v>100</v>
      </c>
      <c r="X39" s="1806"/>
      <c r="Y39" s="3221" t="s">
        <v>2545</v>
      </c>
      <c r="Z39" s="1807" t="str">
        <f t="shared" si="15"/>
        <v>物业管理</v>
      </c>
      <c r="AA39" s="1804">
        <f t="shared" si="3"/>
        <v>1</v>
      </c>
      <c r="AB39" s="1804">
        <f t="shared" si="4"/>
        <v>1</v>
      </c>
      <c r="AC39" s="2658">
        <f t="shared" si="5"/>
        <v>1</v>
      </c>
    </row>
    <row r="40" spans="1:29" ht="15">
      <c r="A40" s="471"/>
      <c r="B40" s="421" t="s">
        <v>2643</v>
      </c>
      <c r="C40" s="459" t="s">
        <v>3115</v>
      </c>
      <c r="D40" s="434">
        <v>100</v>
      </c>
      <c r="E40" s="459" t="s">
        <v>3115</v>
      </c>
      <c r="F40" s="460">
        <f>SUMIF(117:117,E40,118:118)-SUMIF(117:117,C40,118:118)+100</f>
        <v>100</v>
      </c>
      <c r="G40" s="459" t="s">
        <v>3115</v>
      </c>
      <c r="H40" s="434">
        <f>SUMIF(117:117,G40,118:118)-SUMIF(117:117,C40,118:118)+100</f>
        <v>100</v>
      </c>
      <c r="I40" s="459" t="s">
        <v>3115</v>
      </c>
      <c r="J40" s="434">
        <f>SUMIF(117:117,I40,118:118)-SUMIF(117:117,C40,118:118)+100</f>
        <v>100</v>
      </c>
      <c r="K40" s="2968">
        <f>'土地比较法-住宅、综合'!K41</f>
        <v>1</v>
      </c>
      <c r="L40" s="1135"/>
      <c r="M40" s="1126"/>
      <c r="N40" s="1126"/>
      <c r="O40" s="1126"/>
      <c r="P40" s="3278"/>
      <c r="Q40" s="1803" t="str">
        <f t="shared" si="11"/>
        <v>市政基础设施</v>
      </c>
      <c r="R40" s="772" t="s">
        <v>17</v>
      </c>
      <c r="S40" s="773">
        <f t="shared" si="12"/>
        <v>100</v>
      </c>
      <c r="T40" s="772" t="s">
        <v>17</v>
      </c>
      <c r="U40" s="773">
        <f t="shared" si="13"/>
        <v>100</v>
      </c>
      <c r="V40" s="772" t="s">
        <v>17</v>
      </c>
      <c r="W40" s="773">
        <f t="shared" si="14"/>
        <v>100</v>
      </c>
      <c r="X40" s="1806"/>
      <c r="Y40" s="3221"/>
      <c r="Z40" s="1807" t="str">
        <f t="shared" si="15"/>
        <v>市政基础设施</v>
      </c>
      <c r="AA40" s="1804">
        <f t="shared" si="3"/>
        <v>1</v>
      </c>
      <c r="AB40" s="1804">
        <f t="shared" si="4"/>
        <v>1</v>
      </c>
      <c r="AC40" s="2658">
        <f t="shared" si="5"/>
        <v>1</v>
      </c>
    </row>
    <row r="41" spans="1:29" ht="15">
      <c r="A41" s="471"/>
      <c r="B41" s="421" t="s">
        <v>2645</v>
      </c>
      <c r="C41" s="615" t="s">
        <v>3196</v>
      </c>
      <c r="D41" s="434">
        <v>100</v>
      </c>
      <c r="E41" s="615" t="s">
        <v>3196</v>
      </c>
      <c r="F41" s="460">
        <f>SUMIF(119:119,E41,120:120)-SUMIF(119:119,C41,120:120)+100</f>
        <v>100</v>
      </c>
      <c r="G41" s="615" t="s">
        <v>3196</v>
      </c>
      <c r="H41" s="434">
        <f>SUMIF(119:119,G41,120:120)-SUMIF(119:119,C41,120:120)+100</f>
        <v>100</v>
      </c>
      <c r="I41" s="615" t="s">
        <v>3196</v>
      </c>
      <c r="J41" s="434">
        <f>SUMIF(119:119,I41,120:120)-SUMIF(119:119,C41,120:120)+100</f>
        <v>100</v>
      </c>
      <c r="K41" s="611">
        <v>2</v>
      </c>
      <c r="L41" s="1135"/>
      <c r="M41" s="1126"/>
      <c r="N41" s="1126"/>
      <c r="O41" s="1126"/>
      <c r="P41" s="3278"/>
      <c r="Q41" s="1803" t="str">
        <f t="shared" si="11"/>
        <v>层高</v>
      </c>
      <c r="R41" s="772" t="s">
        <v>17</v>
      </c>
      <c r="S41" s="773">
        <f t="shared" si="12"/>
        <v>100</v>
      </c>
      <c r="T41" s="772" t="s">
        <v>17</v>
      </c>
      <c r="U41" s="773">
        <f t="shared" si="13"/>
        <v>100</v>
      </c>
      <c r="V41" s="772" t="s">
        <v>17</v>
      </c>
      <c r="W41" s="773">
        <f t="shared" si="14"/>
        <v>100</v>
      </c>
      <c r="X41" s="1806"/>
      <c r="Y41" s="3221"/>
      <c r="Z41" s="1807" t="str">
        <f t="shared" si="15"/>
        <v>层高</v>
      </c>
      <c r="AA41" s="1804">
        <f t="shared" si="3"/>
        <v>1</v>
      </c>
      <c r="AB41" s="1804">
        <f t="shared" si="4"/>
        <v>1</v>
      </c>
      <c r="AC41" s="2658">
        <f t="shared" si="5"/>
        <v>1</v>
      </c>
    </row>
    <row r="42" spans="1:29" s="470" customFormat="1" ht="15">
      <c r="A42" s="467"/>
      <c r="B42" s="1805" t="s">
        <v>2676</v>
      </c>
      <c r="C42" s="2976" t="s">
        <v>3231</v>
      </c>
      <c r="D42" s="2977">
        <v>100</v>
      </c>
      <c r="E42" s="2976" t="s">
        <v>3228</v>
      </c>
      <c r="F42" s="2978">
        <f>SUMIF(121:121,E42,122:122)-SUMIF(121:121,C42,122:122)+100</f>
        <v>98</v>
      </c>
      <c r="G42" s="2976" t="s">
        <v>3233</v>
      </c>
      <c r="H42" s="2977">
        <f>SUMIF(121:121,G42,122:122)-SUMIF(121:121,C42,122:122)+100</f>
        <v>96</v>
      </c>
      <c r="I42" s="2976" t="s">
        <v>3234</v>
      </c>
      <c r="J42" s="2977">
        <f>SUMIF(121:121,I42,122:122)-SUMIF(121:121,C42,122:122)+100</f>
        <v>96</v>
      </c>
      <c r="K42" s="612"/>
      <c r="L42" s="1133"/>
      <c r="M42" s="1136"/>
      <c r="N42" s="1136"/>
      <c r="O42" s="1136"/>
      <c r="P42" s="3278"/>
      <c r="Q42" s="774" t="str">
        <f t="shared" si="11"/>
        <v>单套建筑面积</v>
      </c>
      <c r="R42" s="775" t="s">
        <v>17</v>
      </c>
      <c r="S42" s="776">
        <f t="shared" si="12"/>
        <v>98</v>
      </c>
      <c r="T42" s="775" t="s">
        <v>17</v>
      </c>
      <c r="U42" s="776">
        <f t="shared" si="13"/>
        <v>96</v>
      </c>
      <c r="V42" s="775" t="s">
        <v>17</v>
      </c>
      <c r="W42" s="776">
        <f t="shared" si="14"/>
        <v>96</v>
      </c>
      <c r="X42" s="777"/>
      <c r="Y42" s="3221"/>
      <c r="Z42" s="778" t="str">
        <f t="shared" si="15"/>
        <v>单套建筑面积</v>
      </c>
      <c r="AA42" s="1804">
        <f t="shared" si="3"/>
        <v>1.0204081632653061</v>
      </c>
      <c r="AB42" s="1804">
        <f t="shared" si="4"/>
        <v>1.0416666666666667</v>
      </c>
      <c r="AC42" s="2658">
        <f t="shared" si="5"/>
        <v>1.0416666666666667</v>
      </c>
    </row>
    <row r="43" spans="1:29" ht="15">
      <c r="A43" s="471"/>
      <c r="B43" s="421" t="s">
        <v>2648</v>
      </c>
      <c r="C43" s="459" t="s">
        <v>3198</v>
      </c>
      <c r="D43" s="434">
        <v>100</v>
      </c>
      <c r="E43" s="459" t="s">
        <v>3198</v>
      </c>
      <c r="F43" s="460">
        <f>SUMIF(123:123,E43,124:124)-SUMIF(123:123,C43,124:124)+100</f>
        <v>100</v>
      </c>
      <c r="G43" s="459" t="s">
        <v>3200</v>
      </c>
      <c r="H43" s="434">
        <f>SUMIF(123:123,G43,124:124)-SUMIF(123:123,C43,124:124)+100</f>
        <v>98</v>
      </c>
      <c r="I43" s="459" t="s">
        <v>3200</v>
      </c>
      <c r="J43" s="434">
        <f>SUMIF(123:123,I43,124:124)-SUMIF(123:123,C43,124:124)+100</f>
        <v>98</v>
      </c>
      <c r="K43" s="611">
        <v>2</v>
      </c>
      <c r="L43" s="1135"/>
      <c r="M43" s="1126"/>
      <c r="N43" s="1126"/>
      <c r="O43" s="1126"/>
      <c r="P43" s="3278"/>
      <c r="Q43" s="1803" t="str">
        <f t="shared" si="11"/>
        <v>内部装修</v>
      </c>
      <c r="R43" s="772" t="s">
        <v>17</v>
      </c>
      <c r="S43" s="773">
        <f t="shared" si="12"/>
        <v>100</v>
      </c>
      <c r="T43" s="772" t="s">
        <v>17</v>
      </c>
      <c r="U43" s="773">
        <f t="shared" si="13"/>
        <v>98</v>
      </c>
      <c r="V43" s="772" t="s">
        <v>17</v>
      </c>
      <c r="W43" s="773">
        <f t="shared" si="14"/>
        <v>98</v>
      </c>
      <c r="X43" s="1806"/>
      <c r="Y43" s="3221"/>
      <c r="Z43" s="1807" t="str">
        <f t="shared" si="15"/>
        <v>内部装修</v>
      </c>
      <c r="AA43" s="1804">
        <f t="shared" si="3"/>
        <v>1</v>
      </c>
      <c r="AB43" s="1804">
        <f t="shared" si="4"/>
        <v>1.0204081632653061</v>
      </c>
      <c r="AC43" s="2658">
        <f t="shared" si="5"/>
        <v>1.0204081632653061</v>
      </c>
    </row>
    <row r="44" spans="1:29" ht="15.75" thickBot="1">
      <c r="A44" s="471"/>
      <c r="B44" s="421" t="s">
        <v>2556</v>
      </c>
      <c r="C44" s="459" t="s">
        <v>3049</v>
      </c>
      <c r="D44" s="434">
        <v>100</v>
      </c>
      <c r="E44" s="459" t="s">
        <v>3049</v>
      </c>
      <c r="F44" s="460">
        <f>SUMIF(125:125,E44,126:126)-SUMIF(125:125,C44,126:126)+100</f>
        <v>100</v>
      </c>
      <c r="G44" s="459" t="s">
        <v>3049</v>
      </c>
      <c r="H44" s="434">
        <f>SUMIF(125:125,G44,126:126)-SUMIF(125:125,C44,126:126)+100</f>
        <v>100</v>
      </c>
      <c r="I44" s="459" t="s">
        <v>3049</v>
      </c>
      <c r="J44" s="434">
        <f>SUMIF(125:125,I44,126:126)-SUMIF(125:125,C44,126:126)+100</f>
        <v>100</v>
      </c>
      <c r="K44" s="611">
        <v>2</v>
      </c>
      <c r="L44" s="1135"/>
      <c r="M44" s="1126"/>
      <c r="N44" s="1126"/>
      <c r="O44" s="1126"/>
      <c r="P44" s="3278"/>
      <c r="Q44" s="1803" t="str">
        <f t="shared" si="11"/>
        <v>内部装修维护情况</v>
      </c>
      <c r="R44" s="772" t="s">
        <v>17</v>
      </c>
      <c r="S44" s="773">
        <f t="shared" si="12"/>
        <v>100</v>
      </c>
      <c r="T44" s="772" t="s">
        <v>17</v>
      </c>
      <c r="U44" s="773">
        <f t="shared" si="13"/>
        <v>100</v>
      </c>
      <c r="V44" s="772" t="s">
        <v>17</v>
      </c>
      <c r="W44" s="773">
        <f t="shared" si="14"/>
        <v>100</v>
      </c>
      <c r="X44" s="1806"/>
      <c r="Y44" s="3221"/>
      <c r="Z44" s="1807" t="str">
        <f t="shared" si="15"/>
        <v>内部装修维护情况</v>
      </c>
      <c r="AA44" s="1804">
        <f t="shared" si="3"/>
        <v>1</v>
      </c>
      <c r="AB44" s="1804">
        <f t="shared" si="4"/>
        <v>1</v>
      </c>
      <c r="AC44" s="2658">
        <f t="shared" si="5"/>
        <v>1</v>
      </c>
    </row>
    <row r="45" spans="1:29" s="117" customFormat="1" ht="15" hidden="1">
      <c r="A45" s="472"/>
      <c r="B45" s="1381">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7"/>
      <c r="M45" s="1128"/>
      <c r="N45" s="1128"/>
      <c r="O45" s="1128"/>
      <c r="P45" s="3278"/>
      <c r="Q45" s="1788">
        <f t="shared" si="11"/>
        <v>111</v>
      </c>
      <c r="R45" s="768" t="s">
        <v>17</v>
      </c>
      <c r="S45" s="769">
        <f t="shared" si="12"/>
        <v>100</v>
      </c>
      <c r="T45" s="768" t="s">
        <v>17</v>
      </c>
      <c r="U45" s="769">
        <f t="shared" si="13"/>
        <v>100</v>
      </c>
      <c r="V45" s="768" t="s">
        <v>17</v>
      </c>
      <c r="W45" s="769">
        <f t="shared" si="14"/>
        <v>100</v>
      </c>
      <c r="X45" s="770"/>
      <c r="Y45" s="3221"/>
      <c r="Z45" s="55">
        <f t="shared" si="15"/>
        <v>111</v>
      </c>
      <c r="AA45" s="771">
        <f t="shared" si="3"/>
        <v>1</v>
      </c>
      <c r="AB45" s="771">
        <f t="shared" si="4"/>
        <v>1</v>
      </c>
      <c r="AC45" s="2655">
        <f t="shared" si="5"/>
        <v>1</v>
      </c>
    </row>
    <row r="46" spans="1:29" ht="15" hidden="1">
      <c r="A46" s="471"/>
      <c r="B46" s="1381">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5"/>
      <c r="M46" s="1126"/>
      <c r="N46" s="1126"/>
      <c r="O46" s="1126"/>
      <c r="P46" s="3278"/>
      <c r="Q46" s="1803">
        <f t="shared" si="11"/>
        <v>111</v>
      </c>
      <c r="R46" s="772" t="s">
        <v>17</v>
      </c>
      <c r="S46" s="773">
        <f t="shared" si="12"/>
        <v>100</v>
      </c>
      <c r="T46" s="772" t="s">
        <v>17</v>
      </c>
      <c r="U46" s="773">
        <f t="shared" si="13"/>
        <v>100</v>
      </c>
      <c r="V46" s="772" t="s">
        <v>17</v>
      </c>
      <c r="W46" s="773">
        <f t="shared" si="14"/>
        <v>100</v>
      </c>
      <c r="X46" s="1806"/>
      <c r="Y46" s="3221"/>
      <c r="Z46" s="1807">
        <f t="shared" si="15"/>
        <v>111</v>
      </c>
      <c r="AA46" s="1804">
        <f t="shared" si="3"/>
        <v>1</v>
      </c>
      <c r="AB46" s="1804">
        <f t="shared" si="4"/>
        <v>1</v>
      </c>
      <c r="AC46" s="2658">
        <f t="shared" si="5"/>
        <v>1</v>
      </c>
    </row>
    <row r="47" spans="1:29" ht="15.75" hidden="1" thickBot="1">
      <c r="A47" s="477"/>
      <c r="B47" s="258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5"/>
      <c r="M47" s="1126"/>
      <c r="N47" s="1126"/>
      <c r="O47" s="1126"/>
      <c r="P47" s="3279"/>
      <c r="Q47" s="1803">
        <f t="shared" si="11"/>
        <v>111</v>
      </c>
      <c r="R47" s="772" t="s">
        <v>17</v>
      </c>
      <c r="S47" s="773">
        <f t="shared" si="12"/>
        <v>100</v>
      </c>
      <c r="T47" s="772" t="s">
        <v>17</v>
      </c>
      <c r="U47" s="773">
        <f t="shared" si="13"/>
        <v>100</v>
      </c>
      <c r="V47" s="772" t="s">
        <v>17</v>
      </c>
      <c r="W47" s="773">
        <f t="shared" si="14"/>
        <v>100</v>
      </c>
      <c r="X47" s="1806"/>
      <c r="Y47" s="3280"/>
      <c r="Z47" s="1807">
        <f t="shared" si="15"/>
        <v>111</v>
      </c>
      <c r="AA47" s="1804">
        <f t="shared" si="3"/>
        <v>1</v>
      </c>
      <c r="AB47" s="1804">
        <f t="shared" si="4"/>
        <v>1</v>
      </c>
      <c r="AC47" s="2658">
        <f t="shared" si="5"/>
        <v>1</v>
      </c>
    </row>
    <row r="48" spans="1:29" ht="15">
      <c r="A48" s="478" t="s">
        <v>2557</v>
      </c>
      <c r="B48" s="479"/>
      <c r="C48" s="1402" t="s">
        <v>1</v>
      </c>
      <c r="D48" s="1403"/>
      <c r="E48" s="1404">
        <v>5.4</v>
      </c>
      <c r="F48" s="1405"/>
      <c r="G48" s="1406">
        <v>4.9000000000000004</v>
      </c>
      <c r="H48" s="1407"/>
      <c r="I48" s="1404">
        <v>5.5</v>
      </c>
      <c r="J48" s="484"/>
      <c r="K48" s="781"/>
      <c r="L48" s="1138"/>
      <c r="M48" s="1126"/>
      <c r="N48" s="1126"/>
      <c r="O48" s="1126"/>
      <c r="P48" s="3200" t="str">
        <f>A48</f>
        <v>成交单价（元/平方米）</v>
      </c>
      <c r="Q48" s="3201"/>
      <c r="R48" s="3276">
        <f>E48</f>
        <v>5.4</v>
      </c>
      <c r="S48" s="3276"/>
      <c r="T48" s="3276">
        <f>G48</f>
        <v>4.9000000000000004</v>
      </c>
      <c r="U48" s="3276"/>
      <c r="V48" s="3276">
        <f>I48</f>
        <v>5.5</v>
      </c>
      <c r="W48" s="3276"/>
      <c r="X48" s="445"/>
      <c r="Y48" s="779"/>
      <c r="Z48" s="445"/>
      <c r="AA48" s="445"/>
      <c r="AB48" s="445"/>
      <c r="AC48" s="628"/>
    </row>
    <row r="49" spans="1:29" ht="15.75" thickBot="1">
      <c r="A49" s="485" t="s">
        <v>2649</v>
      </c>
      <c r="B49" s="486"/>
      <c r="C49" s="1408">
        <f>R50</f>
        <v>5.4</v>
      </c>
      <c r="D49" s="1409"/>
      <c r="E49" s="1410">
        <f>R49</f>
        <v>5.7</v>
      </c>
      <c r="F49" s="1410"/>
      <c r="G49" s="1408">
        <f>T49</f>
        <v>4.9000000000000004</v>
      </c>
      <c r="H49" s="1409"/>
      <c r="I49" s="1410">
        <f>V49</f>
        <v>5.5</v>
      </c>
      <c r="J49" s="488"/>
      <c r="K49" s="782"/>
      <c r="L49" s="1138"/>
      <c r="M49" s="1126"/>
      <c r="N49" s="1126"/>
      <c r="O49" s="1126"/>
      <c r="P49" s="3200" t="str">
        <f>A49</f>
        <v>比较价值（元/平方米）</v>
      </c>
      <c r="Q49" s="3201"/>
      <c r="R49" s="3276">
        <f>IF(F1="售价",ROUND(PRODUCT(R48,AA7:AA47),0),ROUND(PRODUCT(R48,AA7:AA47),1))</f>
        <v>5.7</v>
      </c>
      <c r="S49" s="3276"/>
      <c r="T49" s="3276">
        <f>IF(F1="售价",ROUND(PRODUCT(T48,AB7:AB47),0),ROUND(PRODUCT(T48,AB7:AB47),1))</f>
        <v>4.9000000000000004</v>
      </c>
      <c r="U49" s="3276"/>
      <c r="V49" s="3276">
        <f>IF(F1="售价",ROUND(PRODUCT(V48,AC7:AC47),0),ROUND(PRODUCT(V48,AC7:AC47),1))</f>
        <v>5.5</v>
      </c>
      <c r="W49" s="3276"/>
      <c r="X49" s="445"/>
      <c r="Y49" s="445"/>
      <c r="Z49" s="445"/>
      <c r="AA49" s="445"/>
      <c r="AB49" s="445"/>
      <c r="AC49" s="628"/>
    </row>
    <row r="50" spans="1:29" ht="15.75" thickBot="1">
      <c r="A50" s="491" t="s">
        <v>2650</v>
      </c>
      <c r="B50" s="492"/>
      <c r="C50" s="1412">
        <f>R50</f>
        <v>5.4</v>
      </c>
      <c r="D50" s="1412"/>
      <c r="E50" s="1412"/>
      <c r="F50" s="1412"/>
      <c r="G50" s="1412"/>
      <c r="H50" s="1412"/>
      <c r="I50" s="1412"/>
      <c r="J50" s="493"/>
      <c r="K50" s="783"/>
      <c r="L50" s="1138"/>
      <c r="M50" s="1126"/>
      <c r="N50" s="1126"/>
      <c r="O50" s="1126"/>
      <c r="P50" s="3283" t="str">
        <f>A50</f>
        <v>估价对象XX用房的比较价值（楼面单价，元/平方米）</v>
      </c>
      <c r="Q50" s="3284"/>
      <c r="R50" s="3285">
        <f>IF(F1="售价",ROUND(AVERAGE(R49:V49),0),ROUND(AVERAGE(R49:V49),1))</f>
        <v>5.4</v>
      </c>
      <c r="S50" s="3285"/>
      <c r="T50" s="3285"/>
      <c r="U50" s="3285"/>
      <c r="V50" s="3285"/>
      <c r="W50" s="3285"/>
      <c r="X50" s="2638"/>
      <c r="Y50" s="2638"/>
      <c r="Z50" s="2638"/>
      <c r="AA50" s="2638"/>
      <c r="AB50" s="2638"/>
      <c r="AC50" s="2639"/>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6" t="s">
        <v>2651</v>
      </c>
      <c r="D53" s="497"/>
      <c r="E53" s="498">
        <f>IF(E48&lt;E49,E49/E48-1,E48/E49-1)</f>
        <v>5.555555555555558E-2</v>
      </c>
      <c r="F53" s="499" t="str">
        <f>IF(OR(E53&gt;=0.3,E53&lt;=-0.3),"超过30%","")</f>
        <v/>
      </c>
      <c r="G53" s="498">
        <f>IF(G48&lt;G49,G49/G48-1,G48/G49-1)</f>
        <v>0</v>
      </c>
      <c r="H53" s="499" t="str">
        <f>IF(OR(G53&gt;=0.3,G53&lt;=-0.3),"超过30%","")</f>
        <v/>
      </c>
      <c r="I53" s="498">
        <f>IF(I48&lt;I49,I49/I48-1,I48/I49-1)</f>
        <v>0</v>
      </c>
      <c r="J53" s="499" t="str">
        <f>IF(OR(I53&gt;=0.3,I53&lt;=-0.3),"超过30%","")</f>
        <v/>
      </c>
      <c r="K53" s="1100"/>
      <c r="L53" s="1101"/>
      <c r="M53" s="1139"/>
      <c r="N53" s="1139"/>
      <c r="O53" s="1139"/>
    </row>
    <row r="54" spans="1:29" ht="13.5" customHeight="1">
      <c r="A54" s="1139"/>
      <c r="B54" s="1139"/>
      <c r="C54" s="496" t="s">
        <v>2652</v>
      </c>
      <c r="D54" s="500"/>
      <c r="E54" s="498">
        <f>IF(E49&lt;G49,G49/E49-1,E49/G49-1)</f>
        <v>0.16326530612244894</v>
      </c>
      <c r="F54" s="499" t="str">
        <f>IF(OR(E54&gt;=0.2,E54&lt;=-0.2),"超过20%","")</f>
        <v/>
      </c>
      <c r="G54" s="498">
        <f>IF(G49&lt;I49,I49/G49-1,G49/I49-1)</f>
        <v>0.12244897959183665</v>
      </c>
      <c r="H54" s="499" t="str">
        <f>IF(OR(G54&gt;=0.2,G54&lt;=-0.2),"超过20%","")</f>
        <v/>
      </c>
      <c r="I54" s="498">
        <f>IF(I49&lt;E49,E49/I49-1,I49/E49-1)</f>
        <v>3.6363636363636376E-2</v>
      </c>
      <c r="J54" s="499" t="str">
        <f>IF(OR(I54&gt;=0.2,I54&lt;=-0.2),"超过20%","")</f>
        <v/>
      </c>
      <c r="K54" s="1100"/>
      <c r="L54" s="1101"/>
      <c r="M54" s="1139"/>
      <c r="N54" s="1139"/>
      <c r="O54" s="1139"/>
    </row>
    <row r="55" spans="1:29" s="501" customFormat="1" ht="13.5" customHeight="1">
      <c r="A55" s="1140"/>
      <c r="B55" s="1140"/>
      <c r="C55" s="496" t="s">
        <v>2653</v>
      </c>
      <c r="D55" s="500"/>
      <c r="E55" s="498">
        <f>IF(E48&lt;G48,G48/E48-1,E48/G48-1)</f>
        <v>0.1020408163265305</v>
      </c>
      <c r="F55" s="499" t="str">
        <f>IF(OR(E55&gt;=0.3,E55&lt;=-0.3),"超过30%","")</f>
        <v/>
      </c>
      <c r="G55" s="498">
        <f>IF(G48&lt;I48,I48/G48-1,G48/I48-1)</f>
        <v>0.12244897959183665</v>
      </c>
      <c r="H55" s="499" t="str">
        <f>IF(OR(G55&gt;=0.3,G55&lt;=-0.3),"超过30%","")</f>
        <v/>
      </c>
      <c r="I55" s="498">
        <f>IF(I48&lt;E48,E48/I48-1,I48/E48-1)</f>
        <v>1.8518518518518379E-2</v>
      </c>
      <c r="J55" s="499" t="str">
        <f>IF(OR(I55&gt;=0.3,I55&lt;=-0.3),"超过30%","")</f>
        <v/>
      </c>
      <c r="K55" s="1143"/>
      <c r="L55" s="1144"/>
      <c r="M55" s="1140"/>
      <c r="N55" s="1140"/>
      <c r="O55" s="1140"/>
      <c r="P55" s="2664"/>
    </row>
    <row r="56" spans="1:29" s="501" customFormat="1">
      <c r="A56" s="1140"/>
      <c r="B56" s="1141"/>
      <c r="C56" s="1145"/>
      <c r="D56" s="1140"/>
      <c r="E56" s="1140"/>
      <c r="F56" s="1140"/>
      <c r="G56" s="1140"/>
      <c r="H56" s="1140"/>
      <c r="I56" s="1140"/>
      <c r="J56" s="1140"/>
      <c r="K56" s="1143"/>
      <c r="L56" s="1144"/>
      <c r="M56" s="1140"/>
      <c r="N56" s="1140"/>
      <c r="O56" s="1140"/>
      <c r="P56" s="2664"/>
    </row>
    <row r="57" spans="1:29">
      <c r="A57" s="1139"/>
      <c r="B57" s="1141"/>
      <c r="C57" s="1145"/>
      <c r="D57" s="1139"/>
      <c r="E57" s="1139"/>
      <c r="F57" s="1139"/>
      <c r="G57" s="1139"/>
      <c r="H57" s="1139"/>
      <c r="I57" s="1139"/>
      <c r="J57" s="1139"/>
      <c r="K57" s="1100"/>
      <c r="L57" s="1101"/>
      <c r="M57" s="1139"/>
      <c r="N57" s="1139"/>
      <c r="O57" s="1139"/>
    </row>
    <row r="58" spans="1:29" ht="21.75" thickBot="1">
      <c r="A58" s="761" t="s">
        <v>2654</v>
      </c>
      <c r="B58" s="757"/>
      <c r="C58" s="762"/>
      <c r="D58" s="762"/>
      <c r="E58" s="762"/>
      <c r="F58" s="763"/>
      <c r="G58" s="763"/>
      <c r="H58" s="762"/>
      <c r="I58" s="762"/>
      <c r="J58" s="762"/>
      <c r="K58" s="764"/>
      <c r="L58" s="1156"/>
      <c r="M58" s="1154"/>
      <c r="N58" s="1154"/>
      <c r="O58" s="1154"/>
      <c r="P58" s="2665"/>
      <c r="Q58" s="503"/>
    </row>
    <row r="59" spans="1:29" s="507" customFormat="1" ht="15">
      <c r="A59" s="504" t="s">
        <v>2528</v>
      </c>
      <c r="B59" s="505"/>
      <c r="C59" s="1567" t="str">
        <f>YEAR(C7)&amp;"-"&amp;MONTH(C7)</f>
        <v>2018-4</v>
      </c>
      <c r="D59" s="1568">
        <f>EDATE(C59,-1)</f>
        <v>43160</v>
      </c>
      <c r="E59" s="1568">
        <f>EDATE(D59,-1)</f>
        <v>43132</v>
      </c>
      <c r="F59" s="1568">
        <f t="shared" ref="F59:O59" si="16">EDATE(E59,-1)</f>
        <v>43101</v>
      </c>
      <c r="G59" s="1568">
        <f t="shared" si="16"/>
        <v>43070</v>
      </c>
      <c r="H59" s="1568">
        <f t="shared" si="16"/>
        <v>43040</v>
      </c>
      <c r="I59" s="1568">
        <f t="shared" si="16"/>
        <v>43009</v>
      </c>
      <c r="J59" s="1568">
        <f t="shared" si="16"/>
        <v>42979</v>
      </c>
      <c r="K59" s="1568">
        <f t="shared" si="16"/>
        <v>42948</v>
      </c>
      <c r="L59" s="1568">
        <f t="shared" si="16"/>
        <v>42917</v>
      </c>
      <c r="M59" s="1568">
        <f t="shared" si="16"/>
        <v>42887</v>
      </c>
      <c r="N59" s="1568">
        <f t="shared" si="16"/>
        <v>42856</v>
      </c>
      <c r="O59" s="1568">
        <f t="shared" si="16"/>
        <v>42826</v>
      </c>
      <c r="P59" s="1564"/>
    </row>
    <row r="60" spans="1:29" s="117" customFormat="1" ht="15">
      <c r="A60" s="508"/>
      <c r="B60" s="509"/>
      <c r="C60" s="1566">
        <v>100</v>
      </c>
      <c r="D60" s="511"/>
      <c r="E60" s="511"/>
      <c r="F60" s="511"/>
      <c r="G60" s="511"/>
      <c r="H60" s="511"/>
      <c r="I60" s="511"/>
      <c r="J60" s="511"/>
      <c r="K60" s="511"/>
      <c r="L60" s="511"/>
      <c r="M60" s="512"/>
      <c r="N60" s="511"/>
      <c r="O60" s="512"/>
      <c r="P60" s="2666"/>
    </row>
    <row r="61" spans="1:29" s="117" customFormat="1" ht="15.75" thickBot="1">
      <c r="A61" s="514" t="s">
        <v>2565</v>
      </c>
      <c r="B61" s="515"/>
      <c r="C61" s="516"/>
      <c r="D61" s="2965" t="s">
        <v>3189</v>
      </c>
      <c r="E61" s="517">
        <v>2000</v>
      </c>
      <c r="F61" s="517"/>
      <c r="G61" s="517">
        <v>2013</v>
      </c>
      <c r="H61" s="517"/>
      <c r="I61" s="517">
        <v>2016</v>
      </c>
      <c r="J61" s="517"/>
      <c r="K61" s="517"/>
      <c r="L61" s="517"/>
      <c r="M61" s="518"/>
      <c r="N61" s="517"/>
      <c r="O61" s="518"/>
      <c r="P61" s="2666"/>
      <c r="Q61" s="503"/>
    </row>
    <row r="62" spans="1:29" s="117" customFormat="1" ht="15">
      <c r="A62" s="520" t="s">
        <v>2530</v>
      </c>
      <c r="B62" s="509"/>
      <c r="C62" s="521" t="s">
        <v>2632</v>
      </c>
      <c r="D62" s="522"/>
      <c r="E62" s="522"/>
      <c r="F62" s="522"/>
      <c r="G62" s="522"/>
      <c r="H62" s="522"/>
      <c r="I62" s="522"/>
      <c r="J62" s="522"/>
      <c r="K62" s="522"/>
      <c r="L62" s="523"/>
      <c r="M62" s="524"/>
      <c r="N62" s="1146"/>
      <c r="O62" s="1146"/>
      <c r="P62" s="2667"/>
      <c r="Q62" s="503"/>
    </row>
    <row r="63" spans="1:29" s="117" customFormat="1" ht="15.75" thickBot="1">
      <c r="A63" s="520"/>
      <c r="B63" s="509"/>
      <c r="C63" s="510">
        <v>100</v>
      </c>
      <c r="D63" s="511"/>
      <c r="E63" s="511"/>
      <c r="F63" s="511"/>
      <c r="G63" s="511"/>
      <c r="H63" s="511"/>
      <c r="I63" s="511"/>
      <c r="J63" s="511"/>
      <c r="K63" s="511"/>
      <c r="L63" s="511"/>
      <c r="M63" s="513"/>
      <c r="N63" s="1146"/>
      <c r="O63" s="1146"/>
      <c r="P63" s="2666"/>
      <c r="Q63" s="503"/>
    </row>
    <row r="64" spans="1:29">
      <c r="A64" s="526" t="s">
        <v>2568</v>
      </c>
      <c r="B64" s="527" t="s">
        <v>2534</v>
      </c>
      <c r="C64" s="528" t="str">
        <f>C9</f>
        <v>办公</v>
      </c>
      <c r="D64" s="529"/>
      <c r="E64" s="529"/>
      <c r="F64" s="529"/>
      <c r="G64" s="529"/>
      <c r="H64" s="529"/>
      <c r="I64" s="529"/>
      <c r="J64" s="529"/>
      <c r="K64" s="530"/>
      <c r="L64" s="531"/>
      <c r="M64" s="532"/>
      <c r="N64" s="1147"/>
      <c r="O64" s="1147"/>
      <c r="P64" s="2668"/>
      <c r="Q64" s="503"/>
    </row>
    <row r="65" spans="1:17" ht="15.75" thickBot="1">
      <c r="A65" s="533"/>
      <c r="B65" s="534"/>
      <c r="C65" s="535">
        <v>100</v>
      </c>
      <c r="D65" s="535"/>
      <c r="E65" s="535"/>
      <c r="F65" s="535"/>
      <c r="G65" s="535"/>
      <c r="H65" s="535"/>
      <c r="I65" s="535"/>
      <c r="J65" s="535"/>
      <c r="K65" s="535"/>
      <c r="L65" s="535"/>
      <c r="M65" s="536"/>
      <c r="N65" s="1148"/>
      <c r="O65" s="1148"/>
      <c r="P65" s="2668"/>
      <c r="Q65" s="503"/>
    </row>
    <row r="66" spans="1:17" ht="27.75" thickTop="1">
      <c r="A66" s="533"/>
      <c r="B66" s="537" t="s">
        <v>2537</v>
      </c>
      <c r="C66" s="538" t="s">
        <v>2569</v>
      </c>
      <c r="D66" s="538" t="s">
        <v>2570</v>
      </c>
      <c r="E66" s="538" t="s">
        <v>2571</v>
      </c>
      <c r="F66" s="538" t="s">
        <v>2572</v>
      </c>
      <c r="G66" s="538" t="s">
        <v>2573</v>
      </c>
      <c r="H66" s="538" t="s">
        <v>2574</v>
      </c>
      <c r="I66" s="538" t="s">
        <v>2575</v>
      </c>
      <c r="J66" s="538"/>
      <c r="K66" s="539"/>
      <c r="L66" s="540"/>
      <c r="M66" s="541"/>
      <c r="N66" s="1147"/>
      <c r="O66" s="1147"/>
      <c r="P66" s="266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8"/>
      <c r="O67" s="1148"/>
      <c r="P67" s="2668"/>
      <c r="Q67" s="503"/>
    </row>
    <row r="68" spans="1:17" ht="15.75" thickTop="1">
      <c r="A68" s="533"/>
      <c r="B68" s="545" t="s">
        <v>2538</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v>
      </c>
      <c r="K68" s="546" t="str">
        <f t="shared" si="17"/>
        <v>（含）-</v>
      </c>
      <c r="L68" s="546" t="str">
        <f t="shared" si="17"/>
        <v>（含）-</v>
      </c>
      <c r="M68" s="447" t="str">
        <f>M69&amp;"（含）"&amp;"-"&amp;P69</f>
        <v>（含）-</v>
      </c>
      <c r="N68" s="1148"/>
      <c r="O68" s="1148"/>
      <c r="P68" s="2668"/>
      <c r="Q68" s="503"/>
    </row>
    <row r="69" spans="1:17" ht="15">
      <c r="A69" s="533"/>
      <c r="B69" s="547"/>
      <c r="C69" s="548">
        <v>0</v>
      </c>
      <c r="D69" s="548">
        <v>1</v>
      </c>
      <c r="E69" s="548">
        <v>2</v>
      </c>
      <c r="F69" s="548">
        <v>3</v>
      </c>
      <c r="G69" s="548">
        <v>4</v>
      </c>
      <c r="H69" s="548">
        <v>5</v>
      </c>
      <c r="I69" s="548">
        <v>6</v>
      </c>
      <c r="J69" s="548">
        <v>7</v>
      </c>
      <c r="K69" s="549"/>
      <c r="L69" s="550"/>
      <c r="M69" s="551"/>
      <c r="N69" s="1147"/>
      <c r="O69" s="1147"/>
      <c r="P69" s="266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8"/>
      <c r="O70" s="1148"/>
      <c r="P70" s="2668"/>
      <c r="Q70" s="503"/>
    </row>
    <row r="71" spans="1:17" s="470" customFormat="1" ht="15.75" thickTop="1">
      <c r="A71" s="552"/>
      <c r="B71" s="537">
        <f>B12</f>
        <v>111</v>
      </c>
      <c r="C71" s="553"/>
      <c r="D71" s="553"/>
      <c r="E71" s="553"/>
      <c r="F71" s="553"/>
      <c r="G71" s="553"/>
      <c r="H71" s="554"/>
      <c r="I71" s="554"/>
      <c r="J71" s="554"/>
      <c r="K71" s="554"/>
      <c r="L71" s="555"/>
      <c r="M71" s="556"/>
      <c r="N71" s="1149"/>
      <c r="O71" s="1149"/>
      <c r="P71" s="2669"/>
      <c r="Q71" s="558"/>
    </row>
    <row r="72" spans="1:17" s="470" customFormat="1" ht="15.75" thickBot="1">
      <c r="A72" s="552"/>
      <c r="B72" s="542"/>
      <c r="C72" s="559"/>
      <c r="D72" s="535"/>
      <c r="E72" s="535"/>
      <c r="F72" s="535"/>
      <c r="G72" s="535"/>
      <c r="H72" s="535"/>
      <c r="I72" s="535"/>
      <c r="J72" s="535"/>
      <c r="K72" s="535"/>
      <c r="L72" s="535"/>
      <c r="M72" s="536"/>
      <c r="N72" s="1148"/>
      <c r="O72" s="1148"/>
      <c r="P72" s="2669"/>
      <c r="Q72" s="558"/>
    </row>
    <row r="73" spans="1:17" s="470" customFormat="1" ht="15.75" thickTop="1">
      <c r="A73" s="552"/>
      <c r="B73" s="537">
        <f>B13</f>
        <v>111</v>
      </c>
      <c r="C73" s="553"/>
      <c r="D73" s="553"/>
      <c r="E73" s="553"/>
      <c r="F73" s="553"/>
      <c r="G73" s="553"/>
      <c r="H73" s="554"/>
      <c r="I73" s="554"/>
      <c r="J73" s="554"/>
      <c r="K73" s="554"/>
      <c r="L73" s="555"/>
      <c r="M73" s="556"/>
      <c r="N73" s="1149"/>
      <c r="O73" s="1149"/>
      <c r="P73" s="2670"/>
      <c r="Q73" s="560"/>
    </row>
    <row r="74" spans="1:17" s="470" customFormat="1" ht="15.75" thickBot="1">
      <c r="A74" s="552"/>
      <c r="B74" s="542"/>
      <c r="C74" s="559"/>
      <c r="D74" s="559"/>
      <c r="E74" s="559"/>
      <c r="F74" s="559"/>
      <c r="G74" s="559"/>
      <c r="H74" s="561"/>
      <c r="I74" s="561"/>
      <c r="J74" s="561"/>
      <c r="K74" s="561"/>
      <c r="L74" s="561"/>
      <c r="M74" s="562"/>
      <c r="N74" s="1149"/>
      <c r="O74" s="1149"/>
      <c r="P74" s="2669"/>
      <c r="Q74" s="558"/>
    </row>
    <row r="75" spans="1:17" s="470" customFormat="1" ht="15.75" thickTop="1">
      <c r="A75" s="552"/>
      <c r="B75" s="545">
        <f>B14</f>
        <v>111</v>
      </c>
      <c r="C75" s="522"/>
      <c r="D75" s="522"/>
      <c r="E75" s="522"/>
      <c r="F75" s="522"/>
      <c r="G75" s="522"/>
      <c r="H75" s="563"/>
      <c r="I75" s="563"/>
      <c r="J75" s="563"/>
      <c r="K75" s="563"/>
      <c r="L75" s="564"/>
      <c r="M75" s="565"/>
      <c r="N75" s="1149"/>
      <c r="O75" s="1149"/>
      <c r="P75" s="2671"/>
      <c r="Q75" s="558"/>
    </row>
    <row r="76" spans="1:17" s="470" customFormat="1" ht="15.75" thickBot="1">
      <c r="A76" s="567"/>
      <c r="B76" s="568"/>
      <c r="C76" s="569"/>
      <c r="D76" s="569"/>
      <c r="E76" s="569"/>
      <c r="F76" s="569"/>
      <c r="G76" s="569"/>
      <c r="H76" s="570"/>
      <c r="I76" s="570"/>
      <c r="J76" s="570"/>
      <c r="K76" s="570"/>
      <c r="L76" s="570"/>
      <c r="M76" s="571"/>
      <c r="N76" s="1149"/>
      <c r="O76" s="1149"/>
      <c r="P76" s="2669"/>
      <c r="Q76" s="558"/>
    </row>
    <row r="77" spans="1:17">
      <c r="A77" s="526" t="s">
        <v>2539</v>
      </c>
      <c r="B77" s="527" t="s">
        <v>2677</v>
      </c>
      <c r="C77" s="572" t="s">
        <v>2577</v>
      </c>
      <c r="D77" s="572" t="s">
        <v>2578</v>
      </c>
      <c r="E77" s="572" t="s">
        <v>2579</v>
      </c>
      <c r="F77" s="572" t="s">
        <v>2580</v>
      </c>
      <c r="G77" s="572" t="s">
        <v>2581</v>
      </c>
      <c r="H77" s="528"/>
      <c r="I77" s="528"/>
      <c r="J77" s="528"/>
      <c r="K77" s="573"/>
      <c r="L77" s="574"/>
      <c r="M77" s="575"/>
      <c r="N77" s="1147"/>
      <c r="O77" s="1147"/>
      <c r="P77" s="2672"/>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8"/>
      <c r="O78" s="1148"/>
      <c r="P78" s="2668"/>
      <c r="Q78" s="503"/>
    </row>
    <row r="79" spans="1:17" ht="15.75" thickTop="1">
      <c r="A79" s="533"/>
      <c r="B79" s="537" t="s">
        <v>2582</v>
      </c>
      <c r="C79" s="577" t="s">
        <v>2577</v>
      </c>
      <c r="D79" s="577" t="s">
        <v>2578</v>
      </c>
      <c r="E79" s="577" t="s">
        <v>2579</v>
      </c>
      <c r="F79" s="577" t="s">
        <v>2580</v>
      </c>
      <c r="G79" s="577" t="s">
        <v>2581</v>
      </c>
      <c r="H79" s="538"/>
      <c r="I79" s="538"/>
      <c r="J79" s="538"/>
      <c r="K79" s="539"/>
      <c r="L79" s="540"/>
      <c r="M79" s="541"/>
      <c r="N79" s="1147"/>
      <c r="O79" s="1147"/>
      <c r="P79" s="2668"/>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8"/>
      <c r="O80" s="1148"/>
      <c r="P80" s="2668"/>
      <c r="Q80" s="503"/>
    </row>
    <row r="81" spans="1:17" ht="15.75" thickTop="1">
      <c r="A81" s="533"/>
      <c r="B81" s="537" t="s">
        <v>2583</v>
      </c>
      <c r="C81" s="577" t="s">
        <v>2577</v>
      </c>
      <c r="D81" s="577" t="s">
        <v>2578</v>
      </c>
      <c r="E81" s="577" t="s">
        <v>2579</v>
      </c>
      <c r="F81" s="577" t="s">
        <v>2580</v>
      </c>
      <c r="G81" s="577" t="s">
        <v>2581</v>
      </c>
      <c r="H81" s="538"/>
      <c r="I81" s="538"/>
      <c r="J81" s="538"/>
      <c r="K81" s="539"/>
      <c r="L81" s="540"/>
      <c r="M81" s="541"/>
      <c r="N81" s="1147"/>
      <c r="O81" s="1147"/>
      <c r="P81" s="266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8"/>
      <c r="O82" s="1148"/>
      <c r="P82" s="2668"/>
      <c r="Q82" s="503"/>
    </row>
    <row r="83" spans="1:17" ht="15.75" thickTop="1">
      <c r="A83" s="533"/>
      <c r="B83" s="545" t="s">
        <v>2669</v>
      </c>
      <c r="C83" s="658" t="s">
        <v>2655</v>
      </c>
      <c r="D83" s="658" t="s">
        <v>2656</v>
      </c>
      <c r="E83" s="658" t="s">
        <v>2657</v>
      </c>
      <c r="F83" s="658" t="s">
        <v>2658</v>
      </c>
      <c r="G83" s="658" t="s">
        <v>2659</v>
      </c>
      <c r="H83" s="538"/>
      <c r="I83" s="538"/>
      <c r="J83" s="538"/>
      <c r="K83" s="538"/>
      <c r="L83" s="538"/>
      <c r="M83" s="1377"/>
      <c r="N83" s="1148"/>
      <c r="O83" s="1148"/>
      <c r="P83" s="2668"/>
      <c r="Q83" s="503"/>
    </row>
    <row r="84" spans="1:17" ht="15.75" thickBot="1">
      <c r="A84" s="533"/>
      <c r="B84" s="545"/>
      <c r="C84" s="543">
        <v>100</v>
      </c>
      <c r="D84" s="543">
        <f>C84-$K21</f>
        <v>99</v>
      </c>
      <c r="E84" s="543">
        <f>D84-$K21</f>
        <v>98</v>
      </c>
      <c r="F84" s="543">
        <f>E84-$K21</f>
        <v>97</v>
      </c>
      <c r="G84" s="543">
        <f>F84-$K21</f>
        <v>96</v>
      </c>
      <c r="H84" s="658"/>
      <c r="I84" s="658"/>
      <c r="J84" s="658"/>
      <c r="K84" s="658"/>
      <c r="L84" s="658"/>
      <c r="M84" s="449"/>
      <c r="N84" s="1148"/>
      <c r="O84" s="1148"/>
      <c r="P84" s="2668"/>
      <c r="Q84" s="503"/>
    </row>
    <row r="85" spans="1:17" ht="15.75" thickTop="1">
      <c r="A85" s="533"/>
      <c r="B85" s="537" t="s">
        <v>2678</v>
      </c>
      <c r="C85" s="577" t="s">
        <v>2577</v>
      </c>
      <c r="D85" s="577" t="s">
        <v>2578</v>
      </c>
      <c r="E85" s="577" t="s">
        <v>2579</v>
      </c>
      <c r="F85" s="577" t="s">
        <v>2580</v>
      </c>
      <c r="G85" s="577" t="s">
        <v>2581</v>
      </c>
      <c r="H85" s="538"/>
      <c r="I85" s="538"/>
      <c r="J85" s="538"/>
      <c r="K85" s="539"/>
      <c r="L85" s="540"/>
      <c r="M85" s="541"/>
      <c r="N85" s="1147"/>
      <c r="O85" s="1147"/>
      <c r="P85" s="2668"/>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8"/>
      <c r="O86" s="1148"/>
      <c r="P86" s="2668"/>
      <c r="Q86" s="503"/>
    </row>
    <row r="87" spans="1:17" s="117" customFormat="1" ht="27.75" thickTop="1">
      <c r="A87" s="578"/>
      <c r="B87" s="537" t="s">
        <v>2679</v>
      </c>
      <c r="C87" s="2947" t="s">
        <v>3167</v>
      </c>
      <c r="D87" s="2947" t="s">
        <v>3169</v>
      </c>
      <c r="E87" s="2947" t="s">
        <v>3170</v>
      </c>
      <c r="F87" s="2947" t="s">
        <v>3172</v>
      </c>
      <c r="G87" s="2947" t="s">
        <v>3173</v>
      </c>
      <c r="H87" s="553"/>
      <c r="I87" s="553"/>
      <c r="J87" s="553"/>
      <c r="K87" s="553"/>
      <c r="L87" s="579"/>
      <c r="M87" s="580"/>
      <c r="N87" s="1146"/>
      <c r="O87" s="1146"/>
      <c r="P87" s="2668"/>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48"/>
      <c r="O88" s="1148"/>
      <c r="P88" s="2668"/>
      <c r="Q88" s="503"/>
    </row>
    <row r="89" spans="1:17" s="117" customFormat="1" ht="15.75" thickTop="1">
      <c r="A89" s="578"/>
      <c r="B89" s="537" t="str">
        <f>B27</f>
        <v>楼层</v>
      </c>
      <c r="C89" s="2947" t="s">
        <v>3183</v>
      </c>
      <c r="D89" s="2947" t="s">
        <v>3185</v>
      </c>
      <c r="E89" s="2947" t="s">
        <v>3187</v>
      </c>
      <c r="F89" s="2619"/>
      <c r="G89" s="553"/>
      <c r="H89" s="553"/>
      <c r="I89" s="553"/>
      <c r="J89" s="553"/>
      <c r="K89" s="553"/>
      <c r="L89" s="553"/>
      <c r="M89" s="580"/>
      <c r="N89" s="1146"/>
      <c r="O89" s="1146"/>
      <c r="P89" s="2668"/>
      <c r="Q89" s="503"/>
    </row>
    <row r="90" spans="1:17" s="117"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48"/>
      <c r="O90" s="1148"/>
      <c r="P90" s="2668"/>
      <c r="Q90" s="503"/>
    </row>
    <row r="91" spans="1:17" s="470" customFormat="1" ht="15.75" thickTop="1">
      <c r="A91" s="552"/>
      <c r="B91" s="537" t="str">
        <f>B28</f>
        <v>朝向</v>
      </c>
      <c r="C91" s="553"/>
      <c r="D91" s="553"/>
      <c r="E91" s="553"/>
      <c r="F91" s="553"/>
      <c r="G91" s="553"/>
      <c r="H91" s="554"/>
      <c r="I91" s="554"/>
      <c r="J91" s="554"/>
      <c r="K91" s="554"/>
      <c r="L91" s="555"/>
      <c r="M91" s="556"/>
      <c r="N91" s="1149"/>
      <c r="O91" s="1149"/>
      <c r="P91" s="266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9"/>
      <c r="O92" s="1149"/>
      <c r="P92" s="2669"/>
      <c r="Q92" s="558"/>
    </row>
    <row r="93" spans="1:17" ht="15.75" thickTop="1">
      <c r="A93" s="533"/>
      <c r="B93" s="537">
        <f>B29</f>
        <v>111</v>
      </c>
      <c r="C93" s="553"/>
      <c r="D93" s="553"/>
      <c r="E93" s="553"/>
      <c r="F93" s="553"/>
      <c r="G93" s="553"/>
      <c r="H93" s="553"/>
      <c r="I93" s="553"/>
      <c r="J93" s="553"/>
      <c r="K93" s="553"/>
      <c r="L93" s="579"/>
      <c r="M93" s="580"/>
      <c r="N93" s="1147"/>
      <c r="O93" s="1147"/>
      <c r="P93" s="2668"/>
      <c r="Q93" s="503"/>
    </row>
    <row r="94" spans="1:17" ht="15.75" thickBot="1">
      <c r="A94" s="533"/>
      <c r="B94" s="542"/>
      <c r="C94" s="559"/>
      <c r="D94" s="535"/>
      <c r="E94" s="535"/>
      <c r="F94" s="535"/>
      <c r="G94" s="535"/>
      <c r="H94" s="535"/>
      <c r="I94" s="535"/>
      <c r="J94" s="535"/>
      <c r="K94" s="535"/>
      <c r="L94" s="535"/>
      <c r="M94" s="536"/>
      <c r="N94" s="1148"/>
      <c r="O94" s="1148"/>
      <c r="P94" s="2668"/>
      <c r="Q94" s="503"/>
    </row>
    <row r="95" spans="1:17" ht="15.75" thickTop="1">
      <c r="A95" s="533"/>
      <c r="B95" s="537">
        <f>B30</f>
        <v>111</v>
      </c>
      <c r="C95" s="553"/>
      <c r="D95" s="553"/>
      <c r="E95" s="553"/>
      <c r="F95" s="553"/>
      <c r="G95" s="582"/>
      <c r="H95" s="582"/>
      <c r="I95" s="582"/>
      <c r="J95" s="582"/>
      <c r="K95" s="583"/>
      <c r="L95" s="584"/>
      <c r="M95" s="585"/>
      <c r="N95" s="1147"/>
      <c r="O95" s="1147"/>
      <c r="P95" s="2668"/>
      <c r="Q95" s="503"/>
    </row>
    <row r="96" spans="1:17" ht="15.75" thickBot="1">
      <c r="A96" s="533"/>
      <c r="B96" s="542"/>
      <c r="C96" s="559"/>
      <c r="D96" s="559"/>
      <c r="E96" s="559"/>
      <c r="F96" s="559"/>
      <c r="G96" s="535"/>
      <c r="H96" s="535"/>
      <c r="I96" s="535"/>
      <c r="J96" s="535"/>
      <c r="K96" s="535"/>
      <c r="L96" s="535"/>
      <c r="M96" s="536"/>
      <c r="N96" s="1148"/>
      <c r="O96" s="1148"/>
      <c r="P96" s="2668"/>
      <c r="Q96" s="503"/>
    </row>
    <row r="97" spans="1:17" ht="15.75" thickTop="1">
      <c r="A97" s="533"/>
      <c r="B97" s="537">
        <f>B31</f>
        <v>111</v>
      </c>
      <c r="C97" s="553"/>
      <c r="D97" s="553"/>
      <c r="E97" s="553"/>
      <c r="F97" s="553"/>
      <c r="G97" s="582"/>
      <c r="H97" s="582"/>
      <c r="I97" s="582"/>
      <c r="J97" s="582"/>
      <c r="K97" s="583"/>
      <c r="L97" s="584"/>
      <c r="M97" s="585"/>
      <c r="N97" s="1147"/>
      <c r="O97" s="1147"/>
      <c r="P97" s="2668"/>
      <c r="Q97" s="503"/>
    </row>
    <row r="98" spans="1:17" ht="15.75" thickBot="1">
      <c r="A98" s="533"/>
      <c r="B98" s="542"/>
      <c r="C98" s="559"/>
      <c r="D98" s="535"/>
      <c r="E98" s="535"/>
      <c r="F98" s="535"/>
      <c r="G98" s="535"/>
      <c r="H98" s="535"/>
      <c r="I98" s="535"/>
      <c r="J98" s="535"/>
      <c r="K98" s="535"/>
      <c r="L98" s="535"/>
      <c r="M98" s="536"/>
      <c r="N98" s="1148"/>
      <c r="O98" s="1148"/>
      <c r="P98" s="2668"/>
      <c r="Q98" s="503"/>
    </row>
    <row r="99" spans="1:17" ht="15.75" thickTop="1">
      <c r="A99" s="533"/>
      <c r="B99" s="545">
        <f>B32</f>
        <v>111</v>
      </c>
      <c r="C99" s="522"/>
      <c r="D99" s="522"/>
      <c r="E99" s="522"/>
      <c r="F99" s="522"/>
      <c r="G99" s="586"/>
      <c r="H99" s="586"/>
      <c r="I99" s="586"/>
      <c r="J99" s="586"/>
      <c r="K99" s="587"/>
      <c r="L99" s="588"/>
      <c r="M99" s="589"/>
      <c r="N99" s="1147"/>
      <c r="O99" s="1147"/>
      <c r="P99" s="2668"/>
      <c r="Q99" s="503"/>
    </row>
    <row r="100" spans="1:17" ht="15.75" thickBot="1">
      <c r="A100" s="2620"/>
      <c r="B100" s="568"/>
      <c r="C100" s="569"/>
      <c r="D100" s="569"/>
      <c r="E100" s="569"/>
      <c r="F100" s="569"/>
      <c r="G100" s="590"/>
      <c r="H100" s="590"/>
      <c r="I100" s="590"/>
      <c r="J100" s="590"/>
      <c r="K100" s="590"/>
      <c r="L100" s="590"/>
      <c r="M100" s="591"/>
      <c r="N100" s="1148"/>
      <c r="O100" s="1148"/>
      <c r="P100" s="2668"/>
      <c r="Q100" s="503"/>
    </row>
    <row r="101" spans="1:17">
      <c r="A101" s="526" t="s">
        <v>2543</v>
      </c>
      <c r="B101" s="527" t="s">
        <v>2592</v>
      </c>
      <c r="C101" s="2943" t="s">
        <v>3193</v>
      </c>
      <c r="D101" s="529"/>
      <c r="E101" s="529"/>
      <c r="F101" s="529"/>
      <c r="G101" s="529"/>
      <c r="H101" s="529"/>
      <c r="I101" s="529"/>
      <c r="J101" s="529"/>
      <c r="K101" s="530"/>
      <c r="L101" s="531"/>
      <c r="M101" s="532"/>
      <c r="N101" s="1147"/>
      <c r="O101" s="1147"/>
      <c r="P101" s="2668"/>
      <c r="Q101" s="503"/>
    </row>
    <row r="102" spans="1:17" ht="15.75" thickBot="1">
      <c r="A102" s="533"/>
      <c r="B102" s="542"/>
      <c r="C102" s="543">
        <v>100</v>
      </c>
      <c r="D102" s="543">
        <f t="shared" ref="D102:M102" si="22">C102-$K33</f>
        <v>95</v>
      </c>
      <c r="E102" s="543">
        <f t="shared" si="22"/>
        <v>90</v>
      </c>
      <c r="F102" s="543">
        <f t="shared" si="22"/>
        <v>85</v>
      </c>
      <c r="G102" s="543">
        <f t="shared" si="22"/>
        <v>80</v>
      </c>
      <c r="H102" s="543">
        <f t="shared" si="22"/>
        <v>75</v>
      </c>
      <c r="I102" s="543">
        <f t="shared" si="22"/>
        <v>70</v>
      </c>
      <c r="J102" s="543">
        <f t="shared" si="22"/>
        <v>65</v>
      </c>
      <c r="K102" s="543">
        <f t="shared" si="22"/>
        <v>60</v>
      </c>
      <c r="L102" s="543">
        <f t="shared" si="22"/>
        <v>55</v>
      </c>
      <c r="M102" s="544">
        <f t="shared" si="22"/>
        <v>50</v>
      </c>
      <c r="N102" s="1148"/>
      <c r="O102" s="1148"/>
      <c r="P102" s="2668"/>
      <c r="Q102" s="503"/>
    </row>
    <row r="103" spans="1:17" ht="29.25" thickTop="1">
      <c r="A103" s="533"/>
      <c r="B103" s="537" t="s">
        <v>2593</v>
      </c>
      <c r="C103" s="577" t="str">
        <f>C104&amp;"(含)"&amp;"-"&amp;D104</f>
        <v>0(含)-10000</v>
      </c>
      <c r="D103" s="577" t="str">
        <f t="shared" ref="D103:L103" si="23">D104&amp;"(含)"&amp;"-"&amp;E104</f>
        <v>10000(含)-20000</v>
      </c>
      <c r="E103" s="577" t="str">
        <f t="shared" si="23"/>
        <v>20000(含)-40000</v>
      </c>
      <c r="F103" s="577" t="str">
        <f t="shared" si="23"/>
        <v>40000(含)-80000</v>
      </c>
      <c r="G103" s="577" t="str">
        <f t="shared" si="23"/>
        <v>80000(含)-160000</v>
      </c>
      <c r="H103" s="577" t="str">
        <f t="shared" si="23"/>
        <v>160000(含)-320000</v>
      </c>
      <c r="I103" s="577" t="str">
        <f t="shared" si="23"/>
        <v>320000(含)-10000000000</v>
      </c>
      <c r="J103" s="577" t="str">
        <f t="shared" si="23"/>
        <v>10000000000(含)-</v>
      </c>
      <c r="K103" s="577" t="str">
        <f t="shared" si="23"/>
        <v>(含)-</v>
      </c>
      <c r="L103" s="577" t="str">
        <f t="shared" si="23"/>
        <v>(含)-</v>
      </c>
      <c r="M103" s="620" t="str">
        <f>M104&amp;"(含)"&amp;"-"&amp;P104</f>
        <v>(含)-</v>
      </c>
      <c r="N103" s="1146"/>
      <c r="O103" s="1146"/>
      <c r="P103" s="2668"/>
      <c r="Q103" s="503"/>
    </row>
    <row r="104" spans="1:17" s="470" customFormat="1">
      <c r="A104" s="592"/>
      <c r="B104" s="593"/>
      <c r="C104" s="2969">
        <f>'土地比较法-住宅、综合'!C117</f>
        <v>0</v>
      </c>
      <c r="D104" s="2969">
        <f>'土地比较法-住宅、综合'!D117</f>
        <v>10000</v>
      </c>
      <c r="E104" s="2969">
        <f>'土地比较法-住宅、综合'!E117</f>
        <v>20000</v>
      </c>
      <c r="F104" s="2969">
        <f>'土地比较法-住宅、综合'!F117</f>
        <v>40000</v>
      </c>
      <c r="G104" s="2969">
        <f>'土地比较法-住宅、综合'!G117</f>
        <v>80000</v>
      </c>
      <c r="H104" s="2969">
        <f>'土地比较法-住宅、综合'!H117</f>
        <v>160000</v>
      </c>
      <c r="I104" s="2969">
        <f>'土地比较法-住宅、综合'!I117</f>
        <v>320000</v>
      </c>
      <c r="J104" s="595">
        <v>10000000000</v>
      </c>
      <c r="K104" s="595"/>
      <c r="L104" s="596"/>
      <c r="M104" s="597"/>
      <c r="N104" s="1149"/>
      <c r="O104" s="1149"/>
      <c r="P104" s="2669"/>
      <c r="Q104" s="558"/>
    </row>
    <row r="105" spans="1:17" s="470" customFormat="1" ht="15.75" thickBot="1">
      <c r="A105" s="552"/>
      <c r="B105" s="542"/>
      <c r="C105" s="2970">
        <f>'土地比较法-住宅、综合'!C118</f>
        <v>100</v>
      </c>
      <c r="D105" s="2970">
        <f>'土地比较法-住宅、综合'!D118</f>
        <v>101</v>
      </c>
      <c r="E105" s="2970">
        <f>'土地比较法-住宅、综合'!E118</f>
        <v>102</v>
      </c>
      <c r="F105" s="2970">
        <f>'土地比较法-住宅、综合'!F118</f>
        <v>103</v>
      </c>
      <c r="G105" s="2970">
        <f>'土地比较法-住宅、综合'!G118</f>
        <v>104</v>
      </c>
      <c r="H105" s="2970">
        <f>'土地比较法-住宅、综合'!H118</f>
        <v>105</v>
      </c>
      <c r="I105" s="2970">
        <f>'土地比较法-住宅、综合'!I118</f>
        <v>106</v>
      </c>
      <c r="J105" s="2970">
        <f>I105+1</f>
        <v>107</v>
      </c>
      <c r="K105" s="535"/>
      <c r="L105" s="535"/>
      <c r="M105" s="536"/>
      <c r="N105" s="1148"/>
      <c r="O105" s="1148"/>
      <c r="P105" s="2669"/>
      <c r="Q105" s="558"/>
    </row>
    <row r="106" spans="1:17" ht="15" thickTop="1">
      <c r="A106" s="598"/>
      <c r="B106" s="537" t="s">
        <v>2594</v>
      </c>
      <c r="C106" s="2947" t="s">
        <v>3204</v>
      </c>
      <c r="D106" s="553"/>
      <c r="E106" s="582"/>
      <c r="F106" s="582"/>
      <c r="G106" s="582"/>
      <c r="H106" s="582"/>
      <c r="I106" s="582"/>
      <c r="J106" s="582"/>
      <c r="K106" s="583"/>
      <c r="L106" s="584"/>
      <c r="M106" s="585"/>
      <c r="N106" s="1147"/>
      <c r="O106" s="1147"/>
      <c r="P106" s="2668"/>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8"/>
      <c r="O107" s="1148"/>
      <c r="P107" s="2668"/>
      <c r="Q107" s="503"/>
    </row>
    <row r="108" spans="1:17" ht="15" thickTop="1">
      <c r="A108" s="598"/>
      <c r="B108" s="537" t="s">
        <v>2596</v>
      </c>
      <c r="C108" s="2947" t="s">
        <v>3199</v>
      </c>
      <c r="D108" s="2947" t="s">
        <v>3201</v>
      </c>
      <c r="E108" s="2947" t="s">
        <v>3202</v>
      </c>
      <c r="F108" s="2946" t="s">
        <v>3203</v>
      </c>
      <c r="G108" s="582"/>
      <c r="H108" s="582"/>
      <c r="I108" s="582"/>
      <c r="J108" s="582"/>
      <c r="K108" s="583"/>
      <c r="L108" s="584"/>
      <c r="M108" s="585"/>
      <c r="N108" s="1147"/>
      <c r="O108" s="1147"/>
      <c r="P108" s="2668"/>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48"/>
      <c r="O109" s="1148"/>
      <c r="P109" s="2668"/>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7"/>
      <c r="O110" s="1147"/>
      <c r="P110" s="2668"/>
      <c r="Q110" s="503"/>
    </row>
    <row r="111" spans="1:17">
      <c r="A111" s="598"/>
      <c r="B111" s="545"/>
      <c r="C111" s="602">
        <v>0.5</v>
      </c>
      <c r="D111" s="602">
        <v>0.6</v>
      </c>
      <c r="E111" s="602">
        <v>0.7</v>
      </c>
      <c r="F111" s="602">
        <v>0.8</v>
      </c>
      <c r="G111" s="602">
        <v>0.9</v>
      </c>
      <c r="H111" s="602">
        <v>1.0001</v>
      </c>
      <c r="I111" s="621"/>
      <c r="J111" s="621"/>
      <c r="K111" s="622"/>
      <c r="L111" s="623"/>
      <c r="M111" s="624"/>
      <c r="N111" s="1147"/>
      <c r="O111" s="1147"/>
      <c r="P111" s="2668"/>
      <c r="Q111" s="503"/>
    </row>
    <row r="112" spans="1:17" ht="15.75" thickBot="1">
      <c r="A112" s="533"/>
      <c r="B112" s="542"/>
      <c r="C112" s="581">
        <v>100</v>
      </c>
      <c r="D112" s="543">
        <f>C112+$K37</f>
        <v>105</v>
      </c>
      <c r="E112" s="543">
        <f t="shared" ref="E112:M112" si="26">D112+$K37</f>
        <v>110</v>
      </c>
      <c r="F112" s="543">
        <f t="shared" si="26"/>
        <v>115</v>
      </c>
      <c r="G112" s="543">
        <f t="shared" si="26"/>
        <v>120</v>
      </c>
      <c r="H112" s="543">
        <f t="shared" si="26"/>
        <v>125</v>
      </c>
      <c r="I112" s="543">
        <f t="shared" si="26"/>
        <v>130</v>
      </c>
      <c r="J112" s="543">
        <f t="shared" si="26"/>
        <v>135</v>
      </c>
      <c r="K112" s="543">
        <f t="shared" si="26"/>
        <v>140</v>
      </c>
      <c r="L112" s="543">
        <f t="shared" si="26"/>
        <v>145</v>
      </c>
      <c r="M112" s="543">
        <f t="shared" si="26"/>
        <v>150</v>
      </c>
      <c r="N112" s="1148"/>
      <c r="O112" s="1148"/>
      <c r="P112" s="2668"/>
      <c r="Q112" s="503"/>
    </row>
    <row r="113" spans="1:17" s="470" customFormat="1" ht="15" thickTop="1">
      <c r="A113" s="592"/>
      <c r="B113" s="537" t="s">
        <v>2680</v>
      </c>
      <c r="C113" s="2943" t="s">
        <v>3191</v>
      </c>
      <c r="D113" s="553"/>
      <c r="E113" s="553"/>
      <c r="F113" s="553"/>
      <c r="G113" s="553"/>
      <c r="H113" s="582"/>
      <c r="I113" s="582"/>
      <c r="J113" s="582"/>
      <c r="K113" s="583"/>
      <c r="L113" s="584"/>
      <c r="M113" s="585"/>
      <c r="N113" s="1149"/>
      <c r="O113" s="1149"/>
      <c r="P113" s="2669"/>
      <c r="Q113" s="558"/>
    </row>
    <row r="114" spans="1:17" s="470" customFormat="1" ht="15.75" thickBot="1">
      <c r="A114" s="552"/>
      <c r="B114" s="542"/>
      <c r="C114" s="543">
        <v>100</v>
      </c>
      <c r="D114" s="543">
        <f>C114-$K38</f>
        <v>95</v>
      </c>
      <c r="E114" s="543">
        <f t="shared" ref="E114:M114" si="27">D114-$K38</f>
        <v>90</v>
      </c>
      <c r="F114" s="543">
        <f t="shared" si="27"/>
        <v>85</v>
      </c>
      <c r="G114" s="543">
        <f t="shared" si="27"/>
        <v>80</v>
      </c>
      <c r="H114" s="543">
        <f t="shared" si="27"/>
        <v>75</v>
      </c>
      <c r="I114" s="543">
        <f t="shared" si="27"/>
        <v>70</v>
      </c>
      <c r="J114" s="543">
        <f t="shared" si="27"/>
        <v>65</v>
      </c>
      <c r="K114" s="543">
        <f t="shared" si="27"/>
        <v>60</v>
      </c>
      <c r="L114" s="543">
        <f t="shared" si="27"/>
        <v>55</v>
      </c>
      <c r="M114" s="543">
        <f t="shared" si="27"/>
        <v>50</v>
      </c>
      <c r="N114" s="1149"/>
      <c r="O114" s="1149"/>
      <c r="P114" s="2669"/>
      <c r="Q114" s="558"/>
    </row>
    <row r="115" spans="1:17" ht="15" thickTop="1">
      <c r="A115" s="598"/>
      <c r="B115" s="537" t="s">
        <v>2597</v>
      </c>
      <c r="C115" s="2947" t="s">
        <v>3195</v>
      </c>
      <c r="D115" s="553"/>
      <c r="E115" s="582"/>
      <c r="F115" s="582"/>
      <c r="G115" s="582"/>
      <c r="H115" s="582"/>
      <c r="I115" s="582"/>
      <c r="J115" s="582"/>
      <c r="K115" s="583"/>
      <c r="L115" s="584"/>
      <c r="M115" s="585"/>
      <c r="N115" s="1147"/>
      <c r="O115" s="1147"/>
      <c r="P115" s="2668"/>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48"/>
      <c r="O116" s="1148"/>
      <c r="P116" s="2668"/>
      <c r="Q116" s="503"/>
    </row>
    <row r="117" spans="1:17" ht="15" thickTop="1">
      <c r="A117" s="598"/>
      <c r="B117" s="537" t="s">
        <v>2598</v>
      </c>
      <c r="C117" s="2967" t="s">
        <v>2655</v>
      </c>
      <c r="D117" s="2967" t="s">
        <v>2656</v>
      </c>
      <c r="E117" s="2967" t="s">
        <v>2657</v>
      </c>
      <c r="F117" s="2967" t="s">
        <v>2658</v>
      </c>
      <c r="G117" s="2967" t="s">
        <v>2659</v>
      </c>
      <c r="H117" s="582"/>
      <c r="I117" s="582"/>
      <c r="J117" s="582"/>
      <c r="K117" s="583"/>
      <c r="L117" s="584"/>
      <c r="M117" s="585"/>
      <c r="N117" s="1147"/>
      <c r="O117" s="1147"/>
      <c r="P117" s="2668"/>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8"/>
      <c r="O118" s="1148"/>
      <c r="P118" s="2668"/>
      <c r="Q118" s="503"/>
    </row>
    <row r="119" spans="1:17" ht="15" thickTop="1">
      <c r="A119" s="598"/>
      <c r="B119" s="634" t="s">
        <v>2681</v>
      </c>
      <c r="C119" s="2946" t="s">
        <v>3197</v>
      </c>
      <c r="D119" s="582"/>
      <c r="E119" s="582"/>
      <c r="F119" s="582"/>
      <c r="G119" s="582"/>
      <c r="H119" s="582"/>
      <c r="I119" s="582"/>
      <c r="J119" s="582"/>
      <c r="K119" s="582"/>
      <c r="L119" s="2673"/>
      <c r="M119" s="2674"/>
      <c r="N119" s="1148"/>
      <c r="O119" s="1148"/>
      <c r="P119" s="2675"/>
      <c r="Q119" s="636"/>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8"/>
      <c r="O120" s="1148"/>
      <c r="P120" s="2668"/>
      <c r="Q120" s="503"/>
    </row>
    <row r="121" spans="1:17" s="470" customFormat="1" ht="15" thickTop="1">
      <c r="A121" s="592"/>
      <c r="B121" s="537" t="s">
        <v>2664</v>
      </c>
      <c r="C121" s="553" t="s">
        <v>3230</v>
      </c>
      <c r="D121" s="553" t="s">
        <v>3228</v>
      </c>
      <c r="E121" s="553" t="s">
        <v>3227</v>
      </c>
      <c r="F121" s="582" t="s">
        <v>3229</v>
      </c>
      <c r="G121" s="554" t="s">
        <v>3232</v>
      </c>
      <c r="H121" s="554"/>
      <c r="I121" s="554"/>
      <c r="J121" s="554"/>
      <c r="K121" s="554"/>
      <c r="L121" s="555"/>
      <c r="M121" s="556"/>
      <c r="N121" s="1149"/>
      <c r="O121" s="1149"/>
      <c r="P121" s="2669"/>
      <c r="Q121" s="558"/>
    </row>
    <row r="122" spans="1:17" s="470" customFormat="1" ht="15.75" thickBot="1">
      <c r="A122" s="552"/>
      <c r="B122" s="534"/>
      <c r="C122" s="559">
        <v>96</v>
      </c>
      <c r="D122" s="559">
        <v>98</v>
      </c>
      <c r="E122" s="559">
        <v>100</v>
      </c>
      <c r="F122" s="559">
        <v>98</v>
      </c>
      <c r="G122" s="559">
        <v>96</v>
      </c>
      <c r="H122" s="559"/>
      <c r="I122" s="559"/>
      <c r="J122" s="559"/>
      <c r="K122" s="559"/>
      <c r="L122" s="559"/>
      <c r="M122" s="559"/>
      <c r="N122" s="1149"/>
      <c r="O122" s="1149"/>
      <c r="P122" s="2669"/>
      <c r="Q122" s="558"/>
    </row>
    <row r="123" spans="1:17" ht="15" thickTop="1">
      <c r="A123" s="598"/>
      <c r="B123" s="537" t="s">
        <v>2600</v>
      </c>
      <c r="C123" s="2947" t="s">
        <v>3199</v>
      </c>
      <c r="D123" s="2947" t="s">
        <v>3201</v>
      </c>
      <c r="E123" s="2947" t="s">
        <v>3202</v>
      </c>
      <c r="F123" s="2946" t="s">
        <v>3203</v>
      </c>
      <c r="G123" s="582"/>
      <c r="H123" s="582"/>
      <c r="I123" s="582"/>
      <c r="J123" s="582"/>
      <c r="K123" s="583"/>
      <c r="L123" s="584"/>
      <c r="M123" s="585"/>
      <c r="N123" s="1147"/>
      <c r="O123" s="1147"/>
      <c r="P123" s="2668"/>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48"/>
      <c r="O124" s="1148"/>
      <c r="P124" s="2668"/>
      <c r="Q124" s="503"/>
    </row>
    <row r="125" spans="1:17" ht="15" thickTop="1">
      <c r="A125" s="598"/>
      <c r="B125" s="537" t="s">
        <v>2601</v>
      </c>
      <c r="C125" s="577" t="s">
        <v>2577</v>
      </c>
      <c r="D125" s="577" t="s">
        <v>2578</v>
      </c>
      <c r="E125" s="577" t="s">
        <v>2579</v>
      </c>
      <c r="F125" s="577" t="s">
        <v>2580</v>
      </c>
      <c r="G125" s="577" t="s">
        <v>2581</v>
      </c>
      <c r="H125" s="538"/>
      <c r="I125" s="538"/>
      <c r="J125" s="538"/>
      <c r="K125" s="539"/>
      <c r="L125" s="540"/>
      <c r="M125" s="541"/>
      <c r="N125" s="1147"/>
      <c r="O125" s="1147"/>
      <c r="P125" s="2669"/>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8"/>
      <c r="O126" s="1148"/>
      <c r="P126" s="2668"/>
      <c r="Q126" s="503"/>
    </row>
    <row r="127" spans="1:17" s="470" customFormat="1" ht="15" thickTop="1">
      <c r="A127" s="592"/>
      <c r="B127" s="537">
        <f>B45</f>
        <v>111</v>
      </c>
      <c r="C127" s="553"/>
      <c r="D127" s="553"/>
      <c r="E127" s="553"/>
      <c r="F127" s="553"/>
      <c r="G127" s="553"/>
      <c r="H127" s="554"/>
      <c r="I127" s="554"/>
      <c r="J127" s="554"/>
      <c r="K127" s="554"/>
      <c r="L127" s="555"/>
      <c r="M127" s="556"/>
      <c r="N127" s="1149"/>
      <c r="O127" s="1149"/>
      <c r="P127" s="2669"/>
      <c r="Q127" s="558"/>
    </row>
    <row r="128" spans="1:17" s="470" customFormat="1" ht="15.75" thickBot="1">
      <c r="A128" s="552"/>
      <c r="B128" s="542"/>
      <c r="C128" s="559"/>
      <c r="D128" s="535"/>
      <c r="E128" s="535"/>
      <c r="F128" s="535"/>
      <c r="G128" s="559"/>
      <c r="H128" s="561"/>
      <c r="I128" s="561"/>
      <c r="J128" s="561"/>
      <c r="K128" s="561"/>
      <c r="L128" s="561"/>
      <c r="M128" s="562"/>
      <c r="N128" s="1149"/>
      <c r="O128" s="1149"/>
      <c r="P128" s="2669"/>
      <c r="Q128" s="558"/>
    </row>
    <row r="129" spans="1:17" ht="15" thickTop="1">
      <c r="A129" s="598"/>
      <c r="B129" s="537">
        <f>B46</f>
        <v>111</v>
      </c>
      <c r="C129" s="553"/>
      <c r="D129" s="553"/>
      <c r="E129" s="553"/>
      <c r="F129" s="553"/>
      <c r="G129" s="582"/>
      <c r="H129" s="582"/>
      <c r="I129" s="582"/>
      <c r="J129" s="582"/>
      <c r="K129" s="583"/>
      <c r="L129" s="584"/>
      <c r="M129" s="585"/>
      <c r="N129" s="1147"/>
      <c r="O129" s="1147"/>
      <c r="P129" s="2668"/>
      <c r="Q129" s="503"/>
    </row>
    <row r="130" spans="1:17" ht="15.75" thickBot="1">
      <c r="A130" s="533"/>
      <c r="B130" s="542"/>
      <c r="C130" s="559"/>
      <c r="D130" s="559"/>
      <c r="E130" s="559"/>
      <c r="F130" s="559"/>
      <c r="G130" s="535"/>
      <c r="H130" s="535"/>
      <c r="I130" s="535"/>
      <c r="J130" s="535"/>
      <c r="K130" s="535"/>
      <c r="L130" s="535"/>
      <c r="M130" s="536"/>
      <c r="N130" s="1148"/>
      <c r="O130" s="1148"/>
      <c r="P130" s="2668"/>
      <c r="Q130" s="503"/>
    </row>
    <row r="131" spans="1:17" ht="15" thickTop="1">
      <c r="A131" s="598"/>
      <c r="B131" s="545">
        <f>B47</f>
        <v>111</v>
      </c>
      <c r="C131" s="522"/>
      <c r="D131" s="522"/>
      <c r="E131" s="522"/>
      <c r="F131" s="522"/>
      <c r="G131" s="586"/>
      <c r="H131" s="586"/>
      <c r="I131" s="586"/>
      <c r="J131" s="586"/>
      <c r="K131" s="522"/>
      <c r="L131" s="523"/>
      <c r="M131" s="589"/>
      <c r="N131" s="1147"/>
      <c r="O131" s="1147"/>
      <c r="P131" s="2668"/>
      <c r="Q131" s="503"/>
    </row>
    <row r="132" spans="1:17" ht="15.75" thickBot="1">
      <c r="A132" s="2620"/>
      <c r="B132" s="568"/>
      <c r="C132" s="569"/>
      <c r="D132" s="569"/>
      <c r="E132" s="569"/>
      <c r="F132" s="569"/>
      <c r="G132" s="590"/>
      <c r="H132" s="590"/>
      <c r="I132" s="590"/>
      <c r="J132" s="590"/>
      <c r="K132" s="590"/>
      <c r="L132" s="590"/>
      <c r="M132" s="591"/>
      <c r="N132" s="1148"/>
      <c r="O132" s="1148"/>
      <c r="P132" s="266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8" customWidth="1"/>
    <col min="2" max="16384" width="9" style="1938"/>
  </cols>
  <sheetData>
    <row r="1" spans="1:1" ht="23.25">
      <c r="A1" s="1937" t="s">
        <v>1611</v>
      </c>
    </row>
    <row r="2" spans="1:1">
      <c r="A2" s="1939"/>
    </row>
    <row r="3" spans="1:1" ht="18">
      <c r="A3" s="1940" t="str">
        <f>项目基本情况!B5&amp;"："</f>
        <v>廊坊开发区梨花包装有限公司：</v>
      </c>
    </row>
    <row r="4" spans="1:1" ht="36">
      <c r="A4" s="1941" t="str">
        <f>"受贵公司委托，我公司对"&amp;项目基本情况!S1&amp;"进行了预评估。"</f>
        <v>受贵公司委托，我公司对河北省廊坊开发区全兴路50号3幢、4幢工业用房房地产抵押价值进行了预评估。</v>
      </c>
    </row>
    <row r="5" spans="1:1" ht="18.75">
      <c r="A5" s="1942" t="s">
        <v>1612</v>
      </c>
    </row>
    <row r="6" spans="1:1" ht="18.75">
      <c r="A6" s="1943" t="s">
        <v>1613</v>
      </c>
    </row>
    <row r="7" spans="1:1" ht="54">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开发区全兴路50号3幢、4幢工业用房房地产，为廊坊开发区梨花包装有限公司所有。根据《不动产权证》，估价对象（分摊）出让国有建设用地使用权面积为39950.5平方米，建筑面积为8377.97平方米。</v>
      </c>
    </row>
    <row r="8" spans="1:1" ht="57.75">
      <c r="A8" s="1944" t="s">
        <v>1614</v>
      </c>
    </row>
    <row r="9" spans="1:1" ht="18.75">
      <c r="A9" s="1943" t="s">
        <v>1615</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开发区全兴路50号3幢、4幢工业用房房地产,属廊坊开发区梨花包装有限公司开发建设的工业项目，该项目尚在开发建设中。根据《不动产权证》，估价对象（分摊）出让国有建设用地使用权面积为39950.5平方米，规划建筑面积为8377.97平方米。</v>
      </c>
    </row>
    <row r="11" spans="1:1" ht="76.5">
      <c r="A11" s="1944" t="s">
        <v>1616</v>
      </c>
    </row>
    <row r="12" spans="1:1" ht="18.75">
      <c r="A12" s="1942" t="s">
        <v>1617</v>
      </c>
    </row>
    <row r="13" spans="1:1" ht="38.25" customHeight="1">
      <c r="A13" s="194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6" t="s">
        <v>1618</v>
      </c>
    </row>
    <row r="15" spans="1:1" ht="18">
      <c r="A15" s="1947" t="str">
        <f>TEXT(项目基本情况!D3,"yyyy年m月d日;;")&amp;IF(项目基本情况!D3=项目基本情况!B3,"（评估专业人员实地查勘之日）","")</f>
        <v>2018年4月26日（评估专业人员实地查勘之日）</v>
      </c>
    </row>
    <row r="16" spans="1:1" ht="18.75">
      <c r="A16" s="1946" t="s">
        <v>1619</v>
      </c>
    </row>
    <row r="17" spans="1:1" ht="75">
      <c r="A17" s="1941" t="s">
        <v>1620</v>
      </c>
    </row>
    <row r="18" spans="1:1" ht="54">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26日，估价对象规划用途为工业，土地取得方式为出让，出让国有建设用地使用权剩余土地使用年限为27，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27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1609</v>
      </c>
    </row>
    <row r="24" spans="1:1" ht="18">
      <c r="A24" s="1948" t="str">
        <f>"本次评估采用的主估价方法为"&amp;结果表!K4&amp;"和"&amp;结果表!L4&amp;"。"</f>
        <v>本次评估采用的主估价方法为成本法和收益法。</v>
      </c>
    </row>
    <row r="25" spans="1:1" ht="18">
      <c r="A25" s="1948"/>
    </row>
    <row r="26" spans="1:1" ht="18.75">
      <c r="A26" s="1949" t="s">
        <v>1610</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2508</v>
      </c>
      <c r="B1" s="2653" t="s">
        <v>2682</v>
      </c>
      <c r="C1" s="1613" t="s">
        <v>2510</v>
      </c>
      <c r="D1" s="1614"/>
      <c r="E1" s="1623"/>
      <c r="F1" s="2568"/>
      <c r="G1" s="1624" t="s">
        <v>2623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2307</v>
      </c>
      <c r="B2" s="1413" t="e">
        <f ca="1">IF(C2="——",ROUND(C43*D3/10000,0),ROUND(C43*D3/10000,0)-D2)</f>
        <v>#DIV/0!</v>
      </c>
      <c r="C2" s="2570"/>
      <c r="D2" s="1119" t="e">
        <f ca="1">SUMIF(INDIRECT("'"&amp;F2&amp;"'"&amp;"!A:A"),"承租人权益价值",INDIRECT("'"&amp;F2&amp;"'"&amp;"!c:c"))</f>
        <v>#REF!</v>
      </c>
      <c r="E2" s="2571" t="s">
        <v>2308</v>
      </c>
      <c r="F2" s="2572"/>
      <c r="G2" s="1120"/>
      <c r="H2" s="1120"/>
      <c r="I2" s="1120"/>
      <c r="J2" s="1120"/>
      <c r="K2" s="1120"/>
      <c r="L2" s="1123"/>
      <c r="M2" s="1124"/>
      <c r="N2" s="1124"/>
      <c r="O2" s="1124"/>
      <c r="P2" s="766"/>
      <c r="Q2" s="766"/>
      <c r="R2" s="766"/>
      <c r="S2" s="766"/>
      <c r="T2" s="766"/>
      <c r="U2" s="766"/>
      <c r="V2" s="766"/>
      <c r="W2" s="766"/>
      <c r="X2" s="766"/>
      <c r="Y2" s="766"/>
      <c r="Z2" s="766"/>
      <c r="AA2" s="766"/>
      <c r="AB2" s="766"/>
      <c r="AC2" s="780"/>
    </row>
    <row r="3" spans="1:29" s="397" customFormat="1" ht="28.5" customHeight="1" thickBot="1">
      <c r="A3" s="246" t="s">
        <v>2309</v>
      </c>
      <c r="B3" s="608" t="e">
        <f ca="1">IF(C2="——",C43,ROUND(B2*10000/D3,0))</f>
        <v>#DIV/0!</v>
      </c>
      <c r="C3" s="399" t="s">
        <v>2624</v>
      </c>
      <c r="D3" s="398">
        <f>IF(D1="",'数据-汇总表'!E3,SUMIF('数据-汇总表'!$C19:$C33,D1,'数据-汇总表'!$E19:$E33))</f>
        <v>8377.9700000000012</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0" t="s">
        <v>2625</v>
      </c>
      <c r="B4" s="401"/>
      <c r="C4" s="3198" t="s">
        <v>2626</v>
      </c>
      <c r="D4" s="3225"/>
      <c r="E4" s="3226" t="s">
        <v>2627</v>
      </c>
      <c r="F4" s="3227"/>
      <c r="G4" s="3198" t="s">
        <v>2628</v>
      </c>
      <c r="H4" s="3225"/>
      <c r="I4" s="3198" t="s">
        <v>2629</v>
      </c>
      <c r="J4" s="3225"/>
      <c r="K4" s="609" t="s">
        <v>2630</v>
      </c>
      <c r="L4" s="1125"/>
      <c r="M4" s="1126"/>
      <c r="N4" s="1126"/>
      <c r="O4" s="1126"/>
      <c r="P4" s="3228" t="s">
        <v>2631</v>
      </c>
      <c r="Q4" s="3229"/>
      <c r="R4" s="3205" t="s">
        <v>2627</v>
      </c>
      <c r="S4" s="3206"/>
      <c r="T4" s="3205" t="s">
        <v>2628</v>
      </c>
      <c r="U4" s="3206"/>
      <c r="V4" s="3218" t="s">
        <v>2629</v>
      </c>
      <c r="W4" s="3218"/>
      <c r="X4" s="1806"/>
      <c r="Y4" s="3205" t="s">
        <v>2631</v>
      </c>
      <c r="Z4" s="3206"/>
      <c r="AA4" s="3222" t="s">
        <v>2627</v>
      </c>
      <c r="AB4" s="3223" t="s">
        <v>2628</v>
      </c>
      <c r="AC4" s="3222" t="s">
        <v>2629</v>
      </c>
    </row>
    <row r="5" spans="1:29" ht="15">
      <c r="A5" s="403"/>
      <c r="B5" s="404"/>
      <c r="C5" s="3209" t="s">
        <v>2522</v>
      </c>
      <c r="D5" s="3210"/>
      <c r="E5" s="3234" t="s">
        <v>2523</v>
      </c>
      <c r="F5" s="3235"/>
      <c r="G5" s="3209" t="s">
        <v>2524</v>
      </c>
      <c r="H5" s="3210"/>
      <c r="I5" s="3209" t="s">
        <v>2525</v>
      </c>
      <c r="J5" s="3210"/>
      <c r="K5" s="609"/>
      <c r="L5" s="1125"/>
      <c r="M5" s="1126"/>
      <c r="N5" s="1126"/>
      <c r="O5" s="1126"/>
      <c r="P5" s="3230"/>
      <c r="Q5" s="3231"/>
      <c r="R5" s="3207"/>
      <c r="S5" s="3208"/>
      <c r="T5" s="3207"/>
      <c r="U5" s="3208"/>
      <c r="V5" s="3218"/>
      <c r="W5" s="3218"/>
      <c r="X5" s="1806"/>
      <c r="Y5" s="3207"/>
      <c r="Z5" s="3208"/>
      <c r="AA5" s="3223"/>
      <c r="AB5" s="3223"/>
      <c r="AC5" s="3223"/>
    </row>
    <row r="6" spans="1:29" ht="15.75" thickBot="1">
      <c r="A6" s="405"/>
      <c r="B6" s="406"/>
      <c r="C6" s="3244" t="s">
        <v>2526</v>
      </c>
      <c r="D6" s="3245"/>
      <c r="E6" s="3246" t="s">
        <v>2526</v>
      </c>
      <c r="F6" s="3247"/>
      <c r="G6" s="3244" t="s">
        <v>2526</v>
      </c>
      <c r="H6" s="3245"/>
      <c r="I6" s="3244" t="s">
        <v>2526</v>
      </c>
      <c r="J6" s="3245"/>
      <c r="K6" s="609" t="s">
        <v>2527</v>
      </c>
      <c r="L6" s="1125"/>
      <c r="M6" s="1126"/>
      <c r="N6" s="1126"/>
      <c r="O6" s="1126"/>
      <c r="P6" s="3232"/>
      <c r="Q6" s="3233"/>
      <c r="R6" s="3207"/>
      <c r="S6" s="3208"/>
      <c r="T6" s="3216"/>
      <c r="U6" s="3217"/>
      <c r="V6" s="3218"/>
      <c r="W6" s="3218"/>
      <c r="X6" s="1806"/>
      <c r="Y6" s="3216"/>
      <c r="Z6" s="3217"/>
      <c r="AA6" s="3224"/>
      <c r="AB6" s="3224"/>
      <c r="AC6" s="3224"/>
    </row>
    <row r="7" spans="1:29" s="117" customFormat="1" ht="15.75" thickBot="1">
      <c r="A7" s="407" t="s">
        <v>2528</v>
      </c>
      <c r="B7" s="408"/>
      <c r="C7" s="409">
        <f>'数据-取费表'!B2</f>
        <v>43216</v>
      </c>
      <c r="D7" s="410">
        <v>100</v>
      </c>
      <c r="E7" s="411"/>
      <c r="F7" s="412">
        <f>SUMIF(52:52,YEAR(E7)&amp;"-"&amp;MONTH(E7),53:53)</f>
        <v>0</v>
      </c>
      <c r="G7" s="411"/>
      <c r="H7" s="410">
        <f>SUMIF(52:52,YEAR(G7)&amp;"-"&amp;MONTH(G7),53:53)</f>
        <v>0</v>
      </c>
      <c r="I7" s="411"/>
      <c r="J7" s="410">
        <f>SUMIF(52:52,YEAR(I7)&amp;"-"&amp;MONTH(I7),53:53)</f>
        <v>0</v>
      </c>
      <c r="K7" s="610"/>
      <c r="L7" s="1127"/>
      <c r="M7" s="1128"/>
      <c r="N7" s="1128"/>
      <c r="O7" s="1128"/>
      <c r="P7" s="3203" t="s">
        <v>2529</v>
      </c>
      <c r="Q7" s="3213"/>
      <c r="R7" s="768" t="s">
        <v>17</v>
      </c>
      <c r="S7" s="769">
        <f t="shared" ref="S7:S15" si="0">F7</f>
        <v>0</v>
      </c>
      <c r="T7" s="768" t="s">
        <v>17</v>
      </c>
      <c r="U7" s="769">
        <f t="shared" ref="U7:U15" si="1">H7</f>
        <v>0</v>
      </c>
      <c r="V7" s="768" t="s">
        <v>17</v>
      </c>
      <c r="W7" s="769">
        <f t="shared" ref="W7:W15" si="2">J7</f>
        <v>0</v>
      </c>
      <c r="X7" s="770"/>
      <c r="Y7" s="3203" t="s">
        <v>2529</v>
      </c>
      <c r="Z7" s="3204"/>
      <c r="AA7" s="771" t="e">
        <f>D7/F7</f>
        <v>#DIV/0!</v>
      </c>
      <c r="AB7" s="771" t="e">
        <f>D7/H7</f>
        <v>#DIV/0!</v>
      </c>
      <c r="AC7" s="771" t="e">
        <f>D7/J7</f>
        <v>#DIV/0!</v>
      </c>
    </row>
    <row r="8" spans="1:29" s="117" customFormat="1" ht="15.75" thickBot="1">
      <c r="A8" s="407" t="s">
        <v>2530</v>
      </c>
      <c r="B8" s="408"/>
      <c r="C8" s="413" t="s">
        <v>2531</v>
      </c>
      <c r="D8" s="410">
        <v>100</v>
      </c>
      <c r="E8" s="413"/>
      <c r="F8" s="412">
        <f>SUMIF(55:55,E8,56:56)-SUMIF(55:55,C8,56:56)+100</f>
        <v>0</v>
      </c>
      <c r="G8" s="413"/>
      <c r="H8" s="410">
        <f>SUMIF(55:55,G8,56:56)-SUMIF(55:55,C8,56:56)+100</f>
        <v>0</v>
      </c>
      <c r="I8" s="413"/>
      <c r="J8" s="410">
        <f>SUMIF(55:55,I8,56:56)-SUMIF(55:55,C8,56:56)+100</f>
        <v>0</v>
      </c>
      <c r="K8" s="610"/>
      <c r="L8" s="1127"/>
      <c r="M8" s="1128"/>
      <c r="N8" s="1128"/>
      <c r="O8" s="1128"/>
      <c r="P8" s="3203" t="s">
        <v>2532</v>
      </c>
      <c r="Q8" s="3204"/>
      <c r="R8" s="768" t="s">
        <v>17</v>
      </c>
      <c r="S8" s="769">
        <f t="shared" si="0"/>
        <v>0</v>
      </c>
      <c r="T8" s="768" t="s">
        <v>17</v>
      </c>
      <c r="U8" s="769">
        <f t="shared" si="1"/>
        <v>0</v>
      </c>
      <c r="V8" s="768" t="s">
        <v>17</v>
      </c>
      <c r="W8" s="769">
        <f t="shared" si="2"/>
        <v>0</v>
      </c>
      <c r="X8" s="770"/>
      <c r="Y8" s="3203" t="s">
        <v>2532</v>
      </c>
      <c r="Z8" s="3204"/>
      <c r="AA8" s="771" t="e">
        <f t="shared" ref="AA8:AA40" si="3">D8/F8</f>
        <v>#DIV/0!</v>
      </c>
      <c r="AB8" s="771" t="e">
        <f t="shared" ref="AB8:AB40" si="4">D8/H8</f>
        <v>#DIV/0!</v>
      </c>
      <c r="AC8" s="771" t="e">
        <f t="shared" ref="AC8:AC40" si="5">D8/J8</f>
        <v>#DIV/0!</v>
      </c>
    </row>
    <row r="9" spans="1:29" s="117" customFormat="1">
      <c r="A9" s="414" t="s">
        <v>2533</v>
      </c>
      <c r="B9" s="71" t="s">
        <v>2534</v>
      </c>
      <c r="C9" s="415"/>
      <c r="D9" s="134">
        <v>100</v>
      </c>
      <c r="E9" s="418"/>
      <c r="F9" s="134">
        <f>SUMIF(57:57,E9,58:58)-SUMIF(57:57,C9,58:58)+100</f>
        <v>100</v>
      </c>
      <c r="G9" s="416"/>
      <c r="H9" s="134">
        <f>SUMIF(57:57,G9,58:58)-SUMIF(57:57,C9,58:58)+100</f>
        <v>100</v>
      </c>
      <c r="I9" s="416"/>
      <c r="J9" s="134">
        <f>SUMIF(57:57,I9,58:58)-SUMIF(57:57,C9,58:58)+100</f>
        <v>100</v>
      </c>
      <c r="K9" s="610"/>
      <c r="L9" s="1127"/>
      <c r="M9" s="1128"/>
      <c r="N9" s="1128"/>
      <c r="O9" s="1129"/>
      <c r="P9" s="3201" t="s">
        <v>2535</v>
      </c>
      <c r="Q9" s="1788" t="str">
        <f t="shared" ref="Q9:Q15" si="6">B9</f>
        <v>用途</v>
      </c>
      <c r="R9" s="768" t="s">
        <v>17</v>
      </c>
      <c r="S9" s="769">
        <f t="shared" si="0"/>
        <v>100</v>
      </c>
      <c r="T9" s="768" t="s">
        <v>17</v>
      </c>
      <c r="U9" s="769">
        <f t="shared" si="1"/>
        <v>100</v>
      </c>
      <c r="V9" s="768" t="s">
        <v>17</v>
      </c>
      <c r="W9" s="769">
        <f t="shared" si="2"/>
        <v>100</v>
      </c>
      <c r="X9" s="770"/>
      <c r="Y9" s="3056" t="s">
        <v>2536</v>
      </c>
      <c r="Z9" s="55" t="str">
        <f t="shared" ref="Z9:Z15" si="7">Q9</f>
        <v>用途</v>
      </c>
      <c r="AA9" s="771">
        <f t="shared" si="3"/>
        <v>1</v>
      </c>
      <c r="AB9" s="771">
        <f t="shared" si="4"/>
        <v>1</v>
      </c>
      <c r="AC9" s="771">
        <f t="shared" si="5"/>
        <v>1</v>
      </c>
    </row>
    <row r="10" spans="1:29" s="426" customFormat="1" ht="27">
      <c r="A10" s="420"/>
      <c r="B10" s="421" t="s">
        <v>2537</v>
      </c>
      <c r="C10" s="422"/>
      <c r="D10" s="135">
        <v>100</v>
      </c>
      <c r="E10" s="422"/>
      <c r="F10" s="135">
        <f>SUMIF(59:59,E10,60:60)-SUMIF(59:59,C10,60:60)+100</f>
        <v>100</v>
      </c>
      <c r="G10" s="423"/>
      <c r="H10" s="135">
        <f>SUMIF(59:59,G10,60:60)-SUMIF(59:59,C10,60:60)+100</f>
        <v>100</v>
      </c>
      <c r="I10" s="422"/>
      <c r="J10" s="135">
        <f>SUMIF(59:59,I10,60:60)-SUMIF(59:59,C10,60:60)+100</f>
        <v>100</v>
      </c>
      <c r="K10" s="611"/>
      <c r="L10" s="1130"/>
      <c r="M10" s="1131"/>
      <c r="N10" s="1131"/>
      <c r="O10" s="1132"/>
      <c r="P10" s="3201"/>
      <c r="Q10" s="1788" t="str">
        <f t="shared" si="6"/>
        <v>土地使用年限（年）</v>
      </c>
      <c r="R10" s="768" t="s">
        <v>17</v>
      </c>
      <c r="S10" s="769">
        <f t="shared" si="0"/>
        <v>100</v>
      </c>
      <c r="T10" s="768" t="s">
        <v>17</v>
      </c>
      <c r="U10" s="769">
        <f t="shared" si="1"/>
        <v>100</v>
      </c>
      <c r="V10" s="768" t="s">
        <v>17</v>
      </c>
      <c r="W10" s="769">
        <f t="shared" si="2"/>
        <v>100</v>
      </c>
      <c r="X10" s="770"/>
      <c r="Y10" s="3056"/>
      <c r="Z10" s="55" t="str">
        <f t="shared" si="7"/>
        <v>土地使用年限（年）</v>
      </c>
      <c r="AA10" s="771">
        <f t="shared" si="3"/>
        <v>1</v>
      </c>
      <c r="AB10" s="771">
        <f t="shared" si="4"/>
        <v>1</v>
      </c>
      <c r="AC10" s="771">
        <f t="shared" si="5"/>
        <v>1</v>
      </c>
    </row>
    <row r="11" spans="1:29" ht="15">
      <c r="A11" s="427"/>
      <c r="B11" s="421" t="s">
        <v>2538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3"/>
      <c r="M11" s="1126"/>
      <c r="N11" s="1126"/>
      <c r="O11" s="1134"/>
      <c r="P11" s="3201"/>
      <c r="Q11" s="1788" t="str">
        <f t="shared" si="6"/>
        <v>容积率</v>
      </c>
      <c r="R11" s="768" t="s">
        <v>17</v>
      </c>
      <c r="S11" s="769" t="e">
        <f t="shared" si="0"/>
        <v>#N/A</v>
      </c>
      <c r="T11" s="768" t="s">
        <v>17</v>
      </c>
      <c r="U11" s="769" t="e">
        <f t="shared" si="1"/>
        <v>#N/A</v>
      </c>
      <c r="V11" s="768" t="s">
        <v>17</v>
      </c>
      <c r="W11" s="769" t="e">
        <f t="shared" si="2"/>
        <v>#N/A</v>
      </c>
      <c r="X11" s="770"/>
      <c r="Y11" s="3056"/>
      <c r="Z11" s="55" t="str">
        <f t="shared" si="7"/>
        <v>容积率</v>
      </c>
      <c r="AA11" s="771" t="e">
        <f t="shared" si="3"/>
        <v>#N/A</v>
      </c>
      <c r="AB11" s="771" t="e">
        <f t="shared" si="4"/>
        <v>#N/A</v>
      </c>
      <c r="AC11" s="771" t="e">
        <f t="shared" si="5"/>
        <v>#N/A</v>
      </c>
    </row>
    <row r="12" spans="1:29" s="117" customFormat="1" ht="15">
      <c r="A12" s="430"/>
      <c r="B12" s="2584">
        <v>111</v>
      </c>
      <c r="C12" s="431"/>
      <c r="D12" s="432">
        <v>100</v>
      </c>
      <c r="E12" s="433"/>
      <c r="F12" s="135">
        <f>SUMIF(64:64,E12,65:65)-SUMIF(64:64,C12,65:65)+100</f>
        <v>100</v>
      </c>
      <c r="G12" s="2676"/>
      <c r="H12" s="135">
        <f>SUMIF(64:64,G12,65:65)-SUMIF(64:64,C12,65:65)+100</f>
        <v>100</v>
      </c>
      <c r="I12" s="468"/>
      <c r="J12" s="135">
        <f>SUMIF(64:64,I12,65:65)-SUMIF(64:64,C12,65:65)+100</f>
        <v>100</v>
      </c>
      <c r="K12" s="612"/>
      <c r="L12" s="1127"/>
      <c r="M12" s="1128"/>
      <c r="N12" s="1128"/>
      <c r="O12" s="1129"/>
      <c r="P12" s="3201"/>
      <c r="Q12" s="1788">
        <f t="shared" si="6"/>
        <v>111</v>
      </c>
      <c r="R12" s="768" t="s">
        <v>17</v>
      </c>
      <c r="S12" s="769">
        <f t="shared" si="0"/>
        <v>100</v>
      </c>
      <c r="T12" s="768" t="s">
        <v>17</v>
      </c>
      <c r="U12" s="769">
        <f t="shared" si="1"/>
        <v>100</v>
      </c>
      <c r="V12" s="768" t="s">
        <v>17</v>
      </c>
      <c r="W12" s="769">
        <f t="shared" si="2"/>
        <v>100</v>
      </c>
      <c r="X12" s="770"/>
      <c r="Y12" s="3056"/>
      <c r="Z12" s="55">
        <f t="shared" si="7"/>
        <v>111</v>
      </c>
      <c r="AA12" s="771">
        <f>D12/F12</f>
        <v>1</v>
      </c>
      <c r="AB12" s="771">
        <f>D12/H12</f>
        <v>1</v>
      </c>
      <c r="AC12" s="771">
        <f>D12/J12</f>
        <v>1</v>
      </c>
    </row>
    <row r="13" spans="1:29" ht="15">
      <c r="A13" s="427"/>
      <c r="B13" s="2584">
        <v>111</v>
      </c>
      <c r="C13" s="433"/>
      <c r="D13" s="434">
        <v>100</v>
      </c>
      <c r="E13" s="433"/>
      <c r="F13" s="135">
        <f>SUMIF(66:66,E13,67:67)-SUMIF(66:66,C13,67:67)+100</f>
        <v>100</v>
      </c>
      <c r="G13" s="2676"/>
      <c r="H13" s="434">
        <f>SUMIF(66:66,G13,67:67)-SUMIF(66:66,C13,67:67)+100</f>
        <v>100</v>
      </c>
      <c r="I13" s="468"/>
      <c r="J13" s="434">
        <f>SUMIF(66:66,I13,67:67)-SUMIF(66:66,C13,67:67)+100</f>
        <v>100</v>
      </c>
      <c r="K13" s="612"/>
      <c r="L13" s="1135"/>
      <c r="M13" s="1126"/>
      <c r="N13" s="1126"/>
      <c r="O13" s="1134"/>
      <c r="P13" s="3201"/>
      <c r="Q13" s="1788">
        <f t="shared" si="6"/>
        <v>111</v>
      </c>
      <c r="R13" s="768" t="s">
        <v>17</v>
      </c>
      <c r="S13" s="769">
        <f t="shared" si="0"/>
        <v>100</v>
      </c>
      <c r="T13" s="768" t="s">
        <v>17</v>
      </c>
      <c r="U13" s="769">
        <f t="shared" si="1"/>
        <v>100</v>
      </c>
      <c r="V13" s="768" t="s">
        <v>17</v>
      </c>
      <c r="W13" s="769">
        <f t="shared" si="2"/>
        <v>100</v>
      </c>
      <c r="X13" s="770"/>
      <c r="Y13" s="3056"/>
      <c r="Z13" s="55">
        <f t="shared" si="7"/>
        <v>111</v>
      </c>
      <c r="AA13" s="771">
        <f t="shared" si="3"/>
        <v>1</v>
      </c>
      <c r="AB13" s="771">
        <f t="shared" si="4"/>
        <v>1</v>
      </c>
      <c r="AC13" s="771">
        <f t="shared" si="5"/>
        <v>1</v>
      </c>
    </row>
    <row r="14" spans="1:29" ht="15.75" thickBot="1">
      <c r="A14" s="435"/>
      <c r="B14" s="2586">
        <v>111</v>
      </c>
      <c r="C14" s="436"/>
      <c r="D14" s="437">
        <v>100</v>
      </c>
      <c r="E14" s="436"/>
      <c r="F14" s="437">
        <f>SUMIF(68:68,E14,69:69)-SUMIF(68:68,C14,69:69)+100</f>
        <v>100</v>
      </c>
      <c r="G14" s="2676"/>
      <c r="H14" s="437">
        <f>SUMIF(68:68,G14,69:69)-SUMIF(68:68,C14,69:69)+100</f>
        <v>100</v>
      </c>
      <c r="I14" s="468"/>
      <c r="J14" s="437">
        <f>SUMIF(68:68,I14,69:69)-SUMIF(68:68,C14,69:69)+100</f>
        <v>100</v>
      </c>
      <c r="K14" s="612"/>
      <c r="L14" s="1135"/>
      <c r="M14" s="1126"/>
      <c r="N14" s="1126"/>
      <c r="O14" s="1134"/>
      <c r="P14" s="3201"/>
      <c r="Q14" s="1788">
        <f t="shared" si="6"/>
        <v>111</v>
      </c>
      <c r="R14" s="768" t="s">
        <v>17</v>
      </c>
      <c r="S14" s="769">
        <f t="shared" si="0"/>
        <v>100</v>
      </c>
      <c r="T14" s="768" t="s">
        <v>17</v>
      </c>
      <c r="U14" s="769">
        <f t="shared" si="1"/>
        <v>100</v>
      </c>
      <c r="V14" s="768" t="s">
        <v>17</v>
      </c>
      <c r="W14" s="769">
        <f t="shared" si="2"/>
        <v>100</v>
      </c>
      <c r="X14" s="770"/>
      <c r="Y14" s="3056"/>
      <c r="Z14" s="55">
        <f t="shared" si="7"/>
        <v>111</v>
      </c>
      <c r="AA14" s="771">
        <f t="shared" si="3"/>
        <v>1</v>
      </c>
      <c r="AB14" s="771">
        <f t="shared" si="4"/>
        <v>1</v>
      </c>
      <c r="AC14" s="771">
        <f t="shared" si="5"/>
        <v>1</v>
      </c>
    </row>
    <row r="15" spans="1:29" ht="15">
      <c r="A15" s="439" t="s">
        <v>2539</v>
      </c>
      <c r="B15" s="69" t="s">
        <v>2683</v>
      </c>
      <c r="C15" s="2677" t="str">
        <f>估价对象房地状况!G3</f>
        <v>较好</v>
      </c>
      <c r="D15" s="440">
        <v>100</v>
      </c>
      <c r="E15" s="441"/>
      <c r="F15" s="442">
        <f>SUMIF(70:70,E16,71:71)-SUMIF(70:70,C16,71:71)+100</f>
        <v>100</v>
      </c>
      <c r="G15" s="443"/>
      <c r="H15" s="440">
        <f>SUMIF(70:70,G16,71:71)-SUMIF(70:70,C16,71:71)+100</f>
        <v>100</v>
      </c>
      <c r="I15" s="441"/>
      <c r="J15" s="440">
        <f>SUMIF(70:70,I16,71:71)-SUMIF(70:70,C16,71:71)+100</f>
        <v>100</v>
      </c>
      <c r="K15" s="613"/>
      <c r="L15" s="1135"/>
      <c r="M15" s="1126"/>
      <c r="N15" s="1126"/>
      <c r="O15" s="1134"/>
      <c r="P15" s="3219" t="s">
        <v>2540</v>
      </c>
      <c r="Q15" s="1803" t="str">
        <f t="shared" si="6"/>
        <v>产业集聚程度</v>
      </c>
      <c r="R15" s="772" t="s">
        <v>17</v>
      </c>
      <c r="S15" s="773">
        <f t="shared" si="0"/>
        <v>100</v>
      </c>
      <c r="T15" s="772" t="s">
        <v>17</v>
      </c>
      <c r="U15" s="773">
        <f t="shared" si="1"/>
        <v>100</v>
      </c>
      <c r="V15" s="772" t="s">
        <v>17</v>
      </c>
      <c r="W15" s="773">
        <f t="shared" si="2"/>
        <v>100</v>
      </c>
      <c r="X15" s="1806"/>
      <c r="Y15" s="3219" t="s">
        <v>2540</v>
      </c>
      <c r="Z15" s="1807" t="str">
        <f t="shared" si="7"/>
        <v>产业集聚程度</v>
      </c>
      <c r="AA15" s="1804">
        <f t="shared" si="3"/>
        <v>1</v>
      </c>
      <c r="AB15" s="1804">
        <f t="shared" si="4"/>
        <v>1</v>
      </c>
      <c r="AC15" s="1804">
        <f t="shared" si="5"/>
        <v>1</v>
      </c>
    </row>
    <row r="16" spans="1:29" ht="15">
      <c r="A16" s="427"/>
      <c r="B16" s="445"/>
      <c r="C16" s="446"/>
      <c r="D16" s="447"/>
      <c r="E16" s="446"/>
      <c r="F16" s="448"/>
      <c r="G16" s="446"/>
      <c r="H16" s="449"/>
      <c r="I16" s="446"/>
      <c r="J16" s="447"/>
      <c r="K16" s="614"/>
      <c r="L16" s="1135"/>
      <c r="M16" s="1126"/>
      <c r="N16" s="1126"/>
      <c r="O16" s="1134"/>
      <c r="P16" s="3220"/>
      <c r="Q16" s="1803"/>
      <c r="R16" s="772"/>
      <c r="S16" s="773"/>
      <c r="T16" s="772"/>
      <c r="U16" s="773"/>
      <c r="V16" s="772"/>
      <c r="W16" s="773"/>
      <c r="X16" s="1806"/>
      <c r="Y16" s="3220"/>
      <c r="Z16" s="1807"/>
      <c r="AA16" s="1804">
        <v>1</v>
      </c>
      <c r="AB16" s="1804">
        <v>1</v>
      </c>
      <c r="AC16" s="1804">
        <v>1</v>
      </c>
    </row>
    <row r="17" spans="1:29" ht="15">
      <c r="A17" s="427"/>
      <c r="B17" s="450" t="s">
        <v>2087</v>
      </c>
      <c r="C17" s="2591" t="str">
        <f>估价对象房地状况!G4</f>
        <v>一般</v>
      </c>
      <c r="D17" s="449">
        <v>100</v>
      </c>
      <c r="E17" s="451"/>
      <c r="F17" s="452">
        <f>SUMIF(72:72,E18,73:73)-SUMIF(72:72,C18,73:73)+100</f>
        <v>100</v>
      </c>
      <c r="G17" s="453"/>
      <c r="H17" s="454">
        <f>SUMIF(72:72,G18,73:73)-SUMIF(72:72,C18,73:73)+100</f>
        <v>100</v>
      </c>
      <c r="I17" s="451"/>
      <c r="J17" s="454">
        <f>SUMIF(72:72,I18,73:73)-SUMIF(72:72,C18,73:73)+100</f>
        <v>100</v>
      </c>
      <c r="K17" s="613"/>
      <c r="L17" s="1135"/>
      <c r="M17" s="1126"/>
      <c r="N17" s="1126"/>
      <c r="O17" s="1134"/>
      <c r="P17" s="3220"/>
      <c r="Q17" s="1803" t="str">
        <f>B17</f>
        <v>交通便捷度</v>
      </c>
      <c r="R17" s="772" t="s">
        <v>17</v>
      </c>
      <c r="S17" s="773">
        <f>F17</f>
        <v>100</v>
      </c>
      <c r="T17" s="772" t="s">
        <v>17</v>
      </c>
      <c r="U17" s="773">
        <f>H17</f>
        <v>100</v>
      </c>
      <c r="V17" s="772" t="s">
        <v>17</v>
      </c>
      <c r="W17" s="773">
        <f>J17</f>
        <v>100</v>
      </c>
      <c r="X17" s="1806"/>
      <c r="Y17" s="3220"/>
      <c r="Z17" s="1807" t="str">
        <f>Q17</f>
        <v>交通便捷度</v>
      </c>
      <c r="AA17" s="1804">
        <f t="shared" si="3"/>
        <v>1</v>
      </c>
      <c r="AB17" s="1804">
        <f t="shared" si="4"/>
        <v>1</v>
      </c>
      <c r="AC17" s="1804">
        <f t="shared" si="5"/>
        <v>1</v>
      </c>
    </row>
    <row r="18" spans="1:29" ht="15">
      <c r="A18" s="427"/>
      <c r="B18" s="455"/>
      <c r="C18" s="2592"/>
      <c r="D18" s="449"/>
      <c r="E18" s="2594"/>
      <c r="F18" s="452"/>
      <c r="G18" s="2593"/>
      <c r="H18" s="447"/>
      <c r="I18" s="2594"/>
      <c r="J18" s="447"/>
      <c r="K18" s="614"/>
      <c r="L18" s="1135"/>
      <c r="M18" s="1126"/>
      <c r="N18" s="1126"/>
      <c r="O18" s="1134"/>
      <c r="P18" s="3220"/>
      <c r="Q18" s="1803"/>
      <c r="R18" s="772"/>
      <c r="S18" s="773"/>
      <c r="T18" s="772"/>
      <c r="U18" s="773"/>
      <c r="V18" s="772"/>
      <c r="W18" s="773"/>
      <c r="X18" s="1806"/>
      <c r="Y18" s="3220"/>
      <c r="Z18" s="1807"/>
      <c r="AA18" s="1804">
        <v>1</v>
      </c>
      <c r="AB18" s="1804">
        <v>1</v>
      </c>
      <c r="AC18" s="1804">
        <v>1</v>
      </c>
    </row>
    <row r="19" spans="1:29" ht="15">
      <c r="A19" s="427"/>
      <c r="B19" s="450" t="s">
        <v>2668</v>
      </c>
      <c r="C19" s="2591" t="str">
        <f>估价对象房地状况!G5</f>
        <v>一般</v>
      </c>
      <c r="D19" s="454">
        <v>100</v>
      </c>
      <c r="E19" s="456"/>
      <c r="F19" s="457">
        <f>SUMIF(74:74,E20,75:75)-SUMIF(74:74,C20,75:75)+100</f>
        <v>100</v>
      </c>
      <c r="G19" s="458"/>
      <c r="H19" s="449">
        <f>SUMIF(74:74,G20,75:75)-SUMIF(74:74,C20,75:75)+100</f>
        <v>100</v>
      </c>
      <c r="I19" s="456"/>
      <c r="J19" s="449">
        <f>SUMIF(74:74,I20,75:75)-SUMIF(74:74,C20,75:75)+100</f>
        <v>100</v>
      </c>
      <c r="K19" s="613"/>
      <c r="L19" s="1135"/>
      <c r="M19" s="1126"/>
      <c r="N19" s="1126"/>
      <c r="O19" s="1134"/>
      <c r="P19" s="3220"/>
      <c r="Q19" s="1803" t="str">
        <f>B19</f>
        <v>公共配套设施</v>
      </c>
      <c r="R19" s="772" t="s">
        <v>17</v>
      </c>
      <c r="S19" s="773">
        <f>F19</f>
        <v>100</v>
      </c>
      <c r="T19" s="772" t="s">
        <v>17</v>
      </c>
      <c r="U19" s="773">
        <f>H19</f>
        <v>100</v>
      </c>
      <c r="V19" s="772" t="s">
        <v>17</v>
      </c>
      <c r="W19" s="773">
        <f>J19</f>
        <v>100</v>
      </c>
      <c r="X19" s="1806"/>
      <c r="Y19" s="3220"/>
      <c r="Z19" s="1807" t="str">
        <f>Q19</f>
        <v>公共配套设施</v>
      </c>
      <c r="AA19" s="1804">
        <f t="shared" si="3"/>
        <v>1</v>
      </c>
      <c r="AB19" s="1804">
        <f t="shared" si="4"/>
        <v>1</v>
      </c>
      <c r="AC19" s="1804">
        <f t="shared" si="5"/>
        <v>1</v>
      </c>
    </row>
    <row r="20" spans="1:29" ht="15">
      <c r="A20" s="427"/>
      <c r="B20" s="455"/>
      <c r="C20" s="446"/>
      <c r="D20" s="447"/>
      <c r="E20" s="2589"/>
      <c r="F20" s="448"/>
      <c r="G20" s="2588"/>
      <c r="H20" s="447"/>
      <c r="I20" s="2589"/>
      <c r="J20" s="447"/>
      <c r="K20" s="614"/>
      <c r="L20" s="1135"/>
      <c r="M20" s="1126"/>
      <c r="N20" s="1126"/>
      <c r="O20" s="1134"/>
      <c r="P20" s="3220"/>
      <c r="Q20" s="1803"/>
      <c r="R20" s="772"/>
      <c r="S20" s="773"/>
      <c r="T20" s="772"/>
      <c r="U20" s="773"/>
      <c r="V20" s="772"/>
      <c r="W20" s="773"/>
      <c r="X20" s="1806"/>
      <c r="Y20" s="3220"/>
      <c r="Z20" s="1807"/>
      <c r="AA20" s="1804">
        <v>1</v>
      </c>
      <c r="AB20" s="1804">
        <v>1</v>
      </c>
      <c r="AC20" s="1804">
        <v>1</v>
      </c>
    </row>
    <row r="21" spans="1:29" ht="15">
      <c r="A21" s="427"/>
      <c r="B21" s="1379" t="s">
        <v>2669</v>
      </c>
      <c r="C21" s="2591"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35"/>
      <c r="M21" s="1126"/>
      <c r="N21" s="1126"/>
      <c r="O21" s="1134"/>
      <c r="P21" s="3220"/>
      <c r="Q21" s="1803" t="str">
        <f>B21</f>
        <v>基础设施水平</v>
      </c>
      <c r="R21" s="772" t="s">
        <v>17</v>
      </c>
      <c r="S21" s="773">
        <f>F21</f>
        <v>100</v>
      </c>
      <c r="T21" s="772" t="s">
        <v>17</v>
      </c>
      <c r="U21" s="773">
        <f>H21</f>
        <v>100</v>
      </c>
      <c r="V21" s="772" t="s">
        <v>17</v>
      </c>
      <c r="W21" s="773">
        <f>J21</f>
        <v>100</v>
      </c>
      <c r="X21" s="1806"/>
      <c r="Y21" s="3220"/>
      <c r="Z21" s="1807" t="str">
        <f>Q21</f>
        <v>基础设施水平</v>
      </c>
      <c r="AA21" s="1804">
        <f t="shared" ref="AA21" si="8">D21/F21</f>
        <v>1</v>
      </c>
      <c r="AB21" s="1804">
        <f t="shared" ref="AB21" si="9">D21/H21</f>
        <v>1</v>
      </c>
      <c r="AC21" s="1804">
        <f t="shared" ref="AC21" si="10">D21/J21</f>
        <v>1</v>
      </c>
    </row>
    <row r="22" spans="1:29" ht="15">
      <c r="A22" s="427"/>
      <c r="B22" s="1379"/>
      <c r="C22" s="2592"/>
      <c r="D22" s="447"/>
      <c r="E22" s="446"/>
      <c r="F22" s="448"/>
      <c r="G22" s="446"/>
      <c r="H22" s="447"/>
      <c r="I22" s="446"/>
      <c r="J22" s="447"/>
      <c r="K22" s="1378"/>
      <c r="L22" s="1135"/>
      <c r="M22" s="1126"/>
      <c r="N22" s="1126"/>
      <c r="O22" s="1134"/>
      <c r="P22" s="3220"/>
      <c r="Q22" s="1803"/>
      <c r="R22" s="772"/>
      <c r="S22" s="773"/>
      <c r="T22" s="772"/>
      <c r="U22" s="773"/>
      <c r="V22" s="772"/>
      <c r="W22" s="773"/>
      <c r="X22" s="1806"/>
      <c r="Y22" s="3220"/>
      <c r="Z22" s="1807"/>
      <c r="AA22" s="1804">
        <v>1</v>
      </c>
      <c r="AB22" s="1804">
        <v>1</v>
      </c>
      <c r="AC22" s="1804">
        <v>1</v>
      </c>
    </row>
    <row r="23" spans="1:29" ht="15">
      <c r="A23" s="427"/>
      <c r="B23" s="450" t="s">
        <v>2670</v>
      </c>
      <c r="C23" s="2591" t="str">
        <f>估价对象房地状况!G7</f>
        <v>一般</v>
      </c>
      <c r="D23" s="449">
        <v>100</v>
      </c>
      <c r="E23" s="451"/>
      <c r="F23" s="452">
        <f>SUMIF(78:78,E24,79:79)-SUMIF(78:78,C24,79:79)+100</f>
        <v>100</v>
      </c>
      <c r="G23" s="453"/>
      <c r="H23" s="449">
        <f>SUMIF(78:78,G24,79:79)-SUMIF(78:78,C24,79:79)+100</f>
        <v>100</v>
      </c>
      <c r="I23" s="451"/>
      <c r="J23" s="449">
        <f>SUMIF(78:78,I24,79:79)-SUMIF(78:78,C24,79:79)+100</f>
        <v>100</v>
      </c>
      <c r="K23" s="613"/>
      <c r="L23" s="1135"/>
      <c r="M23" s="1126"/>
      <c r="N23" s="1126"/>
      <c r="O23" s="1134"/>
      <c r="P23" s="3220"/>
      <c r="Q23" s="1803" t="str">
        <f>B23</f>
        <v>环境质量</v>
      </c>
      <c r="R23" s="772" t="s">
        <v>17</v>
      </c>
      <c r="S23" s="773">
        <f>F23</f>
        <v>100</v>
      </c>
      <c r="T23" s="772" t="s">
        <v>17</v>
      </c>
      <c r="U23" s="773">
        <f>H23</f>
        <v>100</v>
      </c>
      <c r="V23" s="772" t="s">
        <v>17</v>
      </c>
      <c r="W23" s="773">
        <f>J23</f>
        <v>100</v>
      </c>
      <c r="X23" s="1806"/>
      <c r="Y23" s="3220"/>
      <c r="Z23" s="1807" t="str">
        <f>Q23</f>
        <v>环境质量</v>
      </c>
      <c r="AA23" s="1804">
        <f t="shared" si="3"/>
        <v>1</v>
      </c>
      <c r="AB23" s="1804">
        <f t="shared" si="4"/>
        <v>1</v>
      </c>
      <c r="AC23" s="1804">
        <f t="shared" si="5"/>
        <v>1</v>
      </c>
    </row>
    <row r="24" spans="1:29" ht="15">
      <c r="A24" s="427"/>
      <c r="B24" s="1379"/>
      <c r="C24" s="446"/>
      <c r="D24" s="447"/>
      <c r="E24" s="2589"/>
      <c r="F24" s="448"/>
      <c r="G24" s="2588"/>
      <c r="H24" s="447"/>
      <c r="I24" s="2589"/>
      <c r="J24" s="447"/>
      <c r="K24" s="614"/>
      <c r="L24" s="1135"/>
      <c r="M24" s="1126"/>
      <c r="N24" s="1126"/>
      <c r="O24" s="1134"/>
      <c r="P24" s="3220"/>
      <c r="Q24" s="1803"/>
      <c r="R24" s="772"/>
      <c r="S24" s="773"/>
      <c r="T24" s="772"/>
      <c r="U24" s="773"/>
      <c r="V24" s="772"/>
      <c r="W24" s="773"/>
      <c r="X24" s="1806"/>
      <c r="Y24" s="3220"/>
      <c r="Z24" s="1807"/>
      <c r="AA24" s="1804">
        <v>1</v>
      </c>
      <c r="AB24" s="1804">
        <v>1</v>
      </c>
      <c r="AC24" s="1804">
        <v>1</v>
      </c>
    </row>
    <row r="25" spans="1:29" ht="15">
      <c r="A25" s="403"/>
      <c r="B25" s="1381">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5"/>
      <c r="M25" s="1126"/>
      <c r="N25" s="1126"/>
      <c r="O25" s="1134"/>
      <c r="P25" s="3220"/>
      <c r="Q25" s="1803">
        <f>B25</f>
        <v>111</v>
      </c>
      <c r="R25" s="772" t="s">
        <v>17</v>
      </c>
      <c r="S25" s="773">
        <f>F25</f>
        <v>100</v>
      </c>
      <c r="T25" s="772" t="s">
        <v>17</v>
      </c>
      <c r="U25" s="773">
        <f>H25</f>
        <v>100</v>
      </c>
      <c r="V25" s="772" t="s">
        <v>17</v>
      </c>
      <c r="W25" s="773">
        <f>J25</f>
        <v>100</v>
      </c>
      <c r="X25" s="1806"/>
      <c r="Y25" s="3220"/>
      <c r="Z25" s="1807">
        <f>Q25</f>
        <v>111</v>
      </c>
      <c r="AA25" s="1804">
        <f t="shared" si="3"/>
        <v>1</v>
      </c>
      <c r="AB25" s="1804">
        <f t="shared" si="4"/>
        <v>1</v>
      </c>
      <c r="AC25" s="1804">
        <f t="shared" si="5"/>
        <v>1</v>
      </c>
    </row>
    <row r="26" spans="1:29" ht="15">
      <c r="A26" s="427"/>
      <c r="B26" s="1381">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5"/>
      <c r="M26" s="1126"/>
      <c r="N26" s="1126"/>
      <c r="O26" s="1134"/>
      <c r="P26" s="3220"/>
      <c r="Q26" s="1803">
        <f t="shared" ref="Q26:Q40" si="11">B26</f>
        <v>111</v>
      </c>
      <c r="R26" s="772" t="s">
        <v>17</v>
      </c>
      <c r="S26" s="773">
        <f>F26</f>
        <v>100</v>
      </c>
      <c r="T26" s="772" t="s">
        <v>17</v>
      </c>
      <c r="U26" s="773">
        <f>H26</f>
        <v>100</v>
      </c>
      <c r="V26" s="772" t="s">
        <v>17</v>
      </c>
      <c r="W26" s="773">
        <f>J26</f>
        <v>100</v>
      </c>
      <c r="X26" s="1806"/>
      <c r="Y26" s="3220"/>
      <c r="Z26" s="1807">
        <f>Q26</f>
        <v>111</v>
      </c>
      <c r="AA26" s="1804">
        <f t="shared" si="3"/>
        <v>1</v>
      </c>
      <c r="AB26" s="1804">
        <f t="shared" si="4"/>
        <v>1</v>
      </c>
      <c r="AC26" s="1804">
        <f t="shared" si="5"/>
        <v>1</v>
      </c>
    </row>
    <row r="27" spans="1:29" s="117" customFormat="1" ht="15">
      <c r="A27" s="430"/>
      <c r="B27" s="1381">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7"/>
      <c r="M27" s="1128"/>
      <c r="N27" s="1128"/>
      <c r="O27" s="1129"/>
      <c r="P27" s="3220"/>
      <c r="Q27" s="1788">
        <f t="shared" si="11"/>
        <v>111</v>
      </c>
      <c r="R27" s="768" t="s">
        <v>17</v>
      </c>
      <c r="S27" s="769">
        <f>F27</f>
        <v>100</v>
      </c>
      <c r="T27" s="768" t="s">
        <v>17</v>
      </c>
      <c r="U27" s="769">
        <f>H27</f>
        <v>100</v>
      </c>
      <c r="V27" s="768" t="s">
        <v>17</v>
      </c>
      <c r="W27" s="769">
        <f>J27</f>
        <v>100</v>
      </c>
      <c r="X27" s="770"/>
      <c r="Y27" s="3220"/>
      <c r="Z27" s="55">
        <f>Q27</f>
        <v>111</v>
      </c>
      <c r="AA27" s="1804">
        <f>D27/F27</f>
        <v>1</v>
      </c>
      <c r="AB27" s="1804">
        <f>D27/H27</f>
        <v>1</v>
      </c>
      <c r="AC27" s="1804">
        <f>D27/J27</f>
        <v>1</v>
      </c>
    </row>
    <row r="28" spans="1:29" ht="15.75" thickBot="1">
      <c r="A28" s="435"/>
      <c r="B28" s="1381">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5"/>
      <c r="M28" s="1126"/>
      <c r="N28" s="1126"/>
      <c r="O28" s="1134"/>
      <c r="P28" s="3220"/>
      <c r="Q28" s="1803">
        <f t="shared" si="11"/>
        <v>111</v>
      </c>
      <c r="R28" s="772" t="s">
        <v>17</v>
      </c>
      <c r="S28" s="773">
        <f t="shared" ref="S28:S40" si="12">F28</f>
        <v>100</v>
      </c>
      <c r="T28" s="772" t="s">
        <v>17</v>
      </c>
      <c r="U28" s="773">
        <f t="shared" ref="U28:U40" si="13">H28</f>
        <v>100</v>
      </c>
      <c r="V28" s="772" t="s">
        <v>17</v>
      </c>
      <c r="W28" s="773">
        <f t="shared" ref="W28:W40" si="14">J28</f>
        <v>100</v>
      </c>
      <c r="X28" s="1806"/>
      <c r="Y28" s="3220"/>
      <c r="Z28" s="1807">
        <f t="shared" ref="Z28:Z40" si="15">Q28</f>
        <v>111</v>
      </c>
      <c r="AA28" s="1804">
        <f t="shared" si="3"/>
        <v>1</v>
      </c>
      <c r="AB28" s="1804">
        <f t="shared" si="4"/>
        <v>1</v>
      </c>
      <c r="AC28" s="1804">
        <f t="shared" si="5"/>
        <v>1</v>
      </c>
    </row>
    <row r="29" spans="1:29" ht="15">
      <c r="A29" s="465" t="s">
        <v>2543</v>
      </c>
      <c r="B29" s="71" t="s">
        <v>2673</v>
      </c>
      <c r="C29" s="2663"/>
      <c r="D29" s="466">
        <v>100</v>
      </c>
      <c r="E29" s="2663"/>
      <c r="F29" s="460">
        <f>SUMIF(88:88,E29,89:89)-SUMIF(88:88,C29,89:89)+100</f>
        <v>100</v>
      </c>
      <c r="G29" s="2663"/>
      <c r="H29" s="434">
        <f>SUMIF(88:88,G29,89:89)-SUMIF(88:88,C29,89:89)+100</f>
        <v>100</v>
      </c>
      <c r="I29" s="2663"/>
      <c r="J29" s="466">
        <f>SUMIF(88:88,I29,89:89)-SUMIF(88:88,C29,89:89)+100</f>
        <v>100</v>
      </c>
      <c r="K29" s="611"/>
      <c r="L29" s="1135"/>
      <c r="M29" s="1126"/>
      <c r="N29" s="1126"/>
      <c r="O29" s="1134"/>
      <c r="P29" s="3236" t="s">
        <v>2545</v>
      </c>
      <c r="Q29" s="1803" t="str">
        <f t="shared" si="11"/>
        <v>建筑类型</v>
      </c>
      <c r="R29" s="772" t="s">
        <v>17</v>
      </c>
      <c r="S29" s="773">
        <f t="shared" si="12"/>
        <v>100</v>
      </c>
      <c r="T29" s="772" t="s">
        <v>17</v>
      </c>
      <c r="U29" s="773">
        <f t="shared" si="13"/>
        <v>100</v>
      </c>
      <c r="V29" s="772" t="s">
        <v>17</v>
      </c>
      <c r="W29" s="773">
        <f t="shared" si="14"/>
        <v>100</v>
      </c>
      <c r="X29" s="1806"/>
      <c r="Y29" s="3221" t="s">
        <v>2545</v>
      </c>
      <c r="Z29" s="1807" t="str">
        <f t="shared" si="15"/>
        <v>建筑类型</v>
      </c>
      <c r="AA29" s="1804">
        <f t="shared" si="3"/>
        <v>1</v>
      </c>
      <c r="AB29" s="1804">
        <f t="shared" si="4"/>
        <v>1</v>
      </c>
      <c r="AC29" s="1804">
        <f t="shared" si="5"/>
        <v>1</v>
      </c>
    </row>
    <row r="30" spans="1:29" s="470" customFormat="1" ht="15">
      <c r="A30" s="467"/>
      <c r="B30" s="421" t="s">
        <v>2546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3"/>
      <c r="M30" s="1136"/>
      <c r="N30" s="1136"/>
      <c r="O30" s="1137"/>
      <c r="P30" s="3221"/>
      <c r="Q30" s="774" t="str">
        <f t="shared" si="11"/>
        <v>项目建筑规模</v>
      </c>
      <c r="R30" s="775" t="s">
        <v>17</v>
      </c>
      <c r="S30" s="776" t="e">
        <f t="shared" si="12"/>
        <v>#N/A</v>
      </c>
      <c r="T30" s="775" t="s">
        <v>17</v>
      </c>
      <c r="U30" s="776" t="e">
        <f t="shared" si="13"/>
        <v>#N/A</v>
      </c>
      <c r="V30" s="775" t="s">
        <v>17</v>
      </c>
      <c r="W30" s="776" t="e">
        <f t="shared" si="14"/>
        <v>#N/A</v>
      </c>
      <c r="X30" s="777"/>
      <c r="Y30" s="3221"/>
      <c r="Z30" s="778" t="str">
        <f t="shared" si="15"/>
        <v>项目建筑规模</v>
      </c>
      <c r="AA30" s="1804" t="e">
        <f t="shared" si="3"/>
        <v>#N/A</v>
      </c>
      <c r="AB30" s="1804" t="e">
        <f t="shared" si="4"/>
        <v>#N/A</v>
      </c>
      <c r="AC30" s="1804" t="e">
        <f t="shared" si="5"/>
        <v>#N/A</v>
      </c>
    </row>
    <row r="31" spans="1:29" ht="15">
      <c r="A31" s="471"/>
      <c r="B31" s="421" t="s">
        <v>2547</v>
      </c>
      <c r="C31" s="459"/>
      <c r="D31" s="434">
        <v>100</v>
      </c>
      <c r="E31" s="459"/>
      <c r="F31" s="460">
        <f>SUMIF(93:93,E31,94:94)-SUMIF(93:93,C31,94:94)+100</f>
        <v>100</v>
      </c>
      <c r="G31" s="459"/>
      <c r="H31" s="434">
        <f>SUMIF(93:93,G31,94:94)-SUMIF(93:93,C31,94:94)+100</f>
        <v>100</v>
      </c>
      <c r="I31" s="459"/>
      <c r="J31" s="434">
        <f>SUMIF(93:93,I31,94:94)-SUMIF(93:93,C31,94:94)+100</f>
        <v>100</v>
      </c>
      <c r="K31" s="611"/>
      <c r="L31" s="1135"/>
      <c r="M31" s="1126"/>
      <c r="N31" s="1126"/>
      <c r="O31" s="1134"/>
      <c r="P31" s="3221"/>
      <c r="Q31" s="1803" t="str">
        <f t="shared" si="11"/>
        <v>建筑结构</v>
      </c>
      <c r="R31" s="772" t="s">
        <v>17</v>
      </c>
      <c r="S31" s="773">
        <f t="shared" si="12"/>
        <v>100</v>
      </c>
      <c r="T31" s="772" t="s">
        <v>17</v>
      </c>
      <c r="U31" s="773">
        <f t="shared" si="13"/>
        <v>100</v>
      </c>
      <c r="V31" s="772" t="s">
        <v>17</v>
      </c>
      <c r="W31" s="773">
        <f t="shared" si="14"/>
        <v>100</v>
      </c>
      <c r="X31" s="1806"/>
      <c r="Y31" s="3221"/>
      <c r="Z31" s="1807" t="str">
        <f t="shared" si="15"/>
        <v>建筑结构</v>
      </c>
      <c r="AA31" s="1804">
        <f t="shared" si="3"/>
        <v>1</v>
      </c>
      <c r="AB31" s="1804">
        <f t="shared" si="4"/>
        <v>1</v>
      </c>
      <c r="AC31" s="1804">
        <f t="shared" si="5"/>
        <v>1</v>
      </c>
    </row>
    <row r="32" spans="1:29" ht="15">
      <c r="A32" s="471"/>
      <c r="B32" s="421" t="s">
        <v>2641</v>
      </c>
      <c r="C32" s="459"/>
      <c r="D32" s="434">
        <v>100</v>
      </c>
      <c r="E32" s="459"/>
      <c r="F32" s="460">
        <f>SUMIF(95:95,E32,96:96)-SUMIF(95:95,C32,96:96)+100</f>
        <v>100</v>
      </c>
      <c r="G32" s="459"/>
      <c r="H32" s="434">
        <f>SUMIF(95:95,G32,96:96)-SUMIF(95:95,C32,96:96)+100</f>
        <v>100</v>
      </c>
      <c r="I32" s="459"/>
      <c r="J32" s="434">
        <f>SUMIF(95:95,I32,96:96)-SUMIF(95:95,C32,96:96)+100</f>
        <v>100</v>
      </c>
      <c r="K32" s="611"/>
      <c r="L32" s="1135"/>
      <c r="M32" s="1126"/>
      <c r="N32" s="1126"/>
      <c r="O32" s="1134"/>
      <c r="P32" s="3221"/>
      <c r="Q32" s="1803" t="str">
        <f t="shared" si="11"/>
        <v>公共部分装修</v>
      </c>
      <c r="R32" s="772" t="s">
        <v>17</v>
      </c>
      <c r="S32" s="773">
        <f t="shared" si="12"/>
        <v>100</v>
      </c>
      <c r="T32" s="772" t="s">
        <v>17</v>
      </c>
      <c r="U32" s="773">
        <f t="shared" si="13"/>
        <v>100</v>
      </c>
      <c r="V32" s="772" t="s">
        <v>17</v>
      </c>
      <c r="W32" s="773">
        <f t="shared" si="14"/>
        <v>100</v>
      </c>
      <c r="X32" s="1806"/>
      <c r="Y32" s="3221"/>
      <c r="Z32" s="1807" t="str">
        <f t="shared" si="15"/>
        <v>公共部分装修</v>
      </c>
      <c r="AA32" s="1804">
        <f t="shared" si="3"/>
        <v>1</v>
      </c>
      <c r="AB32" s="1804">
        <f t="shared" si="4"/>
        <v>1</v>
      </c>
      <c r="AC32" s="1804">
        <f t="shared" si="5"/>
        <v>1</v>
      </c>
    </row>
    <row r="33" spans="1:29" ht="15">
      <c r="A33" s="471"/>
      <c r="B33" s="421" t="s">
        <v>2642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5"/>
      <c r="M33" s="1126"/>
      <c r="N33" s="1126"/>
      <c r="O33" s="1134"/>
      <c r="P33" s="3221"/>
      <c r="Q33" s="1803" t="str">
        <f t="shared" si="11"/>
        <v>成新度</v>
      </c>
      <c r="R33" s="772" t="s">
        <v>17</v>
      </c>
      <c r="S33" s="773" t="e">
        <f t="shared" si="12"/>
        <v>#N/A</v>
      </c>
      <c r="T33" s="772" t="s">
        <v>17</v>
      </c>
      <c r="U33" s="773" t="e">
        <f t="shared" si="13"/>
        <v>#N/A</v>
      </c>
      <c r="V33" s="772" t="s">
        <v>17</v>
      </c>
      <c r="W33" s="773" t="e">
        <f t="shared" si="14"/>
        <v>#N/A</v>
      </c>
      <c r="X33" s="1806"/>
      <c r="Y33" s="3221"/>
      <c r="Z33" s="1807" t="str">
        <f t="shared" si="15"/>
        <v>成新度</v>
      </c>
      <c r="AA33" s="1804" t="e">
        <f t="shared" si="3"/>
        <v>#N/A</v>
      </c>
      <c r="AB33" s="1804" t="e">
        <f t="shared" si="4"/>
        <v>#N/A</v>
      </c>
      <c r="AC33" s="1804" t="e">
        <f t="shared" si="5"/>
        <v>#N/A</v>
      </c>
    </row>
    <row r="34" spans="1:29" s="117" customFormat="1" ht="15">
      <c r="A34" s="472"/>
      <c r="B34" s="421" t="s">
        <v>2675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7"/>
      <c r="M34" s="1128"/>
      <c r="N34" s="1128"/>
      <c r="O34" s="1129"/>
      <c r="P34" s="3221"/>
      <c r="Q34" s="1788" t="str">
        <f t="shared" si="11"/>
        <v>物业管理</v>
      </c>
      <c r="R34" s="768" t="s">
        <v>17</v>
      </c>
      <c r="S34" s="769">
        <f t="shared" si="12"/>
        <v>100</v>
      </c>
      <c r="T34" s="768" t="s">
        <v>17</v>
      </c>
      <c r="U34" s="769">
        <f t="shared" si="13"/>
        <v>100</v>
      </c>
      <c r="V34" s="768" t="s">
        <v>17</v>
      </c>
      <c r="W34" s="769">
        <f t="shared" si="14"/>
        <v>100</v>
      </c>
      <c r="X34" s="770"/>
      <c r="Y34" s="3221"/>
      <c r="Z34" s="55" t="str">
        <f t="shared" si="15"/>
        <v>物业管理</v>
      </c>
      <c r="AA34" s="771">
        <f t="shared" si="3"/>
        <v>1</v>
      </c>
      <c r="AB34" s="771">
        <f t="shared" si="4"/>
        <v>1</v>
      </c>
      <c r="AC34" s="771">
        <f t="shared" si="5"/>
        <v>1</v>
      </c>
    </row>
    <row r="35" spans="1:29" ht="15">
      <c r="A35" s="471"/>
      <c r="B35" s="421" t="s">
        <v>2643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5"/>
      <c r="M35" s="1126"/>
      <c r="N35" s="1126"/>
      <c r="O35" s="1134"/>
      <c r="P35" s="3221" t="s">
        <v>2545</v>
      </c>
      <c r="Q35" s="1803" t="str">
        <f t="shared" si="11"/>
        <v>市政基础设施</v>
      </c>
      <c r="R35" s="772" t="s">
        <v>17</v>
      </c>
      <c r="S35" s="773">
        <f t="shared" si="12"/>
        <v>100</v>
      </c>
      <c r="T35" s="772" t="s">
        <v>17</v>
      </c>
      <c r="U35" s="773">
        <f t="shared" si="13"/>
        <v>100</v>
      </c>
      <c r="V35" s="772" t="s">
        <v>17</v>
      </c>
      <c r="W35" s="773">
        <f t="shared" si="14"/>
        <v>100</v>
      </c>
      <c r="X35" s="1806"/>
      <c r="Y35" s="3221" t="s">
        <v>2545</v>
      </c>
      <c r="Z35" s="1807" t="str">
        <f t="shared" si="15"/>
        <v>市政基础设施</v>
      </c>
      <c r="AA35" s="1804">
        <f t="shared" si="3"/>
        <v>1</v>
      </c>
      <c r="AB35" s="1804">
        <f t="shared" si="4"/>
        <v>1</v>
      </c>
      <c r="AC35" s="1804">
        <f t="shared" si="5"/>
        <v>1</v>
      </c>
    </row>
    <row r="36" spans="1:29" ht="15">
      <c r="A36" s="471"/>
      <c r="B36" s="421" t="s">
        <v>2648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5"/>
      <c r="M36" s="1126"/>
      <c r="N36" s="1126"/>
      <c r="O36" s="1134"/>
      <c r="P36" s="3221"/>
      <c r="Q36" s="1803" t="str">
        <f t="shared" si="11"/>
        <v>内部装修</v>
      </c>
      <c r="R36" s="772" t="s">
        <v>17</v>
      </c>
      <c r="S36" s="773">
        <f t="shared" si="12"/>
        <v>100</v>
      </c>
      <c r="T36" s="772" t="s">
        <v>17</v>
      </c>
      <c r="U36" s="773">
        <f t="shared" si="13"/>
        <v>100</v>
      </c>
      <c r="V36" s="772" t="s">
        <v>17</v>
      </c>
      <c r="W36" s="773">
        <f t="shared" si="14"/>
        <v>100</v>
      </c>
      <c r="X36" s="1806"/>
      <c r="Y36" s="3221"/>
      <c r="Z36" s="1807" t="str">
        <f t="shared" si="15"/>
        <v>内部装修</v>
      </c>
      <c r="AA36" s="1804">
        <f t="shared" si="3"/>
        <v>1</v>
      </c>
      <c r="AB36" s="1804">
        <f t="shared" si="4"/>
        <v>1</v>
      </c>
      <c r="AC36" s="1804">
        <f t="shared" si="5"/>
        <v>1</v>
      </c>
    </row>
    <row r="37" spans="1:29" ht="15">
      <c r="A37" s="471"/>
      <c r="B37" s="421" t="s">
        <v>2684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5"/>
      <c r="M37" s="1126"/>
      <c r="N37" s="1126"/>
      <c r="O37" s="1134"/>
      <c r="P37" s="3221"/>
      <c r="Q37" s="1803" t="str">
        <f t="shared" si="11"/>
        <v>内部装修状况</v>
      </c>
      <c r="R37" s="772" t="s">
        <v>17</v>
      </c>
      <c r="S37" s="773">
        <f t="shared" si="12"/>
        <v>100</v>
      </c>
      <c r="T37" s="772" t="s">
        <v>17</v>
      </c>
      <c r="U37" s="773">
        <f t="shared" si="13"/>
        <v>100</v>
      </c>
      <c r="V37" s="772" t="s">
        <v>17</v>
      </c>
      <c r="W37" s="773">
        <f t="shared" si="14"/>
        <v>100</v>
      </c>
      <c r="X37" s="1806"/>
      <c r="Y37" s="3221"/>
      <c r="Z37" s="1807" t="str">
        <f t="shared" si="15"/>
        <v>内部装修状况</v>
      </c>
      <c r="AA37" s="1804">
        <f t="shared" si="3"/>
        <v>1</v>
      </c>
      <c r="AB37" s="1804">
        <f t="shared" si="4"/>
        <v>1</v>
      </c>
      <c r="AC37" s="1804">
        <f t="shared" si="5"/>
        <v>1</v>
      </c>
    </row>
    <row r="38" spans="1:29" s="470" customFormat="1" ht="15">
      <c r="A38" s="467"/>
      <c r="B38" s="1381">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3"/>
      <c r="M38" s="1136"/>
      <c r="N38" s="1136"/>
      <c r="O38" s="1137"/>
      <c r="P38" s="3221"/>
      <c r="Q38" s="774">
        <f t="shared" si="11"/>
        <v>111</v>
      </c>
      <c r="R38" s="775" t="s">
        <v>17</v>
      </c>
      <c r="S38" s="776">
        <f t="shared" si="12"/>
        <v>100</v>
      </c>
      <c r="T38" s="775" t="s">
        <v>17</v>
      </c>
      <c r="U38" s="776">
        <f t="shared" si="13"/>
        <v>100</v>
      </c>
      <c r="V38" s="775" t="s">
        <v>17</v>
      </c>
      <c r="W38" s="776">
        <f t="shared" si="14"/>
        <v>100</v>
      </c>
      <c r="X38" s="777"/>
      <c r="Y38" s="3221"/>
      <c r="Z38" s="778">
        <f t="shared" si="15"/>
        <v>111</v>
      </c>
      <c r="AA38" s="1804">
        <f t="shared" si="3"/>
        <v>1</v>
      </c>
      <c r="AB38" s="1804">
        <f t="shared" si="4"/>
        <v>1</v>
      </c>
      <c r="AC38" s="1804">
        <f t="shared" si="5"/>
        <v>1</v>
      </c>
    </row>
    <row r="39" spans="1:29" ht="15">
      <c r="A39" s="471"/>
      <c r="B39" s="1381">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5"/>
      <c r="M39" s="1126"/>
      <c r="N39" s="1126"/>
      <c r="O39" s="1134"/>
      <c r="P39" s="3221"/>
      <c r="Q39" s="1803">
        <f t="shared" si="11"/>
        <v>111</v>
      </c>
      <c r="R39" s="772" t="s">
        <v>17</v>
      </c>
      <c r="S39" s="773">
        <f t="shared" si="12"/>
        <v>100</v>
      </c>
      <c r="T39" s="772" t="s">
        <v>17</v>
      </c>
      <c r="U39" s="773">
        <f t="shared" si="13"/>
        <v>100</v>
      </c>
      <c r="V39" s="772" t="s">
        <v>17</v>
      </c>
      <c r="W39" s="773">
        <f t="shared" si="14"/>
        <v>100</v>
      </c>
      <c r="X39" s="1806"/>
      <c r="Y39" s="3221"/>
      <c r="Z39" s="1807">
        <f t="shared" si="15"/>
        <v>111</v>
      </c>
      <c r="AA39" s="1804">
        <f t="shared" si="3"/>
        <v>1</v>
      </c>
      <c r="AB39" s="1804">
        <f t="shared" si="4"/>
        <v>1</v>
      </c>
      <c r="AC39" s="1804">
        <f t="shared" si="5"/>
        <v>1</v>
      </c>
    </row>
    <row r="40" spans="1:29" ht="15.75" thickBot="1">
      <c r="A40" s="477"/>
      <c r="B40" s="258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5"/>
      <c r="M40" s="1126"/>
      <c r="N40" s="1126"/>
      <c r="O40" s="1134"/>
      <c r="P40" s="3280"/>
      <c r="Q40" s="1803">
        <f t="shared" si="11"/>
        <v>111</v>
      </c>
      <c r="R40" s="772" t="s">
        <v>17</v>
      </c>
      <c r="S40" s="773">
        <f t="shared" si="12"/>
        <v>100</v>
      </c>
      <c r="T40" s="772" t="s">
        <v>17</v>
      </c>
      <c r="U40" s="773">
        <f t="shared" si="13"/>
        <v>100</v>
      </c>
      <c r="V40" s="772" t="s">
        <v>17</v>
      </c>
      <c r="W40" s="773">
        <f t="shared" si="14"/>
        <v>100</v>
      </c>
      <c r="X40" s="1806"/>
      <c r="Y40" s="3280"/>
      <c r="Z40" s="1807">
        <f t="shared" si="15"/>
        <v>111</v>
      </c>
      <c r="AA40" s="1804">
        <f t="shared" si="3"/>
        <v>1</v>
      </c>
      <c r="AB40" s="1804">
        <f t="shared" si="4"/>
        <v>1</v>
      </c>
      <c r="AC40" s="1804">
        <f t="shared" si="5"/>
        <v>1</v>
      </c>
    </row>
    <row r="41" spans="1:29" ht="15">
      <c r="A41" s="478" t="s">
        <v>2557</v>
      </c>
      <c r="B41" s="479"/>
      <c r="C41" s="1402" t="s">
        <v>1</v>
      </c>
      <c r="D41" s="1403"/>
      <c r="E41" s="1404"/>
      <c r="F41" s="1405"/>
      <c r="G41" s="1406"/>
      <c r="H41" s="1407"/>
      <c r="I41" s="1404"/>
      <c r="J41" s="1407"/>
      <c r="K41" s="781"/>
      <c r="L41" s="1138"/>
      <c r="M41" s="1139"/>
      <c r="N41" s="1126"/>
      <c r="O41" s="1139"/>
      <c r="P41" s="3201" t="str">
        <f>A41</f>
        <v>成交单价（元/平方米）</v>
      </c>
      <c r="Q41" s="3201"/>
      <c r="R41" s="3276">
        <f>E41</f>
        <v>0</v>
      </c>
      <c r="S41" s="3276"/>
      <c r="T41" s="3276">
        <f>G41</f>
        <v>0</v>
      </c>
      <c r="U41" s="3276"/>
      <c r="V41" s="3276">
        <f>I41</f>
        <v>0</v>
      </c>
      <c r="W41" s="3276"/>
      <c r="X41" s="757"/>
      <c r="Y41" s="779"/>
      <c r="Z41" s="757"/>
      <c r="AA41" s="757"/>
      <c r="AB41" s="757"/>
      <c r="AC41" s="757"/>
    </row>
    <row r="42" spans="1:29" ht="15.75" thickBot="1">
      <c r="A42" s="485" t="s">
        <v>2649</v>
      </c>
      <c r="B42" s="486"/>
      <c r="C42" s="1408" t="e">
        <f>R43</f>
        <v>#DIV/0!</v>
      </c>
      <c r="D42" s="1409"/>
      <c r="E42" s="1410" t="e">
        <f>R42</f>
        <v>#DIV/0!</v>
      </c>
      <c r="F42" s="1410"/>
      <c r="G42" s="1408" t="e">
        <f>T42</f>
        <v>#DIV/0!</v>
      </c>
      <c r="H42" s="1409"/>
      <c r="I42" s="1410" t="e">
        <f>V42</f>
        <v>#DIV/0!</v>
      </c>
      <c r="J42" s="1409"/>
      <c r="K42" s="782"/>
      <c r="L42" s="1138"/>
      <c r="M42" s="1139"/>
      <c r="N42" s="1126"/>
      <c r="O42" s="1139"/>
      <c r="P42" s="3201" t="str">
        <f>A42</f>
        <v>比较价值（元/平方米）</v>
      </c>
      <c r="Q42" s="3201"/>
      <c r="R42" s="3276" t="e">
        <f>IF(F1="售价",ROUND(PRODUCT(R41,AA7:AA40),0),ROUND(PRODUCT(R41,AA7:AA40),1))</f>
        <v>#DIV/0!</v>
      </c>
      <c r="S42" s="3276"/>
      <c r="T42" s="3276" t="e">
        <f>IF(F1="售价",ROUND(PRODUCT(T41,AB7:AB40),0),ROUND(PRODUCT(T41,AB7:AB40),1))</f>
        <v>#DIV/0!</v>
      </c>
      <c r="U42" s="3276"/>
      <c r="V42" s="3276" t="e">
        <f>IF(F1="售价",ROUND(PRODUCT(V41,AC7:AC40),0),ROUND(PRODUCT(V41,AC7:AC40),1))</f>
        <v>#DIV/0!</v>
      </c>
      <c r="W42" s="3276"/>
      <c r="X42" s="757"/>
      <c r="Y42" s="757"/>
      <c r="Z42" s="757"/>
      <c r="AA42" s="757"/>
      <c r="AB42" s="757"/>
      <c r="AC42" s="757"/>
    </row>
    <row r="43" spans="1:29" ht="15.75" thickBot="1">
      <c r="A43" s="491" t="s">
        <v>2650</v>
      </c>
      <c r="B43" s="492"/>
      <c r="C43" s="1412" t="e">
        <f>R43</f>
        <v>#DIV/0!</v>
      </c>
      <c r="D43" s="1412"/>
      <c r="E43" s="1412"/>
      <c r="F43" s="1412"/>
      <c r="G43" s="1412"/>
      <c r="H43" s="1412"/>
      <c r="I43" s="1412"/>
      <c r="J43" s="1412"/>
      <c r="K43" s="783"/>
      <c r="L43" s="1138"/>
      <c r="M43" s="1139"/>
      <c r="N43" s="1139"/>
      <c r="O43" s="1139"/>
      <c r="P43" s="3237" t="str">
        <f>A43</f>
        <v>估价对象XX用房的比较价值（楼面单价，元/平方米）</v>
      </c>
      <c r="Q43" s="3238"/>
      <c r="R43" s="3275" t="e">
        <f>IF(F1="售价",ROUND(AVERAGE(R42:V42),0),ROUND(AVERAGE(R42:V42),1))</f>
        <v>#DIV/0!</v>
      </c>
      <c r="S43" s="3275"/>
      <c r="T43" s="3275"/>
      <c r="U43" s="3275"/>
      <c r="V43" s="3275"/>
      <c r="W43" s="3275"/>
      <c r="X43" s="757"/>
      <c r="Y43" s="757"/>
      <c r="Z43" s="757"/>
      <c r="AA43" s="757"/>
      <c r="AB43" s="757"/>
      <c r="AC43" s="757"/>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6" t="s">
        <v>2651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39"/>
      <c r="N46" s="1139"/>
      <c r="O46" s="1139"/>
    </row>
    <row r="47" spans="1:29" ht="13.5" customHeight="1">
      <c r="A47" s="1139"/>
      <c r="B47" s="1139"/>
      <c r="C47" s="496" t="s">
        <v>2652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2653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1" t="s">
        <v>2654</v>
      </c>
      <c r="B51" s="757"/>
      <c r="C51" s="762"/>
      <c r="D51" s="762"/>
      <c r="E51" s="762"/>
      <c r="F51" s="763"/>
      <c r="G51" s="763"/>
      <c r="H51" s="762"/>
      <c r="I51" s="762"/>
      <c r="J51" s="762"/>
      <c r="K51" s="1155"/>
      <c r="L51" s="1156"/>
      <c r="M51" s="1154"/>
      <c r="N51" s="1154"/>
      <c r="O51" s="1154"/>
      <c r="P51" s="502"/>
      <c r="Q51" s="503"/>
    </row>
    <row r="52" spans="1:17" s="507" customFormat="1" ht="15">
      <c r="A52" s="504" t="s">
        <v>2528</v>
      </c>
      <c r="B52" s="505"/>
      <c r="C52" s="1567" t="str">
        <f>YEAR(C7)&amp;"-"&amp;MONTH(C7)</f>
        <v>2018-4</v>
      </c>
      <c r="D52" s="1568">
        <f>EDATE(C52,-1)</f>
        <v>43160</v>
      </c>
      <c r="E52" s="1568">
        <f t="shared" ref="E52:O52" si="16">EDATE(D52,-1)</f>
        <v>43132</v>
      </c>
      <c r="F52" s="1568">
        <f t="shared" si="16"/>
        <v>43101</v>
      </c>
      <c r="G52" s="1568">
        <f t="shared" si="16"/>
        <v>43070</v>
      </c>
      <c r="H52" s="1568">
        <f t="shared" si="16"/>
        <v>43040</v>
      </c>
      <c r="I52" s="1568">
        <f t="shared" si="16"/>
        <v>43009</v>
      </c>
      <c r="J52" s="1568">
        <f t="shared" si="16"/>
        <v>42979</v>
      </c>
      <c r="K52" s="1568">
        <f t="shared" si="16"/>
        <v>42948</v>
      </c>
      <c r="L52" s="1568">
        <f t="shared" si="16"/>
        <v>42917</v>
      </c>
      <c r="M52" s="1568">
        <f t="shared" si="16"/>
        <v>42887</v>
      </c>
      <c r="N52" s="1568">
        <f t="shared" si="16"/>
        <v>42856</v>
      </c>
      <c r="O52" s="1568">
        <f t="shared" si="16"/>
        <v>42826</v>
      </c>
      <c r="P52" s="506"/>
    </row>
    <row r="53" spans="1:17" s="117" customFormat="1" ht="15">
      <c r="A53" s="508"/>
      <c r="B53" s="509"/>
      <c r="C53" s="1566">
        <v>100</v>
      </c>
      <c r="D53" s="511"/>
      <c r="E53" s="511"/>
      <c r="F53" s="511"/>
      <c r="G53" s="511"/>
      <c r="H53" s="511"/>
      <c r="I53" s="511"/>
      <c r="J53" s="511"/>
      <c r="K53" s="511"/>
      <c r="L53" s="511"/>
      <c r="M53" s="512"/>
      <c r="N53" s="511"/>
      <c r="O53" s="513"/>
      <c r="P53" s="503"/>
    </row>
    <row r="54" spans="1:17" s="117" customFormat="1" ht="15.75" thickBot="1">
      <c r="A54" s="514" t="s">
        <v>2565</v>
      </c>
      <c r="B54" s="515"/>
      <c r="C54" s="516"/>
      <c r="D54" s="517"/>
      <c r="E54" s="517"/>
      <c r="F54" s="517"/>
      <c r="G54" s="517"/>
      <c r="H54" s="517"/>
      <c r="I54" s="517"/>
      <c r="J54" s="517"/>
      <c r="K54" s="517"/>
      <c r="L54" s="517"/>
      <c r="M54" s="518"/>
      <c r="N54" s="517"/>
      <c r="O54" s="519"/>
      <c r="P54" s="503"/>
      <c r="Q54" s="503"/>
    </row>
    <row r="55" spans="1:17" s="117" customFormat="1" ht="15">
      <c r="A55" s="520" t="s">
        <v>2530</v>
      </c>
      <c r="B55" s="509"/>
      <c r="C55" s="521" t="s">
        <v>2632</v>
      </c>
      <c r="D55" s="522"/>
      <c r="E55" s="522"/>
      <c r="F55" s="522"/>
      <c r="G55" s="522"/>
      <c r="H55" s="522"/>
      <c r="I55" s="522"/>
      <c r="J55" s="522"/>
      <c r="K55" s="522"/>
      <c r="L55" s="523"/>
      <c r="M55" s="524"/>
      <c r="N55" s="1146"/>
      <c r="O55" s="1146"/>
      <c r="P55" s="525"/>
      <c r="Q55" s="503"/>
    </row>
    <row r="56" spans="1:17" s="117" customFormat="1" ht="15.75" thickBot="1">
      <c r="A56" s="520"/>
      <c r="B56" s="509"/>
      <c r="C56" s="637">
        <v>100</v>
      </c>
      <c r="D56" s="511"/>
      <c r="E56" s="511"/>
      <c r="F56" s="511"/>
      <c r="G56" s="511"/>
      <c r="H56" s="511"/>
      <c r="I56" s="511"/>
      <c r="J56" s="511"/>
      <c r="K56" s="511"/>
      <c r="L56" s="511"/>
      <c r="M56" s="513"/>
      <c r="N56" s="1146"/>
      <c r="O56" s="1146"/>
      <c r="P56" s="503"/>
      <c r="Q56" s="503"/>
    </row>
    <row r="57" spans="1:17">
      <c r="A57" s="526" t="s">
        <v>2568</v>
      </c>
      <c r="B57" s="527" t="s">
        <v>2534</v>
      </c>
      <c r="C57" s="528">
        <f>C9</f>
        <v>0</v>
      </c>
      <c r="D57" s="529"/>
      <c r="E57" s="529"/>
      <c r="F57" s="529"/>
      <c r="G57" s="529"/>
      <c r="H57" s="529"/>
      <c r="I57" s="529"/>
      <c r="J57" s="529"/>
      <c r="K57" s="530"/>
      <c r="L57" s="531"/>
      <c r="M57" s="532"/>
      <c r="N57" s="1147"/>
      <c r="O57" s="1147"/>
      <c r="P57" s="45"/>
      <c r="Q57" s="503"/>
    </row>
    <row r="58" spans="1:17" ht="15.75" thickBot="1">
      <c r="A58" s="533"/>
      <c r="B58" s="534"/>
      <c r="C58" s="535">
        <v>100</v>
      </c>
      <c r="D58" s="535"/>
      <c r="E58" s="535"/>
      <c r="F58" s="535"/>
      <c r="G58" s="535"/>
      <c r="H58" s="535"/>
      <c r="I58" s="535"/>
      <c r="J58" s="535"/>
      <c r="K58" s="535"/>
      <c r="L58" s="535"/>
      <c r="M58" s="536"/>
      <c r="N58" s="1148"/>
      <c r="O58" s="1148"/>
      <c r="P58" s="45"/>
      <c r="Q58" s="503"/>
    </row>
    <row r="59" spans="1:17" ht="27.75" thickTop="1">
      <c r="A59" s="533"/>
      <c r="B59" s="537" t="s">
        <v>2537</v>
      </c>
      <c r="C59" s="538" t="s">
        <v>2569</v>
      </c>
      <c r="D59" s="538" t="s">
        <v>2570</v>
      </c>
      <c r="E59" s="538" t="s">
        <v>2571</v>
      </c>
      <c r="F59" s="538" t="s">
        <v>2572</v>
      </c>
      <c r="G59" s="538" t="s">
        <v>2573</v>
      </c>
      <c r="H59" s="538" t="s">
        <v>2574</v>
      </c>
      <c r="I59" s="538" t="s">
        <v>2575</v>
      </c>
      <c r="J59" s="538"/>
      <c r="K59" s="539"/>
      <c r="L59" s="540"/>
      <c r="M59" s="541"/>
      <c r="N59" s="1147"/>
      <c r="O59" s="1147"/>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8"/>
      <c r="O60" s="1148"/>
      <c r="P60" s="45"/>
      <c r="Q60" s="503"/>
    </row>
    <row r="61" spans="1:17" ht="15.75" thickTop="1">
      <c r="A61" s="533"/>
      <c r="B61" s="545" t="s">
        <v>2538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8"/>
      <c r="O61" s="1148"/>
      <c r="P61" s="45"/>
      <c r="Q61" s="503"/>
    </row>
    <row r="62" spans="1:17" ht="15">
      <c r="A62" s="533"/>
      <c r="B62" s="547"/>
      <c r="C62" s="548"/>
      <c r="D62" s="548"/>
      <c r="E62" s="548"/>
      <c r="F62" s="548"/>
      <c r="G62" s="548"/>
      <c r="H62" s="548"/>
      <c r="I62" s="548"/>
      <c r="J62" s="548"/>
      <c r="K62" s="549"/>
      <c r="L62" s="550"/>
      <c r="M62" s="551"/>
      <c r="N62" s="1147"/>
      <c r="O62" s="1147"/>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8"/>
      <c r="O63" s="1148"/>
      <c r="P63" s="45"/>
      <c r="Q63" s="503"/>
    </row>
    <row r="64" spans="1:17" s="470" customFormat="1" ht="15.75" thickTop="1">
      <c r="A64" s="552"/>
      <c r="B64" s="537">
        <f>B12</f>
        <v>111</v>
      </c>
      <c r="C64" s="553"/>
      <c r="D64" s="553"/>
      <c r="E64" s="553"/>
      <c r="F64" s="553"/>
      <c r="G64" s="553"/>
      <c r="H64" s="554"/>
      <c r="I64" s="554"/>
      <c r="J64" s="554"/>
      <c r="K64" s="554"/>
      <c r="L64" s="555"/>
      <c r="M64" s="556"/>
      <c r="N64" s="1149"/>
      <c r="O64" s="1149"/>
      <c r="P64" s="557"/>
      <c r="Q64" s="558"/>
    </row>
    <row r="65" spans="1:17" s="470" customFormat="1" ht="15.75" thickBot="1">
      <c r="A65" s="552"/>
      <c r="B65" s="542"/>
      <c r="C65" s="559"/>
      <c r="D65" s="535"/>
      <c r="E65" s="535"/>
      <c r="F65" s="535"/>
      <c r="G65" s="535"/>
      <c r="H65" s="535"/>
      <c r="I65" s="535"/>
      <c r="J65" s="535"/>
      <c r="K65" s="535"/>
      <c r="L65" s="535"/>
      <c r="M65" s="536"/>
      <c r="N65" s="1148"/>
      <c r="O65" s="1148"/>
      <c r="P65" s="557"/>
      <c r="Q65" s="558"/>
    </row>
    <row r="66" spans="1:17" s="470" customFormat="1" ht="15.75" thickTop="1">
      <c r="A66" s="552"/>
      <c r="B66" s="537">
        <f>B13</f>
        <v>111</v>
      </c>
      <c r="C66" s="553"/>
      <c r="D66" s="553"/>
      <c r="E66" s="553"/>
      <c r="F66" s="553"/>
      <c r="G66" s="553"/>
      <c r="H66" s="554"/>
      <c r="I66" s="554"/>
      <c r="J66" s="554"/>
      <c r="K66" s="554"/>
      <c r="L66" s="555"/>
      <c r="M66" s="556"/>
      <c r="N66" s="1149"/>
      <c r="O66" s="1149"/>
      <c r="P66" s="469"/>
      <c r="Q66" s="560"/>
    </row>
    <row r="67" spans="1:17" s="470" customFormat="1" ht="15.75" thickBot="1">
      <c r="A67" s="552"/>
      <c r="B67" s="542"/>
      <c r="C67" s="559"/>
      <c r="D67" s="535"/>
      <c r="E67" s="535"/>
      <c r="F67" s="535"/>
      <c r="G67" s="559"/>
      <c r="H67" s="561"/>
      <c r="I67" s="561"/>
      <c r="J67" s="561"/>
      <c r="K67" s="561"/>
      <c r="L67" s="561"/>
      <c r="M67" s="562"/>
      <c r="N67" s="1149"/>
      <c r="O67" s="1149"/>
      <c r="P67" s="557"/>
      <c r="Q67" s="558"/>
    </row>
    <row r="68" spans="1:17" s="470" customFormat="1" ht="15.75" thickTop="1">
      <c r="A68" s="552"/>
      <c r="B68" s="545">
        <f>B14</f>
        <v>111</v>
      </c>
      <c r="C68" s="522"/>
      <c r="D68" s="522"/>
      <c r="E68" s="522"/>
      <c r="F68" s="522"/>
      <c r="G68" s="522"/>
      <c r="H68" s="563"/>
      <c r="I68" s="563"/>
      <c r="J68" s="563"/>
      <c r="K68" s="563"/>
      <c r="L68" s="564"/>
      <c r="M68" s="565"/>
      <c r="N68" s="1149"/>
      <c r="O68" s="1149"/>
      <c r="P68" s="566"/>
      <c r="Q68" s="558"/>
    </row>
    <row r="69" spans="1:17" s="470" customFormat="1" ht="15.75" thickBot="1">
      <c r="A69" s="567"/>
      <c r="B69" s="568"/>
      <c r="C69" s="569"/>
      <c r="D69" s="569"/>
      <c r="E69" s="569"/>
      <c r="F69" s="569"/>
      <c r="G69" s="569"/>
      <c r="H69" s="570"/>
      <c r="I69" s="570"/>
      <c r="J69" s="570"/>
      <c r="K69" s="570"/>
      <c r="L69" s="570"/>
      <c r="M69" s="571"/>
      <c r="N69" s="1149"/>
      <c r="O69" s="1149"/>
      <c r="P69" s="557"/>
      <c r="Q69" s="558"/>
    </row>
    <row r="70" spans="1:17">
      <c r="A70" s="526" t="s">
        <v>2539</v>
      </c>
      <c r="B70" s="527" t="s">
        <v>2685</v>
      </c>
      <c r="C70" s="572" t="s">
        <v>2577</v>
      </c>
      <c r="D70" s="572" t="s">
        <v>2578</v>
      </c>
      <c r="E70" s="572" t="s">
        <v>2579</v>
      </c>
      <c r="F70" s="572" t="s">
        <v>2580</v>
      </c>
      <c r="G70" s="572" t="s">
        <v>2581</v>
      </c>
      <c r="H70" s="528"/>
      <c r="I70" s="528"/>
      <c r="J70" s="528"/>
      <c r="K70" s="573"/>
      <c r="L70" s="574"/>
      <c r="M70" s="575"/>
      <c r="N70" s="1147"/>
      <c r="O70" s="1147"/>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8"/>
      <c r="O71" s="1148"/>
      <c r="P71" s="45"/>
      <c r="Q71" s="503"/>
    </row>
    <row r="72" spans="1:17" ht="15.75" thickTop="1">
      <c r="A72" s="533"/>
      <c r="B72" s="537" t="s">
        <v>2582</v>
      </c>
      <c r="C72" s="577" t="s">
        <v>2577</v>
      </c>
      <c r="D72" s="577" t="s">
        <v>2578</v>
      </c>
      <c r="E72" s="577" t="s">
        <v>2579</v>
      </c>
      <c r="F72" s="577" t="s">
        <v>2580</v>
      </c>
      <c r="G72" s="577" t="s">
        <v>2581</v>
      </c>
      <c r="H72" s="538"/>
      <c r="I72" s="538"/>
      <c r="J72" s="538"/>
      <c r="K72" s="539"/>
      <c r="L72" s="540"/>
      <c r="M72" s="541"/>
      <c r="N72" s="1147"/>
      <c r="O72" s="1147"/>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8"/>
      <c r="O73" s="1148"/>
      <c r="P73" s="45"/>
      <c r="Q73" s="503"/>
    </row>
    <row r="74" spans="1:17" ht="15.75" thickTop="1">
      <c r="A74" s="533"/>
      <c r="B74" s="537" t="s">
        <v>2583</v>
      </c>
      <c r="C74" s="577" t="s">
        <v>2577</v>
      </c>
      <c r="D74" s="577" t="s">
        <v>2578</v>
      </c>
      <c r="E74" s="577" t="s">
        <v>2579</v>
      </c>
      <c r="F74" s="577" t="s">
        <v>2580</v>
      </c>
      <c r="G74" s="577" t="s">
        <v>2581</v>
      </c>
      <c r="H74" s="538"/>
      <c r="I74" s="538"/>
      <c r="J74" s="538"/>
      <c r="K74" s="539"/>
      <c r="L74" s="540"/>
      <c r="M74" s="541"/>
      <c r="N74" s="1147"/>
      <c r="O74" s="1147"/>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8"/>
      <c r="O75" s="1148"/>
      <c r="P75" s="45"/>
      <c r="Q75" s="503"/>
    </row>
    <row r="76" spans="1:17" ht="15.75" thickTop="1">
      <c r="A76" s="533"/>
      <c r="B76" s="545" t="s">
        <v>2669</v>
      </c>
      <c r="C76" s="658" t="s">
        <v>2655</v>
      </c>
      <c r="D76" s="658" t="s">
        <v>2656</v>
      </c>
      <c r="E76" s="658" t="s">
        <v>2657</v>
      </c>
      <c r="F76" s="658" t="s">
        <v>2658</v>
      </c>
      <c r="G76" s="658" t="s">
        <v>2659</v>
      </c>
      <c r="H76" s="538"/>
      <c r="I76" s="538"/>
      <c r="J76" s="538"/>
      <c r="K76" s="538"/>
      <c r="L76" s="538"/>
      <c r="M76" s="1377"/>
      <c r="N76" s="1148"/>
      <c r="O76" s="1148"/>
      <c r="P76" s="45"/>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48"/>
      <c r="O77" s="1148"/>
      <c r="P77" s="45"/>
      <c r="Q77" s="503"/>
    </row>
    <row r="78" spans="1:17" ht="15.75" thickTop="1">
      <c r="A78" s="533"/>
      <c r="B78" s="537" t="s">
        <v>2678</v>
      </c>
      <c r="C78" s="577" t="s">
        <v>2577</v>
      </c>
      <c r="D78" s="577" t="s">
        <v>2578</v>
      </c>
      <c r="E78" s="577" t="s">
        <v>2579</v>
      </c>
      <c r="F78" s="577" t="s">
        <v>2580</v>
      </c>
      <c r="G78" s="577" t="s">
        <v>2581</v>
      </c>
      <c r="H78" s="538"/>
      <c r="I78" s="538"/>
      <c r="J78" s="538"/>
      <c r="K78" s="539"/>
      <c r="L78" s="540"/>
      <c r="M78" s="541"/>
      <c r="N78" s="1147"/>
      <c r="O78" s="1147"/>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8"/>
      <c r="O79" s="1148"/>
      <c r="P79" s="45"/>
      <c r="Q79" s="503"/>
    </row>
    <row r="80" spans="1:17" s="117" customFormat="1" ht="15.75" thickTop="1">
      <c r="A80" s="578"/>
      <c r="B80" s="537">
        <f>B25</f>
        <v>111</v>
      </c>
      <c r="C80" s="553"/>
      <c r="D80" s="553"/>
      <c r="E80" s="553"/>
      <c r="F80" s="553"/>
      <c r="G80" s="553"/>
      <c r="H80" s="553"/>
      <c r="I80" s="553"/>
      <c r="J80" s="553"/>
      <c r="K80" s="553"/>
      <c r="L80" s="579"/>
      <c r="M80" s="580"/>
      <c r="N80" s="1146"/>
      <c r="O80" s="1146"/>
      <c r="P80" s="45"/>
      <c r="Q80" s="503"/>
    </row>
    <row r="81" spans="1:17" s="117" customFormat="1" ht="15.75" thickBot="1">
      <c r="A81" s="578"/>
      <c r="B81" s="542"/>
      <c r="C81" s="559"/>
      <c r="D81" s="535"/>
      <c r="E81" s="535"/>
      <c r="F81" s="535"/>
      <c r="G81" s="535"/>
      <c r="H81" s="535"/>
      <c r="I81" s="535"/>
      <c r="J81" s="535"/>
      <c r="K81" s="535"/>
      <c r="L81" s="535"/>
      <c r="M81" s="536"/>
      <c r="N81" s="1148"/>
      <c r="O81" s="1148"/>
      <c r="P81" s="45"/>
      <c r="Q81" s="503"/>
    </row>
    <row r="82" spans="1:17" s="117" customFormat="1" ht="15.75" thickTop="1">
      <c r="A82" s="578"/>
      <c r="B82" s="537">
        <f>B26</f>
        <v>111</v>
      </c>
      <c r="C82" s="553"/>
      <c r="D82" s="553"/>
      <c r="E82" s="553"/>
      <c r="F82" s="553"/>
      <c r="G82" s="553"/>
      <c r="H82" s="553"/>
      <c r="I82" s="553"/>
      <c r="J82" s="553"/>
      <c r="K82" s="553"/>
      <c r="L82" s="579"/>
      <c r="M82" s="580"/>
      <c r="N82" s="1146"/>
      <c r="O82" s="1146"/>
      <c r="P82" s="45"/>
      <c r="Q82" s="503"/>
    </row>
    <row r="83" spans="1:17" s="117" customFormat="1" ht="15.75" thickBot="1">
      <c r="A83" s="578"/>
      <c r="B83" s="542"/>
      <c r="C83" s="559"/>
      <c r="D83" s="535"/>
      <c r="E83" s="535"/>
      <c r="F83" s="535"/>
      <c r="G83" s="535"/>
      <c r="H83" s="535"/>
      <c r="I83" s="535"/>
      <c r="J83" s="535"/>
      <c r="K83" s="535"/>
      <c r="L83" s="535"/>
      <c r="M83" s="536"/>
      <c r="N83" s="1148"/>
      <c r="O83" s="1148"/>
      <c r="P83" s="45"/>
      <c r="Q83" s="503"/>
    </row>
    <row r="84" spans="1:17" s="470" customFormat="1" ht="15.75" thickTop="1">
      <c r="A84" s="552"/>
      <c r="B84" s="537">
        <f>B27</f>
        <v>111</v>
      </c>
      <c r="C84" s="553"/>
      <c r="D84" s="553"/>
      <c r="E84" s="553"/>
      <c r="F84" s="553"/>
      <c r="G84" s="553"/>
      <c r="H84" s="553"/>
      <c r="I84" s="553"/>
      <c r="J84" s="553"/>
      <c r="K84" s="553"/>
      <c r="L84" s="579"/>
      <c r="M84" s="580"/>
      <c r="N84" s="1149"/>
      <c r="O84" s="1149"/>
      <c r="P84" s="557"/>
      <c r="Q84" s="558"/>
    </row>
    <row r="85" spans="1:17" s="470" customFormat="1" ht="15.75" thickBot="1">
      <c r="A85" s="552"/>
      <c r="B85" s="542"/>
      <c r="C85" s="559"/>
      <c r="D85" s="535"/>
      <c r="E85" s="535"/>
      <c r="F85" s="535"/>
      <c r="G85" s="535"/>
      <c r="H85" s="535"/>
      <c r="I85" s="535"/>
      <c r="J85" s="535"/>
      <c r="K85" s="535"/>
      <c r="L85" s="535"/>
      <c r="M85" s="536"/>
      <c r="N85" s="1149"/>
      <c r="O85" s="1149"/>
      <c r="P85" s="557"/>
      <c r="Q85" s="558"/>
    </row>
    <row r="86" spans="1:17" ht="15.75" thickTop="1">
      <c r="A86" s="533"/>
      <c r="B86" s="545">
        <f>B28</f>
        <v>111</v>
      </c>
      <c r="C86" s="522"/>
      <c r="D86" s="522"/>
      <c r="E86" s="522"/>
      <c r="F86" s="522"/>
      <c r="G86" s="586"/>
      <c r="H86" s="586"/>
      <c r="I86" s="586"/>
      <c r="J86" s="586"/>
      <c r="K86" s="587"/>
      <c r="L86" s="588"/>
      <c r="M86" s="589"/>
      <c r="N86" s="1147"/>
      <c r="O86" s="1147"/>
      <c r="P86" s="45"/>
      <c r="Q86" s="503"/>
    </row>
    <row r="87" spans="1:17" ht="15.75" thickBot="1">
      <c r="A87" s="2620"/>
      <c r="B87" s="568"/>
      <c r="C87" s="569"/>
      <c r="D87" s="569"/>
      <c r="E87" s="569"/>
      <c r="F87" s="569"/>
      <c r="G87" s="590"/>
      <c r="H87" s="590"/>
      <c r="I87" s="590"/>
      <c r="J87" s="590"/>
      <c r="K87" s="590"/>
      <c r="L87" s="590"/>
      <c r="M87" s="591"/>
      <c r="N87" s="1148"/>
      <c r="O87" s="1148"/>
      <c r="P87" s="45"/>
      <c r="Q87" s="503"/>
    </row>
    <row r="88" spans="1:17">
      <c r="A88" s="526" t="s">
        <v>2543</v>
      </c>
      <c r="B88" s="527" t="s">
        <v>2592</v>
      </c>
      <c r="C88" s="529"/>
      <c r="D88" s="529"/>
      <c r="E88" s="529"/>
      <c r="F88" s="529"/>
      <c r="G88" s="529"/>
      <c r="H88" s="529"/>
      <c r="I88" s="529"/>
      <c r="J88" s="529"/>
      <c r="K88" s="530"/>
      <c r="L88" s="531"/>
      <c r="M88" s="532"/>
      <c r="N88" s="1147"/>
      <c r="O88" s="1147"/>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8"/>
      <c r="O89" s="1148"/>
      <c r="P89" s="45"/>
      <c r="Q89" s="503"/>
    </row>
    <row r="90" spans="1:17" ht="15.75" thickTop="1">
      <c r="A90" s="533"/>
      <c r="B90" s="537" t="s">
        <v>2593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46"/>
      <c r="O90" s="1146"/>
      <c r="P90" s="45"/>
      <c r="Q90" s="503"/>
    </row>
    <row r="91" spans="1:17" s="470" customFormat="1">
      <c r="A91" s="592"/>
      <c r="B91" s="593"/>
      <c r="C91" s="594"/>
      <c r="D91" s="594"/>
      <c r="E91" s="594"/>
      <c r="F91" s="594"/>
      <c r="G91" s="594"/>
      <c r="H91" s="594"/>
      <c r="I91" s="594"/>
      <c r="J91" s="595"/>
      <c r="K91" s="595"/>
      <c r="L91" s="596"/>
      <c r="M91" s="597"/>
      <c r="N91" s="1149"/>
      <c r="O91" s="1149"/>
      <c r="P91" s="557"/>
      <c r="Q91" s="558"/>
    </row>
    <row r="92" spans="1:17" s="470" customFormat="1" ht="15.75" thickBot="1">
      <c r="A92" s="552"/>
      <c r="B92" s="542"/>
      <c r="C92" s="559"/>
      <c r="D92" s="535"/>
      <c r="E92" s="535"/>
      <c r="F92" s="535"/>
      <c r="G92" s="535"/>
      <c r="H92" s="535"/>
      <c r="I92" s="535"/>
      <c r="J92" s="535"/>
      <c r="K92" s="535"/>
      <c r="L92" s="535"/>
      <c r="M92" s="536"/>
      <c r="N92" s="1148"/>
      <c r="O92" s="1148"/>
      <c r="P92" s="557"/>
      <c r="Q92" s="558"/>
    </row>
    <row r="93" spans="1:17" ht="15" thickTop="1">
      <c r="A93" s="598"/>
      <c r="B93" s="537" t="s">
        <v>2594</v>
      </c>
      <c r="C93" s="553"/>
      <c r="D93" s="553"/>
      <c r="E93" s="582"/>
      <c r="F93" s="582"/>
      <c r="G93" s="582"/>
      <c r="H93" s="582"/>
      <c r="I93" s="582"/>
      <c r="J93" s="582"/>
      <c r="K93" s="583"/>
      <c r="L93" s="584"/>
      <c r="M93" s="585"/>
      <c r="N93" s="1147"/>
      <c r="O93" s="1147"/>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8"/>
      <c r="O94" s="1148"/>
      <c r="P94" s="45"/>
      <c r="Q94" s="503"/>
    </row>
    <row r="95" spans="1:17" ht="15" thickTop="1">
      <c r="A95" s="598"/>
      <c r="B95" s="537" t="s">
        <v>2596</v>
      </c>
      <c r="C95" s="553"/>
      <c r="D95" s="553"/>
      <c r="E95" s="553"/>
      <c r="F95" s="582"/>
      <c r="G95" s="582"/>
      <c r="H95" s="582"/>
      <c r="I95" s="582"/>
      <c r="J95" s="582"/>
      <c r="K95" s="583"/>
      <c r="L95" s="584"/>
      <c r="M95" s="585"/>
      <c r="N95" s="1147"/>
      <c r="O95" s="1147"/>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8"/>
      <c r="O96" s="1148"/>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7"/>
      <c r="O97" s="1147"/>
      <c r="P97" s="45"/>
      <c r="Q97" s="503"/>
    </row>
    <row r="98" spans="1:17">
      <c r="A98" s="598"/>
      <c r="B98" s="545"/>
      <c r="C98" s="602">
        <v>0.5</v>
      </c>
      <c r="D98" s="602">
        <v>0.6</v>
      </c>
      <c r="E98" s="602">
        <v>0.7</v>
      </c>
      <c r="F98" s="602">
        <v>0.8</v>
      </c>
      <c r="G98" s="602">
        <v>0.9</v>
      </c>
      <c r="H98" s="602">
        <v>1.0001</v>
      </c>
      <c r="I98" s="621"/>
      <c r="J98" s="621"/>
      <c r="K98" s="622"/>
      <c r="L98" s="623"/>
      <c r="M98" s="624"/>
      <c r="N98" s="1147"/>
      <c r="O98" s="1147"/>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8"/>
      <c r="O99" s="1148"/>
      <c r="P99" s="45"/>
      <c r="Q99" s="503"/>
    </row>
    <row r="100" spans="1:17" s="470" customFormat="1" ht="15" thickTop="1">
      <c r="A100" s="592"/>
      <c r="B100" s="537" t="s">
        <v>2597</v>
      </c>
      <c r="C100" s="553"/>
      <c r="D100" s="553"/>
      <c r="E100" s="553"/>
      <c r="F100" s="553"/>
      <c r="G100" s="553"/>
      <c r="H100" s="582"/>
      <c r="I100" s="582"/>
      <c r="J100" s="582"/>
      <c r="K100" s="583"/>
      <c r="L100" s="584"/>
      <c r="M100" s="585"/>
      <c r="N100" s="1149"/>
      <c r="O100" s="1149"/>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9"/>
      <c r="O101" s="1149"/>
      <c r="P101" s="557"/>
      <c r="Q101" s="558"/>
    </row>
    <row r="102" spans="1:17" ht="15" thickTop="1">
      <c r="A102" s="598"/>
      <c r="B102" s="537" t="s">
        <v>2598</v>
      </c>
      <c r="C102" s="553"/>
      <c r="D102" s="553"/>
      <c r="E102" s="553"/>
      <c r="F102" s="553"/>
      <c r="G102" s="553"/>
      <c r="H102" s="582"/>
      <c r="I102" s="582"/>
      <c r="J102" s="582"/>
      <c r="K102" s="583"/>
      <c r="L102" s="584"/>
      <c r="M102" s="585"/>
      <c r="N102" s="1147"/>
      <c r="O102" s="1147"/>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8"/>
      <c r="O103" s="1148"/>
      <c r="P103" s="45"/>
      <c r="Q103" s="503"/>
    </row>
    <row r="104" spans="1:17" ht="15" thickTop="1">
      <c r="A104" s="598"/>
      <c r="B104" s="537" t="s">
        <v>2600</v>
      </c>
      <c r="C104" s="553"/>
      <c r="D104" s="553"/>
      <c r="E104" s="553"/>
      <c r="F104" s="553"/>
      <c r="G104" s="553"/>
      <c r="H104" s="582"/>
      <c r="I104" s="582"/>
      <c r="J104" s="582"/>
      <c r="K104" s="583"/>
      <c r="L104" s="584"/>
      <c r="M104" s="585"/>
      <c r="N104" s="1147"/>
      <c r="O104" s="1147"/>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8"/>
      <c r="O105" s="1148"/>
      <c r="P105" s="45"/>
      <c r="Q105" s="503"/>
    </row>
    <row r="106" spans="1:17" ht="15" thickTop="1">
      <c r="A106" s="598"/>
      <c r="B106" s="634" t="s">
        <v>2686</v>
      </c>
      <c r="C106" s="577" t="s">
        <v>2577</v>
      </c>
      <c r="D106" s="577" t="s">
        <v>2578</v>
      </c>
      <c r="E106" s="577" t="s">
        <v>2579</v>
      </c>
      <c r="F106" s="577" t="s">
        <v>2580</v>
      </c>
      <c r="G106" s="577" t="s">
        <v>2581</v>
      </c>
      <c r="H106" s="538"/>
      <c r="I106" s="538"/>
      <c r="J106" s="538"/>
      <c r="K106" s="539"/>
      <c r="L106" s="540"/>
      <c r="M106" s="541"/>
      <c r="N106" s="1148"/>
      <c r="O106" s="1148"/>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8"/>
      <c r="O107" s="1148"/>
      <c r="P107" s="45"/>
      <c r="Q107" s="503"/>
    </row>
    <row r="108" spans="1:17" s="470" customFormat="1" ht="15" thickTop="1">
      <c r="A108" s="592"/>
      <c r="B108" s="537">
        <f>B38</f>
        <v>111</v>
      </c>
      <c r="C108" s="553"/>
      <c r="D108" s="553"/>
      <c r="E108" s="553"/>
      <c r="F108" s="553"/>
      <c r="G108" s="553"/>
      <c r="H108" s="554"/>
      <c r="I108" s="554"/>
      <c r="J108" s="554"/>
      <c r="K108" s="554"/>
      <c r="L108" s="555"/>
      <c r="M108" s="556"/>
      <c r="N108" s="1149"/>
      <c r="O108" s="1149"/>
      <c r="P108" s="557"/>
      <c r="Q108" s="558"/>
    </row>
    <row r="109" spans="1:17" s="470" customFormat="1" ht="15.75" thickBot="1">
      <c r="A109" s="552"/>
      <c r="B109" s="534"/>
      <c r="C109" s="559"/>
      <c r="D109" s="535"/>
      <c r="E109" s="535"/>
      <c r="F109" s="535"/>
      <c r="G109" s="559"/>
      <c r="H109" s="561"/>
      <c r="I109" s="561"/>
      <c r="J109" s="561"/>
      <c r="K109" s="561"/>
      <c r="L109" s="561"/>
      <c r="M109" s="562"/>
      <c r="N109" s="1149"/>
      <c r="O109" s="1149"/>
      <c r="P109" s="557"/>
      <c r="Q109" s="558"/>
    </row>
    <row r="110" spans="1:17" ht="15" thickTop="1">
      <c r="A110" s="598"/>
      <c r="B110" s="537">
        <f>B39</f>
        <v>111</v>
      </c>
      <c r="C110" s="553"/>
      <c r="D110" s="553"/>
      <c r="E110" s="553"/>
      <c r="F110" s="553"/>
      <c r="G110" s="553"/>
      <c r="H110" s="554"/>
      <c r="I110" s="554"/>
      <c r="J110" s="554"/>
      <c r="K110" s="554"/>
      <c r="L110" s="555"/>
      <c r="M110" s="556"/>
      <c r="N110" s="1147"/>
      <c r="O110" s="1147"/>
      <c r="P110" s="45"/>
      <c r="Q110" s="503"/>
    </row>
    <row r="111" spans="1:17" ht="15.75" thickBot="1">
      <c r="A111" s="533"/>
      <c r="B111" s="542"/>
      <c r="C111" s="559"/>
      <c r="D111" s="535"/>
      <c r="E111" s="535"/>
      <c r="F111" s="535"/>
      <c r="G111" s="559"/>
      <c r="H111" s="561"/>
      <c r="I111" s="561"/>
      <c r="J111" s="561"/>
      <c r="K111" s="561"/>
      <c r="L111" s="561"/>
      <c r="M111" s="562"/>
      <c r="N111" s="1148"/>
      <c r="O111" s="1148"/>
      <c r="P111" s="45"/>
      <c r="Q111" s="503"/>
    </row>
    <row r="112" spans="1:17" ht="15" thickTop="1">
      <c r="A112" s="598"/>
      <c r="B112" s="545">
        <f>B40</f>
        <v>111</v>
      </c>
      <c r="C112" s="522"/>
      <c r="D112" s="522"/>
      <c r="E112" s="522"/>
      <c r="F112" s="522"/>
      <c r="G112" s="586"/>
      <c r="H112" s="586"/>
      <c r="I112" s="586"/>
      <c r="J112" s="586"/>
      <c r="K112" s="522"/>
      <c r="L112" s="523"/>
      <c r="M112" s="589"/>
      <c r="N112" s="1147"/>
      <c r="O112" s="1147"/>
      <c r="P112" s="45"/>
      <c r="Q112" s="503"/>
    </row>
    <row r="113" spans="1:17" ht="15.75" thickBot="1">
      <c r="A113" s="2620"/>
      <c r="B113" s="568"/>
      <c r="C113" s="569"/>
      <c r="D113" s="569"/>
      <c r="E113" s="569"/>
      <c r="F113" s="569"/>
      <c r="G113" s="590"/>
      <c r="H113" s="590"/>
      <c r="I113" s="590"/>
      <c r="J113" s="590"/>
      <c r="K113" s="590"/>
      <c r="L113" s="590"/>
      <c r="M113" s="591"/>
      <c r="N113" s="1148"/>
      <c r="O113" s="1148"/>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2687</v>
      </c>
      <c r="B1" s="1612"/>
      <c r="C1" s="1613" t="s">
        <v>2510</v>
      </c>
      <c r="D1" s="1614"/>
      <c r="E1" s="1615"/>
      <c r="F1" s="2568"/>
      <c r="G1" s="1616" t="s">
        <v>2623</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7" customFormat="1" ht="28.5" customHeight="1" thickTop="1">
      <c r="A2" s="1610" t="s">
        <v>2307</v>
      </c>
      <c r="B2" s="1413" t="e">
        <f ca="1">IF(C2="——",IF(B37="元/平方米",ROUND(C39*D3/10000,0),ROUND(F3*C39/10000,0)),IF(B37="元/平方米",ROUND(C39*D3/10000,0),ROUND(F3*C39/10000,0))-D2)</f>
        <v>#DIV/0!</v>
      </c>
      <c r="C2" s="2570"/>
      <c r="D2" s="1119" t="e">
        <f ca="1">SUMIF(INDIRECT("'"&amp;F2&amp;"'"&amp;"!A:A"),"承租人权益价值",INDIRECT("'"&amp;F2&amp;"'"&amp;"!c:c"))</f>
        <v>#REF!</v>
      </c>
      <c r="E2" s="2571" t="s">
        <v>2308</v>
      </c>
      <c r="F2" s="2572"/>
      <c r="G2" s="1120"/>
      <c r="H2" s="1120"/>
      <c r="I2" s="1120"/>
      <c r="J2" s="1120"/>
      <c r="K2" s="1122"/>
      <c r="L2" s="1123"/>
      <c r="M2" s="1124"/>
      <c r="N2" s="1124"/>
      <c r="O2" s="1124"/>
      <c r="P2" s="1414"/>
      <c r="Q2" s="766"/>
      <c r="R2" s="766"/>
      <c r="S2" s="766"/>
      <c r="T2" s="766"/>
      <c r="U2" s="766"/>
      <c r="V2" s="766"/>
      <c r="W2" s="766"/>
      <c r="X2" s="766"/>
      <c r="Y2" s="766"/>
      <c r="Z2" s="766"/>
      <c r="AA2" s="766"/>
      <c r="AB2" s="766"/>
      <c r="AC2" s="767"/>
    </row>
    <row r="3" spans="1:29" s="397" customFormat="1" ht="28.5" customHeight="1" thickBot="1">
      <c r="A3" s="246" t="s">
        <v>2309</v>
      </c>
      <c r="B3" s="608" t="e">
        <f ca="1">IF(AND(C2="——",B37="元/平方米"),C39,ROUND(B2*10000/D3,0))</f>
        <v>#DIV/0!</v>
      </c>
      <c r="C3" s="399" t="s">
        <v>2624</v>
      </c>
      <c r="D3" s="398">
        <f>SUMIF('数据-汇总表'!$C19:$C33,D1,'数据-汇总表'!$E19:$E33)</f>
        <v>0</v>
      </c>
      <c r="E3" s="399" t="s">
        <v>2688</v>
      </c>
      <c r="F3" s="398">
        <f>SUMIF('数据-取费表'!A5:A15,D1,'数据-取费表'!AH5:AH15)</f>
        <v>0</v>
      </c>
      <c r="G3" s="1120"/>
      <c r="H3" s="1120"/>
      <c r="I3" s="1120"/>
      <c r="J3" s="1120"/>
      <c r="K3" s="1122"/>
      <c r="L3" s="1123"/>
      <c r="M3" s="1124"/>
      <c r="N3" s="1124"/>
      <c r="O3" s="1124"/>
      <c r="P3" s="1414"/>
      <c r="Q3" s="766"/>
      <c r="R3" s="766"/>
      <c r="S3" s="766"/>
      <c r="T3" s="766"/>
      <c r="U3" s="766"/>
      <c r="V3" s="766"/>
      <c r="W3" s="766"/>
      <c r="X3" s="766"/>
      <c r="Y3" s="766"/>
      <c r="Z3" s="766"/>
      <c r="AA3" s="766"/>
      <c r="AB3" s="784"/>
      <c r="AC3" s="780"/>
    </row>
    <row r="4" spans="1:29" ht="15">
      <c r="A4" s="400" t="s">
        <v>2625</v>
      </c>
      <c r="B4" s="401"/>
      <c r="C4" s="3198" t="s">
        <v>2626</v>
      </c>
      <c r="D4" s="3225"/>
      <c r="E4" s="3226" t="s">
        <v>2627</v>
      </c>
      <c r="F4" s="3227"/>
      <c r="G4" s="3198" t="s">
        <v>2628</v>
      </c>
      <c r="H4" s="3225"/>
      <c r="I4" s="3198" t="s">
        <v>2629</v>
      </c>
      <c r="J4" s="3225"/>
      <c r="K4" s="609" t="s">
        <v>2630</v>
      </c>
      <c r="L4" s="1125"/>
      <c r="M4" s="1126"/>
      <c r="N4" s="1126"/>
      <c r="O4" s="1126"/>
      <c r="P4" s="3228" t="s">
        <v>2631</v>
      </c>
      <c r="Q4" s="3229"/>
      <c r="R4" s="3205" t="s">
        <v>2627</v>
      </c>
      <c r="S4" s="3206"/>
      <c r="T4" s="3205" t="s">
        <v>2628</v>
      </c>
      <c r="U4" s="3206"/>
      <c r="V4" s="3218" t="s">
        <v>2629</v>
      </c>
      <c r="W4" s="3218"/>
      <c r="X4" s="1806"/>
      <c r="Y4" s="3205" t="s">
        <v>2631</v>
      </c>
      <c r="Z4" s="3206"/>
      <c r="AA4" s="3222" t="s">
        <v>2627</v>
      </c>
      <c r="AB4" s="3223" t="s">
        <v>2628</v>
      </c>
      <c r="AC4" s="3222" t="s">
        <v>2629</v>
      </c>
    </row>
    <row r="5" spans="1:29" ht="15">
      <c r="A5" s="403"/>
      <c r="B5" s="404"/>
      <c r="C5" s="3209" t="s">
        <v>2522</v>
      </c>
      <c r="D5" s="3210"/>
      <c r="E5" s="3234" t="s">
        <v>2523</v>
      </c>
      <c r="F5" s="3235"/>
      <c r="G5" s="3209" t="s">
        <v>2524</v>
      </c>
      <c r="H5" s="3210"/>
      <c r="I5" s="3209" t="s">
        <v>2525</v>
      </c>
      <c r="J5" s="3210"/>
      <c r="K5" s="609"/>
      <c r="L5" s="1125"/>
      <c r="M5" s="1126"/>
      <c r="N5" s="1126"/>
      <c r="O5" s="1126"/>
      <c r="P5" s="3230"/>
      <c r="Q5" s="3231"/>
      <c r="R5" s="3207"/>
      <c r="S5" s="3208"/>
      <c r="T5" s="3207"/>
      <c r="U5" s="3208"/>
      <c r="V5" s="3218"/>
      <c r="W5" s="3218"/>
      <c r="X5" s="1806"/>
      <c r="Y5" s="3207"/>
      <c r="Z5" s="3208"/>
      <c r="AA5" s="3223"/>
      <c r="AB5" s="3223"/>
      <c r="AC5" s="3223"/>
    </row>
    <row r="6" spans="1:29" ht="15.75" thickBot="1">
      <c r="A6" s="405"/>
      <c r="B6" s="406"/>
      <c r="C6" s="3244" t="s">
        <v>2526</v>
      </c>
      <c r="D6" s="3245"/>
      <c r="E6" s="3246" t="s">
        <v>2526</v>
      </c>
      <c r="F6" s="3247"/>
      <c r="G6" s="3244" t="s">
        <v>2526</v>
      </c>
      <c r="H6" s="3245"/>
      <c r="I6" s="3244" t="s">
        <v>2526</v>
      </c>
      <c r="J6" s="3245"/>
      <c r="K6" s="609" t="s">
        <v>2527</v>
      </c>
      <c r="L6" s="1125"/>
      <c r="M6" s="1126"/>
      <c r="N6" s="1126"/>
      <c r="O6" s="1126"/>
      <c r="P6" s="3232"/>
      <c r="Q6" s="3233"/>
      <c r="R6" s="3207"/>
      <c r="S6" s="3208"/>
      <c r="T6" s="3216"/>
      <c r="U6" s="3217"/>
      <c r="V6" s="3218"/>
      <c r="W6" s="3218"/>
      <c r="X6" s="1806"/>
      <c r="Y6" s="3216"/>
      <c r="Z6" s="3217"/>
      <c r="AA6" s="3224"/>
      <c r="AB6" s="3224"/>
      <c r="AC6" s="3224"/>
    </row>
    <row r="7" spans="1:29" s="117" customFormat="1" ht="15.75" thickBot="1">
      <c r="A7" s="407" t="s">
        <v>2528</v>
      </c>
      <c r="B7" s="408"/>
      <c r="C7" s="409">
        <f>'数据-取费表'!B2</f>
        <v>43216</v>
      </c>
      <c r="D7" s="410">
        <v>100</v>
      </c>
      <c r="E7" s="411"/>
      <c r="F7" s="412">
        <f>SUMIF(48:48,YEAR(E7)&amp;"-"&amp;MONTH(E7),49:49)</f>
        <v>0</v>
      </c>
      <c r="G7" s="411"/>
      <c r="H7" s="410">
        <f>SUMIF(48:48,YEAR(G7)&amp;"-"&amp;MONTH(G7),49:49)</f>
        <v>0</v>
      </c>
      <c r="I7" s="411"/>
      <c r="J7" s="410">
        <f>SUMIF(48:48,YEAR(I7)&amp;"-"&amp;MONTH(I7),49:49)</f>
        <v>0</v>
      </c>
      <c r="K7" s="610"/>
      <c r="L7" s="1127"/>
      <c r="M7" s="1128"/>
      <c r="N7" s="1128"/>
      <c r="O7" s="1128"/>
      <c r="P7" s="3203" t="s">
        <v>2529</v>
      </c>
      <c r="Q7" s="3213"/>
      <c r="R7" s="768" t="s">
        <v>17</v>
      </c>
      <c r="S7" s="769">
        <f t="shared" ref="S7:S14" si="0">F7</f>
        <v>0</v>
      </c>
      <c r="T7" s="768" t="s">
        <v>17</v>
      </c>
      <c r="U7" s="769">
        <f t="shared" ref="U7:U14" si="1">H7</f>
        <v>0</v>
      </c>
      <c r="V7" s="768" t="s">
        <v>17</v>
      </c>
      <c r="W7" s="769">
        <f t="shared" ref="W7:W14" si="2">J7</f>
        <v>0</v>
      </c>
      <c r="X7" s="770"/>
      <c r="Y7" s="3203" t="s">
        <v>2529</v>
      </c>
      <c r="Z7" s="3204"/>
      <c r="AA7" s="771" t="e">
        <f>D7/F7</f>
        <v>#DIV/0!</v>
      </c>
      <c r="AB7" s="771" t="e">
        <f>D7/H7</f>
        <v>#DIV/0!</v>
      </c>
      <c r="AC7" s="771" t="e">
        <f>D7/J7</f>
        <v>#DIV/0!</v>
      </c>
    </row>
    <row r="8" spans="1:29" s="117" customFormat="1" ht="15.75" thickBot="1">
      <c r="A8" s="407" t="s">
        <v>2530</v>
      </c>
      <c r="B8" s="408"/>
      <c r="C8" s="413" t="s">
        <v>2632</v>
      </c>
      <c r="D8" s="410">
        <v>100</v>
      </c>
      <c r="E8" s="413"/>
      <c r="F8" s="412">
        <f>SUMIF(51:51,E8,52:52)-SUMIF(51:51,C8,52:52)+100</f>
        <v>0</v>
      </c>
      <c r="G8" s="413"/>
      <c r="H8" s="410">
        <f>SUMIF(51:51,G8,52:52)-SUMIF(51:51,C8,52:52)+100</f>
        <v>0</v>
      </c>
      <c r="I8" s="413"/>
      <c r="J8" s="410">
        <f>SUMIF(51:51,I8,52:52)-SUMIF(51:51,C8,52:52)+100</f>
        <v>0</v>
      </c>
      <c r="K8" s="610"/>
      <c r="L8" s="1127"/>
      <c r="M8" s="1128"/>
      <c r="N8" s="1128"/>
      <c r="O8" s="1128"/>
      <c r="P8" s="3203" t="s">
        <v>2532</v>
      </c>
      <c r="Q8" s="3204"/>
      <c r="R8" s="768" t="s">
        <v>17</v>
      </c>
      <c r="S8" s="769">
        <f t="shared" si="0"/>
        <v>0</v>
      </c>
      <c r="T8" s="768" t="s">
        <v>17</v>
      </c>
      <c r="U8" s="769">
        <f t="shared" si="1"/>
        <v>0</v>
      </c>
      <c r="V8" s="768" t="s">
        <v>17</v>
      </c>
      <c r="W8" s="769">
        <f t="shared" si="2"/>
        <v>0</v>
      </c>
      <c r="X8" s="770"/>
      <c r="Y8" s="3203" t="s">
        <v>2532</v>
      </c>
      <c r="Z8" s="3204"/>
      <c r="AA8" s="771" t="e">
        <f t="shared" ref="AA8:AA36" si="3">D8/F8</f>
        <v>#DIV/0!</v>
      </c>
      <c r="AB8" s="771" t="e">
        <f t="shared" ref="AB8:AB36" si="4">D8/H8</f>
        <v>#DIV/0!</v>
      </c>
      <c r="AC8" s="771" t="e">
        <f t="shared" ref="AC8:AC36" si="5">D8/J8</f>
        <v>#DIV/0!</v>
      </c>
    </row>
    <row r="9" spans="1:29" s="117" customFormat="1">
      <c r="A9" s="68" t="s">
        <v>2533</v>
      </c>
      <c r="B9" s="638" t="s">
        <v>2534</v>
      </c>
      <c r="C9" s="415"/>
      <c r="D9" s="134">
        <v>100</v>
      </c>
      <c r="E9" s="418"/>
      <c r="F9" s="134">
        <f>SUMIF(53:53,E9,54:54)-SUMIF(53:53,C9,54:54)+100</f>
        <v>100</v>
      </c>
      <c r="G9" s="416"/>
      <c r="H9" s="134">
        <f>SUMIF(53:53,G9,54:54)-SUMIF(53:53,C9,54:54)+100</f>
        <v>100</v>
      </c>
      <c r="I9" s="416"/>
      <c r="J9" s="134">
        <f>SUMIF(53:53,I9,54:54)-SUMIF(53:53,C9,54:54)+100</f>
        <v>100</v>
      </c>
      <c r="K9" s="610"/>
      <c r="L9" s="1127"/>
      <c r="M9" s="1128"/>
      <c r="N9" s="1128"/>
      <c r="O9" s="1128"/>
      <c r="P9" s="3201" t="s">
        <v>2535</v>
      </c>
      <c r="Q9" s="1788" t="str">
        <f t="shared" ref="Q9:Q14" si="6">B9</f>
        <v>用途</v>
      </c>
      <c r="R9" s="768" t="s">
        <v>17</v>
      </c>
      <c r="S9" s="769">
        <f t="shared" si="0"/>
        <v>100</v>
      </c>
      <c r="T9" s="768" t="s">
        <v>17</v>
      </c>
      <c r="U9" s="769">
        <f t="shared" si="1"/>
        <v>100</v>
      </c>
      <c r="V9" s="768" t="s">
        <v>17</v>
      </c>
      <c r="W9" s="769">
        <f t="shared" si="2"/>
        <v>100</v>
      </c>
      <c r="X9" s="770"/>
      <c r="Y9" s="3056" t="s">
        <v>2536</v>
      </c>
      <c r="Z9" s="55" t="str">
        <f t="shared" ref="Z9:Z14" si="7">Q9</f>
        <v>用途</v>
      </c>
      <c r="AA9" s="771">
        <f t="shared" si="3"/>
        <v>1</v>
      </c>
      <c r="AB9" s="771">
        <f t="shared" si="4"/>
        <v>1</v>
      </c>
      <c r="AC9" s="771">
        <f t="shared" si="5"/>
        <v>1</v>
      </c>
    </row>
    <row r="10" spans="1:29" s="426" customFormat="1" ht="27">
      <c r="A10" s="639"/>
      <c r="B10" s="640" t="s">
        <v>2537</v>
      </c>
      <c r="C10" s="422"/>
      <c r="D10" s="135">
        <v>100</v>
      </c>
      <c r="E10" s="422"/>
      <c r="F10" s="135">
        <f>SUMIF(55:55,E10,56:56)-SUMIF(55:55,C10,56:56)+100</f>
        <v>100</v>
      </c>
      <c r="G10" s="423"/>
      <c r="H10" s="135">
        <f>SUMIF(55:55,G10,56:56)-SUMIF(55:55,C10,56:56)+100</f>
        <v>100</v>
      </c>
      <c r="I10" s="422"/>
      <c r="J10" s="135">
        <f>SUMIF(55:55,I10,56:56)-SUMIF(55:55,C10,56:56)+100</f>
        <v>100</v>
      </c>
      <c r="K10" s="611"/>
      <c r="L10" s="1130"/>
      <c r="M10" s="1131"/>
      <c r="N10" s="1131"/>
      <c r="O10" s="1131"/>
      <c r="P10" s="3201"/>
      <c r="Q10" s="1788" t="str">
        <f t="shared" si="6"/>
        <v>土地使用年限（年）</v>
      </c>
      <c r="R10" s="768" t="s">
        <v>17</v>
      </c>
      <c r="S10" s="769">
        <f t="shared" si="0"/>
        <v>100</v>
      </c>
      <c r="T10" s="768" t="s">
        <v>17</v>
      </c>
      <c r="U10" s="769">
        <f t="shared" si="1"/>
        <v>100</v>
      </c>
      <c r="V10" s="768" t="s">
        <v>17</v>
      </c>
      <c r="W10" s="769">
        <f t="shared" si="2"/>
        <v>100</v>
      </c>
      <c r="X10" s="770"/>
      <c r="Y10" s="3056"/>
      <c r="Z10" s="55" t="str">
        <f t="shared" si="7"/>
        <v>土地使用年限（年）</v>
      </c>
      <c r="AA10" s="771">
        <f t="shared" si="3"/>
        <v>1</v>
      </c>
      <c r="AB10" s="771">
        <f t="shared" si="4"/>
        <v>1</v>
      </c>
      <c r="AC10" s="771">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3"/>
      <c r="M11" s="1126"/>
      <c r="N11" s="1126"/>
      <c r="O11" s="1126"/>
      <c r="P11" s="3201"/>
      <c r="Q11" s="1788">
        <f t="shared" si="6"/>
        <v>111</v>
      </c>
      <c r="R11" s="768" t="s">
        <v>17</v>
      </c>
      <c r="S11" s="769">
        <f t="shared" si="0"/>
        <v>100</v>
      </c>
      <c r="T11" s="768" t="s">
        <v>17</v>
      </c>
      <c r="U11" s="769">
        <f t="shared" si="1"/>
        <v>100</v>
      </c>
      <c r="V11" s="768" t="s">
        <v>17</v>
      </c>
      <c r="W11" s="769">
        <f t="shared" si="2"/>
        <v>100</v>
      </c>
      <c r="X11" s="770"/>
      <c r="Y11" s="3056"/>
      <c r="Z11" s="55">
        <f t="shared" si="7"/>
        <v>111</v>
      </c>
      <c r="AA11" s="771">
        <f t="shared" si="3"/>
        <v>1</v>
      </c>
      <c r="AB11" s="771">
        <f t="shared" si="4"/>
        <v>1</v>
      </c>
      <c r="AC11" s="771">
        <f t="shared" si="5"/>
        <v>1</v>
      </c>
    </row>
    <row r="12" spans="1:29" s="117"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27"/>
      <c r="M12" s="1128"/>
      <c r="N12" s="1128"/>
      <c r="O12" s="1128"/>
      <c r="P12" s="3201"/>
      <c r="Q12" s="1788">
        <f t="shared" si="6"/>
        <v>111</v>
      </c>
      <c r="R12" s="768" t="s">
        <v>17</v>
      </c>
      <c r="S12" s="769">
        <f t="shared" si="0"/>
        <v>100</v>
      </c>
      <c r="T12" s="768" t="s">
        <v>17</v>
      </c>
      <c r="U12" s="769">
        <f t="shared" si="1"/>
        <v>100</v>
      </c>
      <c r="V12" s="768" t="s">
        <v>17</v>
      </c>
      <c r="W12" s="769">
        <f t="shared" si="2"/>
        <v>100</v>
      </c>
      <c r="X12" s="770"/>
      <c r="Y12" s="3056"/>
      <c r="Z12" s="55">
        <f t="shared" si="7"/>
        <v>111</v>
      </c>
      <c r="AA12" s="771">
        <f>D12/F12</f>
        <v>1</v>
      </c>
      <c r="AB12" s="771">
        <f>D12/H12</f>
        <v>1</v>
      </c>
      <c r="AC12" s="771">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5"/>
      <c r="M13" s="1126"/>
      <c r="N13" s="1126"/>
      <c r="O13" s="1126"/>
      <c r="P13" s="3201"/>
      <c r="Q13" s="1788">
        <f t="shared" si="6"/>
        <v>111</v>
      </c>
      <c r="R13" s="768" t="s">
        <v>17</v>
      </c>
      <c r="S13" s="769">
        <f t="shared" si="0"/>
        <v>100</v>
      </c>
      <c r="T13" s="768" t="s">
        <v>17</v>
      </c>
      <c r="U13" s="769">
        <f t="shared" si="1"/>
        <v>100</v>
      </c>
      <c r="V13" s="768" t="s">
        <v>17</v>
      </c>
      <c r="W13" s="769">
        <f t="shared" si="2"/>
        <v>100</v>
      </c>
      <c r="X13" s="770"/>
      <c r="Y13" s="3056"/>
      <c r="Z13" s="55">
        <f t="shared" si="7"/>
        <v>111</v>
      </c>
      <c r="AA13" s="771">
        <f t="shared" si="3"/>
        <v>1</v>
      </c>
      <c r="AB13" s="771">
        <f t="shared" si="4"/>
        <v>1</v>
      </c>
      <c r="AC13" s="771">
        <f t="shared" si="5"/>
        <v>1</v>
      </c>
    </row>
    <row r="14" spans="1:29" ht="15">
      <c r="A14" s="400" t="s">
        <v>2539</v>
      </c>
      <c r="B14" s="627" t="s">
        <v>2689</v>
      </c>
      <c r="C14" s="2677">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5"/>
      <c r="M14" s="1126"/>
      <c r="N14" s="1126"/>
      <c r="O14" s="1126"/>
      <c r="P14" s="3219" t="s">
        <v>2540</v>
      </c>
      <c r="Q14" s="1803" t="str">
        <f t="shared" si="6"/>
        <v>交通便捷度</v>
      </c>
      <c r="R14" s="772" t="s">
        <v>17</v>
      </c>
      <c r="S14" s="773">
        <f t="shared" si="0"/>
        <v>100</v>
      </c>
      <c r="T14" s="772" t="s">
        <v>17</v>
      </c>
      <c r="U14" s="773">
        <f t="shared" si="1"/>
        <v>100</v>
      </c>
      <c r="V14" s="772" t="s">
        <v>17</v>
      </c>
      <c r="W14" s="773">
        <f t="shared" si="2"/>
        <v>100</v>
      </c>
      <c r="X14" s="1806"/>
      <c r="Y14" s="3219" t="s">
        <v>2540</v>
      </c>
      <c r="Z14" s="1807" t="str">
        <f t="shared" si="7"/>
        <v>交通便捷度</v>
      </c>
      <c r="AA14" s="1804">
        <f t="shared" si="3"/>
        <v>1</v>
      </c>
      <c r="AB14" s="1804">
        <f t="shared" si="4"/>
        <v>1</v>
      </c>
      <c r="AC14" s="1804">
        <f t="shared" si="5"/>
        <v>1</v>
      </c>
    </row>
    <row r="15" spans="1:29" ht="15">
      <c r="A15" s="403"/>
      <c r="B15" s="645"/>
      <c r="C15" s="446"/>
      <c r="D15" s="447"/>
      <c r="E15" s="446"/>
      <c r="F15" s="448"/>
      <c r="G15" s="446"/>
      <c r="H15" s="449"/>
      <c r="I15" s="446"/>
      <c r="J15" s="447"/>
      <c r="K15" s="614"/>
      <c r="L15" s="1135"/>
      <c r="M15" s="1126"/>
      <c r="N15" s="1126"/>
      <c r="O15" s="1126"/>
      <c r="P15" s="3220"/>
      <c r="Q15" s="1803"/>
      <c r="R15" s="772"/>
      <c r="S15" s="773"/>
      <c r="T15" s="772"/>
      <c r="U15" s="773"/>
      <c r="V15" s="772"/>
      <c r="W15" s="773"/>
      <c r="X15" s="1806"/>
      <c r="Y15" s="3220"/>
      <c r="Z15" s="1807"/>
      <c r="AA15" s="1804">
        <v>1</v>
      </c>
      <c r="AB15" s="1804">
        <v>1</v>
      </c>
      <c r="AC15" s="1804">
        <v>1</v>
      </c>
    </row>
    <row r="16" spans="1:29" ht="15">
      <c r="A16" s="403"/>
      <c r="B16" s="629" t="s">
        <v>2668</v>
      </c>
      <c r="C16" s="2591">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5"/>
      <c r="M16" s="1126"/>
      <c r="N16" s="1126"/>
      <c r="O16" s="1126"/>
      <c r="P16" s="3220"/>
      <c r="Q16" s="1803" t="str">
        <f>B16</f>
        <v>公共配套设施</v>
      </c>
      <c r="R16" s="772" t="s">
        <v>17</v>
      </c>
      <c r="S16" s="773">
        <f>F16</f>
        <v>100</v>
      </c>
      <c r="T16" s="772" t="s">
        <v>17</v>
      </c>
      <c r="U16" s="773">
        <f>H16</f>
        <v>100</v>
      </c>
      <c r="V16" s="772" t="s">
        <v>17</v>
      </c>
      <c r="W16" s="773">
        <f>J16</f>
        <v>100</v>
      </c>
      <c r="X16" s="1806"/>
      <c r="Y16" s="3220"/>
      <c r="Z16" s="1807" t="str">
        <f>Q16</f>
        <v>公共配套设施</v>
      </c>
      <c r="AA16" s="1804">
        <f t="shared" si="3"/>
        <v>1</v>
      </c>
      <c r="AB16" s="1804">
        <f t="shared" si="4"/>
        <v>1</v>
      </c>
      <c r="AC16" s="1804">
        <f t="shared" si="5"/>
        <v>1</v>
      </c>
    </row>
    <row r="17" spans="1:29" ht="15">
      <c r="A17" s="403"/>
      <c r="B17" s="630"/>
      <c r="C17" s="2592"/>
      <c r="D17" s="447"/>
      <c r="E17" s="446"/>
      <c r="F17" s="448"/>
      <c r="G17" s="446"/>
      <c r="H17" s="447"/>
      <c r="I17" s="446"/>
      <c r="J17" s="447"/>
      <c r="K17" s="614"/>
      <c r="L17" s="1135"/>
      <c r="M17" s="1126"/>
      <c r="N17" s="1126"/>
      <c r="O17" s="1126"/>
      <c r="P17" s="3220"/>
      <c r="Q17" s="1803"/>
      <c r="R17" s="772"/>
      <c r="S17" s="773"/>
      <c r="T17" s="772"/>
      <c r="U17" s="773"/>
      <c r="V17" s="772"/>
      <c r="W17" s="773"/>
      <c r="X17" s="1806"/>
      <c r="Y17" s="3220"/>
      <c r="Z17" s="1807"/>
      <c r="AA17" s="1804">
        <v>1</v>
      </c>
      <c r="AB17" s="1804">
        <v>1</v>
      </c>
      <c r="AC17" s="1804">
        <v>1</v>
      </c>
    </row>
    <row r="18" spans="1:29" ht="15">
      <c r="A18" s="403"/>
      <c r="B18" s="631" t="s">
        <v>2669</v>
      </c>
      <c r="C18" s="2591">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5"/>
      <c r="M18" s="1126"/>
      <c r="N18" s="1126"/>
      <c r="O18" s="1126"/>
      <c r="P18" s="3220"/>
      <c r="Q18" s="1803" t="str">
        <f>B18</f>
        <v>基础设施水平</v>
      </c>
      <c r="R18" s="772" t="s">
        <v>17</v>
      </c>
      <c r="S18" s="773">
        <f>F18</f>
        <v>100</v>
      </c>
      <c r="T18" s="772" t="s">
        <v>17</v>
      </c>
      <c r="U18" s="773">
        <f>H18</f>
        <v>100</v>
      </c>
      <c r="V18" s="772" t="s">
        <v>17</v>
      </c>
      <c r="W18" s="773">
        <f>J18</f>
        <v>100</v>
      </c>
      <c r="X18" s="1806"/>
      <c r="Y18" s="3220"/>
      <c r="Z18" s="1807" t="str">
        <f>Q18</f>
        <v>基础设施水平</v>
      </c>
      <c r="AA18" s="1804">
        <f t="shared" ref="AA18" si="8">D18/F18</f>
        <v>1</v>
      </c>
      <c r="AB18" s="1804">
        <f t="shared" ref="AB18" si="9">D18/H18</f>
        <v>1</v>
      </c>
      <c r="AC18" s="1804">
        <f t="shared" ref="AC18" si="10">D18/J18</f>
        <v>1</v>
      </c>
    </row>
    <row r="19" spans="1:29" ht="15">
      <c r="A19" s="403"/>
      <c r="B19" s="631"/>
      <c r="C19" s="2592"/>
      <c r="D19" s="449"/>
      <c r="E19" s="2592"/>
      <c r="F19" s="452"/>
      <c r="G19" s="2592"/>
      <c r="H19" s="447"/>
      <c r="I19" s="446"/>
      <c r="J19" s="447"/>
      <c r="K19" s="1378"/>
      <c r="L19" s="1135"/>
      <c r="M19" s="1126"/>
      <c r="N19" s="1126"/>
      <c r="O19" s="1126"/>
      <c r="P19" s="3220"/>
      <c r="Q19" s="1803"/>
      <c r="R19" s="772"/>
      <c r="S19" s="773"/>
      <c r="T19" s="772"/>
      <c r="U19" s="773"/>
      <c r="V19" s="772"/>
      <c r="W19" s="773"/>
      <c r="X19" s="1806"/>
      <c r="Y19" s="3220"/>
      <c r="Z19" s="1807"/>
      <c r="AA19" s="1804">
        <v>1</v>
      </c>
      <c r="AB19" s="1804">
        <v>1</v>
      </c>
      <c r="AC19" s="1804">
        <v>1</v>
      </c>
    </row>
    <row r="20" spans="1:29" ht="15">
      <c r="A20" s="403"/>
      <c r="B20" s="629" t="s">
        <v>2690</v>
      </c>
      <c r="C20" s="2591">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5"/>
      <c r="M20" s="1126"/>
      <c r="N20" s="1126"/>
      <c r="O20" s="1126"/>
      <c r="P20" s="3220"/>
      <c r="Q20" s="1803" t="str">
        <f>B20</f>
        <v>自然及人文环境</v>
      </c>
      <c r="R20" s="772" t="s">
        <v>17</v>
      </c>
      <c r="S20" s="773">
        <f>F20</f>
        <v>100</v>
      </c>
      <c r="T20" s="772" t="s">
        <v>17</v>
      </c>
      <c r="U20" s="773">
        <f>H20</f>
        <v>100</v>
      </c>
      <c r="V20" s="772" t="s">
        <v>17</v>
      </c>
      <c r="W20" s="773">
        <f>J20</f>
        <v>100</v>
      </c>
      <c r="X20" s="1806"/>
      <c r="Y20" s="3220"/>
      <c r="Z20" s="1807" t="str">
        <f>Q20</f>
        <v>自然及人文环境</v>
      </c>
      <c r="AA20" s="1804">
        <f t="shared" si="3"/>
        <v>1</v>
      </c>
      <c r="AB20" s="1804">
        <f t="shared" si="4"/>
        <v>1</v>
      </c>
      <c r="AC20" s="1804">
        <f t="shared" si="5"/>
        <v>1</v>
      </c>
    </row>
    <row r="21" spans="1:29" ht="15">
      <c r="A21" s="403"/>
      <c r="B21" s="630"/>
      <c r="C21" s="446"/>
      <c r="D21" s="447"/>
      <c r="E21" s="446"/>
      <c r="F21" s="448"/>
      <c r="G21" s="446"/>
      <c r="H21" s="447"/>
      <c r="I21" s="446"/>
      <c r="J21" s="447"/>
      <c r="K21" s="614"/>
      <c r="L21" s="1135"/>
      <c r="M21" s="1126"/>
      <c r="N21" s="1126"/>
      <c r="O21" s="1126"/>
      <c r="P21" s="3220"/>
      <c r="Q21" s="1803"/>
      <c r="R21" s="772"/>
      <c r="S21" s="773"/>
      <c r="T21" s="772"/>
      <c r="U21" s="773"/>
      <c r="V21" s="772"/>
      <c r="W21" s="773"/>
      <c r="X21" s="1806"/>
      <c r="Y21" s="3220"/>
      <c r="Z21" s="1807"/>
      <c r="AA21" s="1804">
        <v>1</v>
      </c>
      <c r="AB21" s="1804">
        <v>1</v>
      </c>
      <c r="AC21" s="1804">
        <v>1</v>
      </c>
    </row>
    <row r="22" spans="1:29" ht="15">
      <c r="A22" s="403"/>
      <c r="B22" s="629" t="s">
        <v>2691</v>
      </c>
      <c r="C22" s="615"/>
      <c r="D22" s="449">
        <v>100</v>
      </c>
      <c r="E22" s="615"/>
      <c r="F22" s="460">
        <f>SUMIF(71:71,E22,72:72)-SUMIF(71:71,C22,72:72)+100</f>
        <v>100</v>
      </c>
      <c r="G22" s="615"/>
      <c r="H22" s="434">
        <f>SUMIF(71:71,G22,72:72)-SUMIF(71:71,C22,72:72)+100</f>
        <v>100</v>
      </c>
      <c r="I22" s="615"/>
      <c r="J22" s="434">
        <f>SUMIF(71:71,I22,72:72)-SUMIF(71:71,C22,72:72)+100</f>
        <v>100</v>
      </c>
      <c r="K22" s="611"/>
      <c r="L22" s="1135"/>
      <c r="M22" s="1126"/>
      <c r="N22" s="1126"/>
      <c r="O22" s="1126"/>
      <c r="P22" s="3220"/>
      <c r="Q22" s="1803" t="str">
        <f>B22</f>
        <v>楼层</v>
      </c>
      <c r="R22" s="772" t="s">
        <v>17</v>
      </c>
      <c r="S22" s="773">
        <f>F22</f>
        <v>100</v>
      </c>
      <c r="T22" s="772" t="s">
        <v>17</v>
      </c>
      <c r="U22" s="773">
        <f>H22</f>
        <v>100</v>
      </c>
      <c r="V22" s="772" t="s">
        <v>17</v>
      </c>
      <c r="W22" s="773">
        <f>J22</f>
        <v>100</v>
      </c>
      <c r="X22" s="1806"/>
      <c r="Y22" s="3220"/>
      <c r="Z22" s="1807" t="str">
        <f>Q22</f>
        <v>楼层</v>
      </c>
      <c r="AA22" s="1804">
        <f t="shared" si="3"/>
        <v>1</v>
      </c>
      <c r="AB22" s="1804">
        <f t="shared" si="4"/>
        <v>1</v>
      </c>
      <c r="AC22" s="1804">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5"/>
      <c r="M23" s="1126"/>
      <c r="N23" s="1126"/>
      <c r="O23" s="1126"/>
      <c r="P23" s="3220"/>
      <c r="Q23" s="1803">
        <f>B23</f>
        <v>111</v>
      </c>
      <c r="R23" s="772" t="s">
        <v>17</v>
      </c>
      <c r="S23" s="773">
        <f>F23</f>
        <v>100</v>
      </c>
      <c r="T23" s="772" t="s">
        <v>17</v>
      </c>
      <c r="U23" s="773">
        <f>H23</f>
        <v>100</v>
      </c>
      <c r="V23" s="772" t="s">
        <v>17</v>
      </c>
      <c r="W23" s="773">
        <f>J23</f>
        <v>100</v>
      </c>
      <c r="X23" s="1806"/>
      <c r="Y23" s="3220"/>
      <c r="Z23" s="1807">
        <f>Q23</f>
        <v>111</v>
      </c>
      <c r="AA23" s="1804">
        <f t="shared" si="3"/>
        <v>1</v>
      </c>
      <c r="AB23" s="1804">
        <f t="shared" si="4"/>
        <v>1</v>
      </c>
      <c r="AC23" s="1804">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5"/>
      <c r="M24" s="1126"/>
      <c r="N24" s="1126"/>
      <c r="O24" s="1126"/>
      <c r="P24" s="3220"/>
      <c r="Q24" s="1803">
        <f t="shared" ref="Q24:Q36" si="11">B24</f>
        <v>111</v>
      </c>
      <c r="R24" s="772" t="s">
        <v>17</v>
      </c>
      <c r="S24" s="773">
        <f>F24</f>
        <v>100</v>
      </c>
      <c r="T24" s="772" t="s">
        <v>17</v>
      </c>
      <c r="U24" s="773">
        <f>H24</f>
        <v>100</v>
      </c>
      <c r="V24" s="772" t="s">
        <v>17</v>
      </c>
      <c r="W24" s="773">
        <f>J24</f>
        <v>100</v>
      </c>
      <c r="X24" s="1806"/>
      <c r="Y24" s="3220"/>
      <c r="Z24" s="1807">
        <f>Q24</f>
        <v>111</v>
      </c>
      <c r="AA24" s="1804">
        <f t="shared" si="3"/>
        <v>1</v>
      </c>
      <c r="AB24" s="1804">
        <f t="shared" si="4"/>
        <v>1</v>
      </c>
      <c r="AC24" s="1804">
        <f t="shared" si="5"/>
        <v>1</v>
      </c>
    </row>
    <row r="25" spans="1:29" s="117"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27"/>
      <c r="M25" s="1128"/>
      <c r="N25" s="1128"/>
      <c r="O25" s="1128"/>
      <c r="P25" s="3220"/>
      <c r="Q25" s="1788">
        <f t="shared" si="11"/>
        <v>111</v>
      </c>
      <c r="R25" s="768" t="s">
        <v>17</v>
      </c>
      <c r="S25" s="769">
        <f>F25</f>
        <v>100</v>
      </c>
      <c r="T25" s="768" t="s">
        <v>17</v>
      </c>
      <c r="U25" s="769">
        <f>H25</f>
        <v>100</v>
      </c>
      <c r="V25" s="768" t="s">
        <v>17</v>
      </c>
      <c r="W25" s="769">
        <f>J25</f>
        <v>100</v>
      </c>
      <c r="X25" s="770"/>
      <c r="Y25" s="3220"/>
      <c r="Z25" s="55">
        <f>Q25</f>
        <v>111</v>
      </c>
      <c r="AA25" s="1804">
        <f>D25/F25</f>
        <v>1</v>
      </c>
      <c r="AB25" s="1804">
        <f>D25/H25</f>
        <v>1</v>
      </c>
      <c r="AC25" s="1804">
        <f>D25/J25</f>
        <v>1</v>
      </c>
    </row>
    <row r="26" spans="1:29" ht="15">
      <c r="A26" s="650" t="s">
        <v>2543</v>
      </c>
      <c r="B26" s="70" t="s">
        <v>2692</v>
      </c>
      <c r="C26" s="2678">
        <f>B1</f>
        <v>0</v>
      </c>
      <c r="D26" s="447">
        <v>100</v>
      </c>
      <c r="E26" s="446"/>
      <c r="F26" s="448">
        <f>SUMIF(79:79,E26,80:80)-SUMIF(79:79,C26,80:80)+100</f>
        <v>100</v>
      </c>
      <c r="G26" s="446"/>
      <c r="H26" s="447">
        <f>SUMIF(79:79,G26,80:80)-SUMIF(79:79,C26,80:80)+100</f>
        <v>100</v>
      </c>
      <c r="I26" s="446"/>
      <c r="J26" s="447">
        <f>SUMIF(79:79,I26,80:80)-SUMIF(79:79,C26,80:80)+100</f>
        <v>100</v>
      </c>
      <c r="K26" s="611"/>
      <c r="L26" s="1135"/>
      <c r="M26" s="1126"/>
      <c r="N26" s="1126"/>
      <c r="O26" s="1126"/>
      <c r="P26" s="3236" t="s">
        <v>2545</v>
      </c>
      <c r="Q26" s="1803" t="str">
        <f t="shared" si="11"/>
        <v>配套类型</v>
      </c>
      <c r="R26" s="772" t="s">
        <v>17</v>
      </c>
      <c r="S26" s="773">
        <f t="shared" ref="S26:S36" si="12">F26</f>
        <v>100</v>
      </c>
      <c r="T26" s="772" t="s">
        <v>17</v>
      </c>
      <c r="U26" s="773">
        <f t="shared" ref="U26:U36" si="13">H26</f>
        <v>100</v>
      </c>
      <c r="V26" s="772" t="s">
        <v>17</v>
      </c>
      <c r="W26" s="773">
        <f t="shared" ref="W26:W36" si="14">J26</f>
        <v>100</v>
      </c>
      <c r="X26" s="1806"/>
      <c r="Y26" s="3221" t="s">
        <v>2545</v>
      </c>
      <c r="Z26" s="1807" t="str">
        <f t="shared" ref="Z26:Z36" si="15">Q26</f>
        <v>配套类型</v>
      </c>
      <c r="AA26" s="1804">
        <f t="shared" si="3"/>
        <v>1</v>
      </c>
      <c r="AB26" s="1804">
        <f t="shared" si="4"/>
        <v>1</v>
      </c>
      <c r="AC26" s="1804">
        <f t="shared" si="5"/>
        <v>1</v>
      </c>
    </row>
    <row r="27" spans="1:29" s="470" customFormat="1" ht="15">
      <c r="A27" s="651"/>
      <c r="B27" s="652" t="s">
        <v>2693</v>
      </c>
      <c r="C27" s="653"/>
      <c r="D27" s="135">
        <v>100</v>
      </c>
      <c r="E27" s="653"/>
      <c r="F27" s="460">
        <f>SUMIF(81:81,E27,82:82)-SUMIF(81:81,C27,82:82)+100</f>
        <v>100</v>
      </c>
      <c r="G27" s="653"/>
      <c r="H27" s="434">
        <f>SUMIF(81:81,G27,82:82)-SUMIF(81:81,C27,82:82)+100</f>
        <v>100</v>
      </c>
      <c r="I27" s="653"/>
      <c r="J27" s="434">
        <f>SUMIF(81:81,I27,82:82)-SUMIF(81:81,C27,82:82)+100</f>
        <v>100</v>
      </c>
      <c r="K27" s="612"/>
      <c r="L27" s="1133"/>
      <c r="M27" s="1136"/>
      <c r="N27" s="1136"/>
      <c r="O27" s="1136"/>
      <c r="P27" s="3221"/>
      <c r="Q27" s="774" t="str">
        <f t="shared" si="11"/>
        <v>项目停车位配比</v>
      </c>
      <c r="R27" s="775" t="s">
        <v>17</v>
      </c>
      <c r="S27" s="776">
        <f t="shared" si="12"/>
        <v>100</v>
      </c>
      <c r="T27" s="775" t="s">
        <v>17</v>
      </c>
      <c r="U27" s="776">
        <f t="shared" si="13"/>
        <v>100</v>
      </c>
      <c r="V27" s="775" t="s">
        <v>17</v>
      </c>
      <c r="W27" s="776">
        <f t="shared" si="14"/>
        <v>100</v>
      </c>
      <c r="X27" s="777"/>
      <c r="Y27" s="3221"/>
      <c r="Z27" s="778" t="str">
        <f t="shared" si="15"/>
        <v>项目停车位配比</v>
      </c>
      <c r="AA27" s="1804">
        <f t="shared" si="3"/>
        <v>1</v>
      </c>
      <c r="AB27" s="1804">
        <f t="shared" si="4"/>
        <v>1</v>
      </c>
      <c r="AC27" s="1804">
        <f t="shared" si="5"/>
        <v>1</v>
      </c>
    </row>
    <row r="28" spans="1:29" ht="15">
      <c r="A28" s="654"/>
      <c r="B28" s="652" t="s">
        <v>2694</v>
      </c>
      <c r="C28" s="459"/>
      <c r="D28" s="434">
        <v>100</v>
      </c>
      <c r="E28" s="459"/>
      <c r="F28" s="460">
        <f>SUMIF(83:83,E28,84:84)-SUMIF(83:83,C28,84:84)+100</f>
        <v>100</v>
      </c>
      <c r="G28" s="459"/>
      <c r="H28" s="434">
        <f>SUMIF(83:83,G28,84:84)-SUMIF(83:83,C28,84:84)+100</f>
        <v>100</v>
      </c>
      <c r="I28" s="459"/>
      <c r="J28" s="434">
        <f>SUMIF(83:83,I28,84:84)-SUMIF(83:83,C28,84:84)+100</f>
        <v>100</v>
      </c>
      <c r="K28" s="611"/>
      <c r="L28" s="1135"/>
      <c r="M28" s="1126"/>
      <c r="N28" s="1126"/>
      <c r="O28" s="1126"/>
      <c r="P28" s="3221"/>
      <c r="Q28" s="1803" t="str">
        <f t="shared" si="11"/>
        <v>公共部分装修</v>
      </c>
      <c r="R28" s="772" t="s">
        <v>17</v>
      </c>
      <c r="S28" s="773">
        <f t="shared" si="12"/>
        <v>100</v>
      </c>
      <c r="T28" s="772" t="s">
        <v>17</v>
      </c>
      <c r="U28" s="773">
        <f t="shared" si="13"/>
        <v>100</v>
      </c>
      <c r="V28" s="772" t="s">
        <v>17</v>
      </c>
      <c r="W28" s="773">
        <f t="shared" si="14"/>
        <v>100</v>
      </c>
      <c r="X28" s="1806"/>
      <c r="Y28" s="3221"/>
      <c r="Z28" s="1807" t="str">
        <f t="shared" si="15"/>
        <v>公共部分装修</v>
      </c>
      <c r="AA28" s="1804">
        <f t="shared" si="3"/>
        <v>1</v>
      </c>
      <c r="AB28" s="1804">
        <f t="shared" si="4"/>
        <v>1</v>
      </c>
      <c r="AC28" s="1804">
        <f t="shared" si="5"/>
        <v>1</v>
      </c>
    </row>
    <row r="29" spans="1:29" ht="15">
      <c r="A29" s="654"/>
      <c r="B29" s="652" t="s">
        <v>2695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5"/>
      <c r="M29" s="1126"/>
      <c r="N29" s="1126"/>
      <c r="O29" s="1126"/>
      <c r="P29" s="3221"/>
      <c r="Q29" s="1803" t="str">
        <f t="shared" si="11"/>
        <v>成新率</v>
      </c>
      <c r="R29" s="772" t="s">
        <v>17</v>
      </c>
      <c r="S29" s="773" t="e">
        <f t="shared" si="12"/>
        <v>#N/A</v>
      </c>
      <c r="T29" s="772" t="s">
        <v>17</v>
      </c>
      <c r="U29" s="773" t="e">
        <f t="shared" si="13"/>
        <v>#N/A</v>
      </c>
      <c r="V29" s="772" t="s">
        <v>17</v>
      </c>
      <c r="W29" s="773" t="e">
        <f t="shared" si="14"/>
        <v>#N/A</v>
      </c>
      <c r="X29" s="1806"/>
      <c r="Y29" s="3221"/>
      <c r="Z29" s="1807" t="str">
        <f t="shared" si="15"/>
        <v>成新率</v>
      </c>
      <c r="AA29" s="1804" t="e">
        <f t="shared" si="3"/>
        <v>#N/A</v>
      </c>
      <c r="AB29" s="1804" t="e">
        <f t="shared" si="4"/>
        <v>#N/A</v>
      </c>
      <c r="AC29" s="1804" t="e">
        <f t="shared" si="5"/>
        <v>#N/A</v>
      </c>
    </row>
    <row r="30" spans="1:29" ht="15">
      <c r="A30" s="654"/>
      <c r="B30" s="652" t="s">
        <v>2696</v>
      </c>
      <c r="C30" s="655"/>
      <c r="D30" s="434">
        <v>100</v>
      </c>
      <c r="E30" s="655"/>
      <c r="F30" s="460">
        <f>SUMIF(88:88,E30,89:89)-SUMIF(88:88,C30,89:89)+100</f>
        <v>100</v>
      </c>
      <c r="G30" s="655"/>
      <c r="H30" s="434">
        <f>SUMIF(88:88,E30,89:89)-SUMIF(88:88,C30,89:89)+100</f>
        <v>100</v>
      </c>
      <c r="I30" s="655"/>
      <c r="J30" s="434">
        <f>SUMIF(88:88,E30,89:89)-SUMIF(88:88,C30,89:89)+100</f>
        <v>100</v>
      </c>
      <c r="K30" s="611"/>
      <c r="L30" s="1135"/>
      <c r="M30" s="1126"/>
      <c r="N30" s="1126"/>
      <c r="O30" s="1126"/>
      <c r="P30" s="3221"/>
      <c r="Q30" s="1803" t="str">
        <f t="shared" si="11"/>
        <v>物业等级</v>
      </c>
      <c r="R30" s="772" t="s">
        <v>17</v>
      </c>
      <c r="S30" s="773">
        <f t="shared" si="12"/>
        <v>100</v>
      </c>
      <c r="T30" s="772" t="s">
        <v>17</v>
      </c>
      <c r="U30" s="773">
        <f t="shared" si="13"/>
        <v>100</v>
      </c>
      <c r="V30" s="772" t="s">
        <v>17</v>
      </c>
      <c r="W30" s="773">
        <f t="shared" si="14"/>
        <v>100</v>
      </c>
      <c r="X30" s="1806"/>
      <c r="Y30" s="3221"/>
      <c r="Z30" s="1807" t="str">
        <f t="shared" si="15"/>
        <v>物业等级</v>
      </c>
      <c r="AA30" s="1804">
        <f t="shared" si="3"/>
        <v>1</v>
      </c>
      <c r="AB30" s="1804">
        <f t="shared" si="4"/>
        <v>1</v>
      </c>
      <c r="AC30" s="1804">
        <f t="shared" si="5"/>
        <v>1</v>
      </c>
    </row>
    <row r="31" spans="1:29" s="117" customFormat="1" ht="15">
      <c r="A31" s="656"/>
      <c r="B31" s="652" t="s">
        <v>2697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7"/>
      <c r="M31" s="1128"/>
      <c r="N31" s="1128"/>
      <c r="O31" s="1128"/>
      <c r="P31" s="3221"/>
      <c r="Q31" s="1788" t="str">
        <f t="shared" si="11"/>
        <v>停车位面积</v>
      </c>
      <c r="R31" s="768" t="s">
        <v>17</v>
      </c>
      <c r="S31" s="769" t="e">
        <f t="shared" si="12"/>
        <v>#N/A</v>
      </c>
      <c r="T31" s="768" t="s">
        <v>17</v>
      </c>
      <c r="U31" s="769" t="e">
        <f t="shared" si="13"/>
        <v>#N/A</v>
      </c>
      <c r="V31" s="768" t="s">
        <v>17</v>
      </c>
      <c r="W31" s="769" t="e">
        <f t="shared" si="14"/>
        <v>#N/A</v>
      </c>
      <c r="X31" s="770"/>
      <c r="Y31" s="3221"/>
      <c r="Z31" s="55" t="str">
        <f t="shared" si="15"/>
        <v>停车位面积</v>
      </c>
      <c r="AA31" s="771" t="e">
        <f t="shared" si="3"/>
        <v>#N/A</v>
      </c>
      <c r="AB31" s="771" t="e">
        <f t="shared" si="4"/>
        <v>#N/A</v>
      </c>
      <c r="AC31" s="771" t="e">
        <f t="shared" si="5"/>
        <v>#N/A</v>
      </c>
    </row>
    <row r="32" spans="1:29" ht="15">
      <c r="A32" s="654"/>
      <c r="B32" s="652" t="s">
        <v>2698</v>
      </c>
      <c r="C32" s="459"/>
      <c r="D32" s="434">
        <v>100</v>
      </c>
      <c r="E32" s="459"/>
      <c r="F32" s="460">
        <f>SUMIF(93:93,E32,94:94)-SUMIF(93:93,C32,94:94)+100</f>
        <v>100</v>
      </c>
      <c r="G32" s="459"/>
      <c r="H32" s="434">
        <f>SUMIF(93:93,G32,94:94)-SUMIF(93:93,C32,94:94)+100</f>
        <v>100</v>
      </c>
      <c r="I32" s="459"/>
      <c r="J32" s="434">
        <f>SUMIF(93:93,I32,94:94)-SUMIF(93:93,C32,94:94)+100</f>
        <v>100</v>
      </c>
      <c r="K32" s="611"/>
      <c r="L32" s="1135"/>
      <c r="M32" s="1126"/>
      <c r="N32" s="1126"/>
      <c r="O32" s="1126"/>
      <c r="P32" s="3221" t="s">
        <v>2545</v>
      </c>
      <c r="Q32" s="1803" t="str">
        <f t="shared" si="11"/>
        <v>车位类型</v>
      </c>
      <c r="R32" s="772" t="s">
        <v>17</v>
      </c>
      <c r="S32" s="773">
        <f t="shared" si="12"/>
        <v>100</v>
      </c>
      <c r="T32" s="772" t="s">
        <v>17</v>
      </c>
      <c r="U32" s="773">
        <f t="shared" si="13"/>
        <v>100</v>
      </c>
      <c r="V32" s="772" t="s">
        <v>17</v>
      </c>
      <c r="W32" s="773">
        <f t="shared" si="14"/>
        <v>100</v>
      </c>
      <c r="X32" s="1806"/>
      <c r="Y32" s="3221" t="s">
        <v>2545</v>
      </c>
      <c r="Z32" s="1807" t="str">
        <f t="shared" si="15"/>
        <v>车位类型</v>
      </c>
      <c r="AA32" s="1804">
        <f t="shared" si="3"/>
        <v>1</v>
      </c>
      <c r="AB32" s="1804">
        <f t="shared" si="4"/>
        <v>1</v>
      </c>
      <c r="AC32" s="1804">
        <f t="shared" si="5"/>
        <v>1</v>
      </c>
    </row>
    <row r="33" spans="1:29" ht="15">
      <c r="A33" s="654"/>
      <c r="B33" s="652" t="s">
        <v>2699</v>
      </c>
      <c r="C33" s="459"/>
      <c r="D33" s="434">
        <v>100</v>
      </c>
      <c r="E33" s="459"/>
      <c r="F33" s="460">
        <f>SUMIF(95:95,E33,96:96)-SUMIF(95:95,C33,96:96)+100</f>
        <v>100</v>
      </c>
      <c r="G33" s="459"/>
      <c r="H33" s="434">
        <f>SUMIF(95:95,G33,96:96)-SUMIF(95:95,C33,96:96)+100</f>
        <v>100</v>
      </c>
      <c r="I33" s="459"/>
      <c r="J33" s="434">
        <f>SUMIF(95:95,I33,96:96)-SUMIF(95:95,C33,96:96)+100</f>
        <v>100</v>
      </c>
      <c r="K33" s="611"/>
      <c r="L33" s="1135"/>
      <c r="M33" s="1126"/>
      <c r="N33" s="1126"/>
      <c r="O33" s="1126"/>
      <c r="P33" s="3221"/>
      <c r="Q33" s="1803" t="str">
        <f t="shared" si="11"/>
        <v>是否直接入户</v>
      </c>
      <c r="R33" s="772" t="s">
        <v>17</v>
      </c>
      <c r="S33" s="773">
        <f t="shared" si="12"/>
        <v>100</v>
      </c>
      <c r="T33" s="772" t="s">
        <v>17</v>
      </c>
      <c r="U33" s="773">
        <f t="shared" si="13"/>
        <v>100</v>
      </c>
      <c r="V33" s="772" t="s">
        <v>17</v>
      </c>
      <c r="W33" s="773">
        <f t="shared" si="14"/>
        <v>100</v>
      </c>
      <c r="X33" s="1806"/>
      <c r="Y33" s="3221"/>
      <c r="Z33" s="1807" t="str">
        <f t="shared" si="15"/>
        <v>是否直接入户</v>
      </c>
      <c r="AA33" s="1804">
        <f t="shared" si="3"/>
        <v>1</v>
      </c>
      <c r="AB33" s="1804">
        <f t="shared" si="4"/>
        <v>1</v>
      </c>
      <c r="AC33" s="1804">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5"/>
      <c r="M34" s="1126"/>
      <c r="N34" s="1126"/>
      <c r="O34" s="1126"/>
      <c r="P34" s="3221"/>
      <c r="Q34" s="1803">
        <f t="shared" si="11"/>
        <v>111</v>
      </c>
      <c r="R34" s="772" t="s">
        <v>17</v>
      </c>
      <c r="S34" s="773">
        <f t="shared" si="12"/>
        <v>100</v>
      </c>
      <c r="T34" s="772" t="s">
        <v>17</v>
      </c>
      <c r="U34" s="773">
        <f t="shared" si="13"/>
        <v>100</v>
      </c>
      <c r="V34" s="772" t="s">
        <v>17</v>
      </c>
      <c r="W34" s="773">
        <f t="shared" si="14"/>
        <v>100</v>
      </c>
      <c r="X34" s="1806"/>
      <c r="Y34" s="3221"/>
      <c r="Z34" s="1807">
        <f t="shared" si="15"/>
        <v>111</v>
      </c>
      <c r="AA34" s="1804">
        <f t="shared" si="3"/>
        <v>1</v>
      </c>
      <c r="AB34" s="1804">
        <f t="shared" si="4"/>
        <v>1</v>
      </c>
      <c r="AC34" s="1804">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3"/>
      <c r="M35" s="1136"/>
      <c r="N35" s="1136"/>
      <c r="O35" s="1136"/>
      <c r="P35" s="3221"/>
      <c r="Q35" s="774">
        <f t="shared" si="11"/>
        <v>111</v>
      </c>
      <c r="R35" s="775" t="s">
        <v>17</v>
      </c>
      <c r="S35" s="776">
        <f t="shared" si="12"/>
        <v>100</v>
      </c>
      <c r="T35" s="775" t="s">
        <v>17</v>
      </c>
      <c r="U35" s="776">
        <f t="shared" si="13"/>
        <v>100</v>
      </c>
      <c r="V35" s="775" t="s">
        <v>17</v>
      </c>
      <c r="W35" s="776">
        <f t="shared" si="14"/>
        <v>100</v>
      </c>
      <c r="X35" s="777"/>
      <c r="Y35" s="3221"/>
      <c r="Z35" s="778">
        <f t="shared" si="15"/>
        <v>111</v>
      </c>
      <c r="AA35" s="1804">
        <f t="shared" si="3"/>
        <v>1</v>
      </c>
      <c r="AB35" s="1804">
        <f t="shared" si="4"/>
        <v>1</v>
      </c>
      <c r="AC35" s="1804">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5"/>
      <c r="M36" s="1126"/>
      <c r="N36" s="1126"/>
      <c r="O36" s="1126"/>
      <c r="P36" s="3221"/>
      <c r="Q36" s="1803">
        <f t="shared" si="11"/>
        <v>111</v>
      </c>
      <c r="R36" s="772" t="s">
        <v>17</v>
      </c>
      <c r="S36" s="773">
        <f t="shared" si="12"/>
        <v>100</v>
      </c>
      <c r="T36" s="772" t="s">
        <v>17</v>
      </c>
      <c r="U36" s="773">
        <f t="shared" si="13"/>
        <v>100</v>
      </c>
      <c r="V36" s="772" t="s">
        <v>17</v>
      </c>
      <c r="W36" s="773">
        <f t="shared" si="14"/>
        <v>100</v>
      </c>
      <c r="X36" s="1806"/>
      <c r="Y36" s="3221"/>
      <c r="Z36" s="1807">
        <f t="shared" si="15"/>
        <v>111</v>
      </c>
      <c r="AA36" s="1804">
        <f t="shared" si="3"/>
        <v>1</v>
      </c>
      <c r="AB36" s="1804">
        <f t="shared" si="4"/>
        <v>1</v>
      </c>
      <c r="AC36" s="1804">
        <f t="shared" si="5"/>
        <v>1</v>
      </c>
    </row>
    <row r="37" spans="1:29" ht="15">
      <c r="A37" s="478" t="s">
        <v>2700</v>
      </c>
      <c r="B37" s="2679" t="s">
        <v>2701</v>
      </c>
      <c r="C37" s="1402" t="s">
        <v>1</v>
      </c>
      <c r="D37" s="1403"/>
      <c r="E37" s="1404"/>
      <c r="F37" s="1405"/>
      <c r="G37" s="1406"/>
      <c r="H37" s="1407"/>
      <c r="I37" s="1404"/>
      <c r="J37" s="1407"/>
      <c r="K37" s="617"/>
      <c r="L37" s="1138"/>
      <c r="M37" s="1139"/>
      <c r="N37" s="1126"/>
      <c r="O37" s="1139"/>
      <c r="P37" s="3201" t="str">
        <f>A37</f>
        <v>成交单价</v>
      </c>
      <c r="Q37" s="3201"/>
      <c r="R37" s="3276">
        <f>E37</f>
        <v>0</v>
      </c>
      <c r="S37" s="3276"/>
      <c r="T37" s="3276">
        <f>G37</f>
        <v>0</v>
      </c>
      <c r="U37" s="3276"/>
      <c r="V37" s="3276">
        <f>I37</f>
        <v>0</v>
      </c>
      <c r="W37" s="3276"/>
      <c r="X37" s="757"/>
      <c r="Y37" s="779"/>
      <c r="Z37" s="757"/>
      <c r="AA37" s="757"/>
      <c r="AB37" s="757"/>
      <c r="AC37" s="757"/>
    </row>
    <row r="38" spans="1:29" ht="15.75" thickBot="1">
      <c r="A38" s="485" t="s">
        <v>2702</v>
      </c>
      <c r="B38" s="486" t="str">
        <f>B37</f>
        <v>元/车位</v>
      </c>
      <c r="C38" s="1408" t="e">
        <f>R39</f>
        <v>#DIV/0!</v>
      </c>
      <c r="D38" s="1409"/>
      <c r="E38" s="1410" t="e">
        <f>R38</f>
        <v>#DIV/0!</v>
      </c>
      <c r="F38" s="1410"/>
      <c r="G38" s="1408" t="e">
        <f>T38</f>
        <v>#DIV/0!</v>
      </c>
      <c r="H38" s="1409"/>
      <c r="I38" s="1410" t="e">
        <f>V38</f>
        <v>#DIV/0!</v>
      </c>
      <c r="J38" s="1409"/>
      <c r="K38" s="618"/>
      <c r="L38" s="1138"/>
      <c r="M38" s="1139"/>
      <c r="N38" s="1139"/>
      <c r="O38" s="1139"/>
      <c r="P38" s="3201" t="str">
        <f>A38</f>
        <v>比较价值（元/平方米）</v>
      </c>
      <c r="Q38" s="3201"/>
      <c r="R38" s="3276" t="e">
        <f>IF(F1="售价",ROUND(PRODUCT(R37,AA7:AA36),0),ROUND(PRODUCT(R37,AA7:AA36),1))</f>
        <v>#DIV/0!</v>
      </c>
      <c r="S38" s="3276"/>
      <c r="T38" s="3276" t="e">
        <f>IF(F1="售价",ROUND(PRODUCT(T37,AB7:AB36),0),ROUND(PRODUCT(T37,AB7:AB36),1))</f>
        <v>#DIV/0!</v>
      </c>
      <c r="U38" s="3276"/>
      <c r="V38" s="3276" t="e">
        <f>IF(F1="售价",ROUND(PRODUCT(V37,AC7:AC36),0),ROUND(PRODUCT(V37,AC7:AC36),1))</f>
        <v>#DIV/0!</v>
      </c>
      <c r="W38" s="3276"/>
      <c r="X38" s="757"/>
      <c r="Y38" s="757"/>
      <c r="Z38" s="757"/>
      <c r="AA38" s="757"/>
      <c r="AB38" s="757"/>
      <c r="AC38" s="757"/>
    </row>
    <row r="39" spans="1:29" ht="15.75" thickBot="1">
      <c r="A39" s="491" t="s">
        <v>2703</v>
      </c>
      <c r="B39" s="492"/>
      <c r="C39" s="1412" t="e">
        <f>R39</f>
        <v>#DIV/0!</v>
      </c>
      <c r="D39" s="1412"/>
      <c r="E39" s="1412"/>
      <c r="F39" s="1412"/>
      <c r="G39" s="1412"/>
      <c r="H39" s="1412"/>
      <c r="I39" s="1412"/>
      <c r="J39" s="1412"/>
      <c r="K39" s="619"/>
      <c r="L39" s="1138"/>
      <c r="M39" s="1139"/>
      <c r="N39" s="1139"/>
      <c r="O39" s="1139"/>
      <c r="P39" s="3237" t="str">
        <f>A39</f>
        <v>估价对象XX用房的比较价值（楼面单价，元/平方米）</v>
      </c>
      <c r="Q39" s="3238"/>
      <c r="R39" s="3275" t="e">
        <f>IF(F1="售价",ROUND(AVERAGE(R38:V38),0),ROUND(AVERAGE(R38:V38),1))</f>
        <v>#DIV/0!</v>
      </c>
      <c r="S39" s="3275"/>
      <c r="T39" s="3275"/>
      <c r="U39" s="3275"/>
      <c r="V39" s="3275"/>
      <c r="W39" s="3275"/>
      <c r="X39" s="757"/>
      <c r="Y39" s="757"/>
      <c r="Z39" s="757"/>
      <c r="AA39" s="757"/>
      <c r="AB39" s="757"/>
      <c r="AC39" s="757"/>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6" t="s">
        <v>2704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6" t="s">
        <v>2705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1" customFormat="1" ht="13.5" customHeight="1">
      <c r="A44" s="1140"/>
      <c r="B44" s="1140"/>
      <c r="C44" s="496" t="s">
        <v>2706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1"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2707</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7" customFormat="1" ht="15">
      <c r="A48" s="504" t="s">
        <v>2708</v>
      </c>
      <c r="B48" s="505"/>
      <c r="C48" s="1567" t="str">
        <f>YEAR(C7)&amp;"-"&amp;MONTH(C7)</f>
        <v>2018-4</v>
      </c>
      <c r="D48" s="1568">
        <f>EDATE(C48,-1)</f>
        <v>43160</v>
      </c>
      <c r="E48" s="1568">
        <f t="shared" ref="E48:O48" si="16">EDATE(D48,-1)</f>
        <v>43132</v>
      </c>
      <c r="F48" s="1568">
        <f t="shared" si="16"/>
        <v>43101</v>
      </c>
      <c r="G48" s="1568">
        <f t="shared" si="16"/>
        <v>43070</v>
      </c>
      <c r="H48" s="1568">
        <f t="shared" si="16"/>
        <v>43040</v>
      </c>
      <c r="I48" s="1568">
        <f t="shared" si="16"/>
        <v>43009</v>
      </c>
      <c r="J48" s="1568">
        <f t="shared" si="16"/>
        <v>42979</v>
      </c>
      <c r="K48" s="1568">
        <f t="shared" si="16"/>
        <v>42948</v>
      </c>
      <c r="L48" s="1568">
        <f t="shared" si="16"/>
        <v>42917</v>
      </c>
      <c r="M48" s="1568">
        <f t="shared" si="16"/>
        <v>42887</v>
      </c>
      <c r="N48" s="1568">
        <f t="shared" si="16"/>
        <v>42856</v>
      </c>
      <c r="O48" s="1568">
        <f t="shared" si="16"/>
        <v>42826</v>
      </c>
      <c r="P48" s="1433"/>
      <c r="Q48" s="1434"/>
      <c r="R48" s="1434"/>
      <c r="S48" s="1434"/>
      <c r="T48" s="1434"/>
      <c r="U48" s="1434"/>
      <c r="V48" s="1434"/>
      <c r="W48" s="1434"/>
      <c r="X48" s="1434"/>
      <c r="Y48" s="1434"/>
      <c r="Z48" s="1434"/>
      <c r="AA48" s="1434"/>
      <c r="AB48" s="1434"/>
      <c r="AC48" s="1434"/>
    </row>
    <row r="49" spans="1:29" s="117" customFormat="1" ht="15">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7" customFormat="1" ht="15.75" thickBot="1">
      <c r="A50" s="514" t="s">
        <v>2565</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7" customFormat="1" ht="15">
      <c r="A51" s="520" t="s">
        <v>2530</v>
      </c>
      <c r="B51" s="509"/>
      <c r="C51" s="521" t="s">
        <v>2632</v>
      </c>
      <c r="D51" s="522"/>
      <c r="E51" s="522"/>
      <c r="F51" s="522"/>
      <c r="G51" s="522"/>
      <c r="H51" s="522"/>
      <c r="I51" s="522"/>
      <c r="J51" s="522"/>
      <c r="K51" s="522"/>
      <c r="L51" s="523"/>
      <c r="M51" s="524"/>
      <c r="N51" s="1146"/>
      <c r="O51" s="1146"/>
      <c r="P51" s="1421"/>
      <c r="Q51" s="1418"/>
      <c r="R51" s="1422"/>
      <c r="S51" s="1422"/>
      <c r="T51" s="1422"/>
      <c r="U51" s="1422"/>
      <c r="V51" s="1422"/>
      <c r="W51" s="1422"/>
      <c r="X51" s="1422"/>
      <c r="Y51" s="1422"/>
      <c r="Z51" s="1422"/>
      <c r="AA51" s="1422"/>
      <c r="AB51" s="1422"/>
      <c r="AC51" s="1422"/>
    </row>
    <row r="52" spans="1:29" s="117" customFormat="1" ht="15.75" thickBot="1">
      <c r="A52" s="520"/>
      <c r="B52" s="509"/>
      <c r="C52" s="637">
        <v>100</v>
      </c>
      <c r="D52" s="511"/>
      <c r="E52" s="511"/>
      <c r="F52" s="511"/>
      <c r="G52" s="511"/>
      <c r="H52" s="511"/>
      <c r="I52" s="511"/>
      <c r="J52" s="511"/>
      <c r="K52" s="511"/>
      <c r="L52" s="511"/>
      <c r="M52" s="513"/>
      <c r="N52" s="1146"/>
      <c r="O52" s="1146"/>
      <c r="P52" s="1423"/>
      <c r="Q52" s="1418"/>
      <c r="R52" s="1422"/>
      <c r="S52" s="1422"/>
      <c r="T52" s="1422"/>
      <c r="U52" s="1422"/>
      <c r="V52" s="1422"/>
      <c r="W52" s="1422"/>
      <c r="X52" s="1422"/>
      <c r="Y52" s="1422"/>
      <c r="Z52" s="1422"/>
      <c r="AA52" s="1422"/>
      <c r="AB52" s="1422"/>
      <c r="AC52" s="1422"/>
    </row>
    <row r="53" spans="1:29">
      <c r="A53" s="526" t="s">
        <v>2568</v>
      </c>
      <c r="B53" s="527" t="s">
        <v>2534</v>
      </c>
      <c r="C53" s="528">
        <f>C9</f>
        <v>0</v>
      </c>
      <c r="D53" s="529"/>
      <c r="E53" s="529"/>
      <c r="F53" s="529"/>
      <c r="G53" s="529"/>
      <c r="H53" s="529"/>
      <c r="I53" s="529"/>
      <c r="J53" s="529"/>
      <c r="K53" s="530"/>
      <c r="L53" s="531"/>
      <c r="M53" s="532"/>
      <c r="N53" s="1147"/>
      <c r="O53" s="1147"/>
      <c r="P53" s="1424"/>
      <c r="Q53" s="1418"/>
      <c r="R53" s="1139"/>
      <c r="S53" s="1139"/>
      <c r="T53" s="1139"/>
      <c r="U53" s="1139"/>
      <c r="V53" s="1139"/>
      <c r="W53" s="1139"/>
      <c r="X53" s="1139"/>
      <c r="Y53" s="1139"/>
      <c r="Z53" s="1139"/>
      <c r="AA53" s="1139"/>
      <c r="AB53" s="1139"/>
      <c r="AC53" s="1139"/>
    </row>
    <row r="54" spans="1:29" ht="15.75" thickBot="1">
      <c r="A54" s="533"/>
      <c r="B54" s="534"/>
      <c r="C54" s="535">
        <v>100</v>
      </c>
      <c r="D54" s="535"/>
      <c r="E54" s="535"/>
      <c r="F54" s="535"/>
      <c r="G54" s="535"/>
      <c r="H54" s="535"/>
      <c r="I54" s="535"/>
      <c r="J54" s="535"/>
      <c r="K54" s="535"/>
      <c r="L54" s="535"/>
      <c r="M54" s="536"/>
      <c r="N54" s="1148"/>
      <c r="O54" s="1148"/>
      <c r="P54" s="1424"/>
      <c r="Q54" s="1418"/>
      <c r="R54" s="1139"/>
      <c r="S54" s="1139"/>
      <c r="T54" s="1139"/>
      <c r="U54" s="1139"/>
      <c r="V54" s="1139"/>
      <c r="W54" s="1139"/>
      <c r="X54" s="1139"/>
      <c r="Y54" s="1139"/>
      <c r="Z54" s="1139"/>
      <c r="AA54" s="1139"/>
      <c r="AB54" s="1139"/>
      <c r="AC54" s="1139"/>
    </row>
    <row r="55" spans="1:29" ht="27.75" thickTop="1">
      <c r="A55" s="533"/>
      <c r="B55" s="537" t="s">
        <v>2537</v>
      </c>
      <c r="C55" s="538" t="s">
        <v>2569</v>
      </c>
      <c r="D55" s="538" t="s">
        <v>2570</v>
      </c>
      <c r="E55" s="538" t="s">
        <v>2571</v>
      </c>
      <c r="F55" s="538" t="s">
        <v>2572</v>
      </c>
      <c r="G55" s="538" t="s">
        <v>2573</v>
      </c>
      <c r="H55" s="538" t="s">
        <v>2574</v>
      </c>
      <c r="I55" s="538" t="s">
        <v>2575</v>
      </c>
      <c r="J55" s="538"/>
      <c r="K55" s="539"/>
      <c r="L55" s="540"/>
      <c r="M55" s="541"/>
      <c r="N55" s="1147"/>
      <c r="O55" s="1147"/>
      <c r="P55" s="1424"/>
      <c r="Q55" s="1418"/>
      <c r="R55" s="1139"/>
      <c r="S55" s="1139"/>
      <c r="T55" s="1139"/>
      <c r="U55" s="1139"/>
      <c r="V55" s="1139"/>
      <c r="W55" s="1139"/>
      <c r="X55" s="1139"/>
      <c r="Y55" s="1139"/>
      <c r="Z55" s="1139"/>
      <c r="AA55" s="1139"/>
      <c r="AB55" s="1139"/>
      <c r="AC55" s="1139"/>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8"/>
      <c r="O56" s="1148"/>
      <c r="P56" s="1424"/>
      <c r="Q56" s="1418"/>
      <c r="R56" s="1139"/>
      <c r="S56" s="1139"/>
      <c r="T56" s="1139"/>
      <c r="U56" s="1139"/>
      <c r="V56" s="1139"/>
      <c r="W56" s="1139"/>
      <c r="X56" s="1139"/>
      <c r="Y56" s="1139"/>
      <c r="Z56" s="1139"/>
      <c r="AA56" s="1139"/>
      <c r="AB56" s="1139"/>
      <c r="AC56" s="1139"/>
    </row>
    <row r="57" spans="1:29" ht="15.75" thickTop="1">
      <c r="A57" s="533"/>
      <c r="B57" s="658">
        <f>B11</f>
        <v>111</v>
      </c>
      <c r="C57" s="548"/>
      <c r="D57" s="548"/>
      <c r="E57" s="548"/>
      <c r="F57" s="548"/>
      <c r="G57" s="548"/>
      <c r="H57" s="548"/>
      <c r="I57" s="548"/>
      <c r="J57" s="548"/>
      <c r="K57" s="549"/>
      <c r="L57" s="550"/>
      <c r="M57" s="551"/>
      <c r="N57" s="1147"/>
      <c r="O57" s="1147"/>
      <c r="P57" s="1424"/>
      <c r="Q57" s="1418"/>
      <c r="R57" s="1139"/>
      <c r="S57" s="1139"/>
      <c r="T57" s="1139"/>
      <c r="U57" s="1139"/>
      <c r="V57" s="1139"/>
      <c r="W57" s="1139"/>
      <c r="X57" s="1139"/>
      <c r="Y57" s="1139"/>
      <c r="Z57" s="1139"/>
      <c r="AA57" s="1139"/>
      <c r="AB57" s="1139"/>
      <c r="AC57" s="1139"/>
    </row>
    <row r="58" spans="1:29" ht="15.75" thickBot="1">
      <c r="A58" s="533"/>
      <c r="B58" s="534"/>
      <c r="C58" s="559"/>
      <c r="D58" s="535"/>
      <c r="E58" s="535"/>
      <c r="F58" s="535"/>
      <c r="G58" s="535"/>
      <c r="H58" s="535"/>
      <c r="I58" s="535"/>
      <c r="J58" s="535"/>
      <c r="K58" s="535"/>
      <c r="L58" s="535"/>
      <c r="M58" s="536"/>
      <c r="N58" s="1148"/>
      <c r="O58" s="1148"/>
      <c r="P58" s="1424"/>
      <c r="Q58" s="1418"/>
      <c r="R58" s="1139"/>
      <c r="S58" s="1139"/>
      <c r="T58" s="1139"/>
      <c r="U58" s="1139"/>
      <c r="V58" s="1139"/>
      <c r="W58" s="1139"/>
      <c r="X58" s="1139"/>
      <c r="Y58" s="1139"/>
      <c r="Z58" s="1139"/>
      <c r="AA58" s="1139"/>
      <c r="AB58" s="1139"/>
      <c r="AC58" s="1139"/>
    </row>
    <row r="59" spans="1:29" s="470" customFormat="1" ht="15.75" thickTop="1">
      <c r="A59" s="552"/>
      <c r="B59" s="537">
        <f>B12</f>
        <v>111</v>
      </c>
      <c r="C59" s="548"/>
      <c r="D59" s="548"/>
      <c r="E59" s="548"/>
      <c r="F59" s="548"/>
      <c r="G59" s="553"/>
      <c r="H59" s="554"/>
      <c r="I59" s="554"/>
      <c r="J59" s="554"/>
      <c r="K59" s="554"/>
      <c r="L59" s="555"/>
      <c r="M59" s="556"/>
      <c r="N59" s="1149"/>
      <c r="O59" s="1149"/>
      <c r="P59" s="1425"/>
      <c r="Q59" s="1426"/>
      <c r="R59" s="1427"/>
      <c r="S59" s="1427"/>
      <c r="T59" s="1427"/>
      <c r="U59" s="1427"/>
      <c r="V59" s="1427"/>
      <c r="W59" s="1427"/>
      <c r="X59" s="1427"/>
      <c r="Y59" s="1427"/>
      <c r="Z59" s="1427"/>
      <c r="AA59" s="1427"/>
      <c r="AB59" s="1427"/>
      <c r="AC59" s="1427"/>
    </row>
    <row r="60" spans="1:29" s="470" customFormat="1" ht="15.75" thickBot="1">
      <c r="A60" s="552"/>
      <c r="B60" s="542"/>
      <c r="C60" s="559"/>
      <c r="D60" s="535"/>
      <c r="E60" s="535"/>
      <c r="F60" s="535"/>
      <c r="G60" s="535"/>
      <c r="H60" s="535"/>
      <c r="I60" s="535"/>
      <c r="J60" s="535"/>
      <c r="K60" s="535"/>
      <c r="L60" s="535"/>
      <c r="M60" s="536"/>
      <c r="N60" s="1148"/>
      <c r="O60" s="1148"/>
      <c r="P60" s="1425"/>
      <c r="Q60" s="1426"/>
      <c r="R60" s="1427"/>
      <c r="S60" s="1427"/>
      <c r="T60" s="1427"/>
      <c r="U60" s="1427"/>
      <c r="V60" s="1427"/>
      <c r="W60" s="1427"/>
      <c r="X60" s="1427"/>
      <c r="Y60" s="1427"/>
      <c r="Z60" s="1427"/>
      <c r="AA60" s="1427"/>
      <c r="AB60" s="1427"/>
      <c r="AC60" s="1427"/>
    </row>
    <row r="61" spans="1:29" s="470" customFormat="1" ht="15.75" thickTop="1">
      <c r="A61" s="552"/>
      <c r="B61" s="537">
        <f>B13</f>
        <v>111</v>
      </c>
      <c r="C61" s="553"/>
      <c r="D61" s="553"/>
      <c r="E61" s="553"/>
      <c r="F61" s="553"/>
      <c r="G61" s="553"/>
      <c r="H61" s="554"/>
      <c r="I61" s="554"/>
      <c r="J61" s="554"/>
      <c r="K61" s="554"/>
      <c r="L61" s="555"/>
      <c r="M61" s="556"/>
      <c r="N61" s="1149"/>
      <c r="O61" s="1149"/>
      <c r="P61" s="1428"/>
      <c r="Q61" s="1429"/>
      <c r="R61" s="1427"/>
      <c r="S61" s="1427"/>
      <c r="T61" s="1427"/>
      <c r="U61" s="1427"/>
      <c r="V61" s="1427"/>
      <c r="W61" s="1427"/>
      <c r="X61" s="1427"/>
      <c r="Y61" s="1427"/>
      <c r="Z61" s="1427"/>
      <c r="AA61" s="1427"/>
      <c r="AB61" s="1427"/>
      <c r="AC61" s="1427"/>
    </row>
    <row r="62" spans="1:29" s="470" customFormat="1" ht="15.75" thickBot="1">
      <c r="A62" s="552"/>
      <c r="B62" s="542"/>
      <c r="C62" s="559"/>
      <c r="D62" s="559"/>
      <c r="E62" s="559"/>
      <c r="F62" s="559"/>
      <c r="G62" s="559"/>
      <c r="H62" s="561"/>
      <c r="I62" s="561"/>
      <c r="J62" s="561"/>
      <c r="K62" s="561"/>
      <c r="L62" s="561"/>
      <c r="M62" s="562"/>
      <c r="N62" s="1149"/>
      <c r="O62" s="1149"/>
      <c r="P62" s="1425"/>
      <c r="Q62" s="1426"/>
      <c r="R62" s="1427"/>
      <c r="S62" s="1427"/>
      <c r="T62" s="1427"/>
      <c r="U62" s="1427"/>
      <c r="V62" s="1427"/>
      <c r="W62" s="1427"/>
      <c r="X62" s="1427"/>
      <c r="Y62" s="1427"/>
      <c r="Z62" s="1427"/>
      <c r="AA62" s="1427"/>
      <c r="AB62" s="1427"/>
      <c r="AC62" s="1427"/>
    </row>
    <row r="63" spans="1:29" ht="15" thickTop="1">
      <c r="A63" s="526" t="s">
        <v>2539</v>
      </c>
      <c r="B63" s="527" t="s">
        <v>2582</v>
      </c>
      <c r="C63" s="572" t="s">
        <v>2577</v>
      </c>
      <c r="D63" s="572" t="s">
        <v>2578</v>
      </c>
      <c r="E63" s="572" t="s">
        <v>2579</v>
      </c>
      <c r="F63" s="572" t="s">
        <v>2580</v>
      </c>
      <c r="G63" s="572" t="s">
        <v>2581</v>
      </c>
      <c r="H63" s="528"/>
      <c r="I63" s="528"/>
      <c r="J63" s="528"/>
      <c r="K63" s="573"/>
      <c r="L63" s="574"/>
      <c r="M63" s="575"/>
      <c r="N63" s="1147"/>
      <c r="O63" s="1147"/>
      <c r="P63" s="1430"/>
      <c r="Q63" s="1418"/>
      <c r="R63" s="1139"/>
      <c r="S63" s="1139"/>
      <c r="T63" s="1139"/>
      <c r="U63" s="1139"/>
      <c r="V63" s="1139"/>
      <c r="W63" s="1139"/>
      <c r="X63" s="1139"/>
      <c r="Y63" s="1139"/>
      <c r="Z63" s="1139"/>
      <c r="AA63" s="1139"/>
      <c r="AB63" s="1139"/>
      <c r="AC63" s="1139"/>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8"/>
      <c r="O64" s="1148"/>
      <c r="P64" s="1424"/>
      <c r="Q64" s="1418"/>
      <c r="R64" s="1139"/>
      <c r="S64" s="1139"/>
      <c r="T64" s="1139"/>
      <c r="U64" s="1139"/>
      <c r="V64" s="1139"/>
      <c r="W64" s="1139"/>
      <c r="X64" s="1139"/>
      <c r="Y64" s="1139"/>
      <c r="Z64" s="1139"/>
      <c r="AA64" s="1139"/>
      <c r="AB64" s="1139"/>
      <c r="AC64" s="1139"/>
    </row>
    <row r="65" spans="1:29" ht="15.75" thickTop="1">
      <c r="A65" s="533"/>
      <c r="B65" s="537" t="s">
        <v>2583</v>
      </c>
      <c r="C65" s="577" t="s">
        <v>2577</v>
      </c>
      <c r="D65" s="577" t="s">
        <v>2578</v>
      </c>
      <c r="E65" s="577" t="s">
        <v>2579</v>
      </c>
      <c r="F65" s="577" t="s">
        <v>2580</v>
      </c>
      <c r="G65" s="577" t="s">
        <v>2581</v>
      </c>
      <c r="H65" s="538"/>
      <c r="I65" s="538"/>
      <c r="J65" s="538"/>
      <c r="K65" s="539"/>
      <c r="L65" s="540"/>
      <c r="M65" s="541"/>
      <c r="N65" s="1147"/>
      <c r="O65" s="1147"/>
      <c r="P65" s="1424"/>
      <c r="Q65" s="1418"/>
      <c r="R65" s="1139"/>
      <c r="S65" s="1139"/>
      <c r="T65" s="1139"/>
      <c r="U65" s="1139"/>
      <c r="V65" s="1139"/>
      <c r="W65" s="1139"/>
      <c r="X65" s="1139"/>
      <c r="Y65" s="1139"/>
      <c r="Z65" s="1139"/>
      <c r="AA65" s="1139"/>
      <c r="AB65" s="1139"/>
      <c r="AC65" s="1139"/>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8"/>
      <c r="O66" s="1148"/>
      <c r="P66" s="1424"/>
      <c r="Q66" s="1418"/>
      <c r="R66" s="1139"/>
      <c r="S66" s="1139"/>
      <c r="T66" s="1139"/>
      <c r="U66" s="1139"/>
      <c r="V66" s="1139"/>
      <c r="W66" s="1139"/>
      <c r="X66" s="1139"/>
      <c r="Y66" s="1139"/>
      <c r="Z66" s="1139"/>
      <c r="AA66" s="1139"/>
      <c r="AB66" s="1139"/>
      <c r="AC66" s="1139"/>
    </row>
    <row r="67" spans="1:29" ht="15.75" thickTop="1">
      <c r="A67" s="533"/>
      <c r="B67" s="545" t="s">
        <v>2669</v>
      </c>
      <c r="C67" s="658" t="s">
        <v>2655</v>
      </c>
      <c r="D67" s="658" t="s">
        <v>2656</v>
      </c>
      <c r="E67" s="658" t="s">
        <v>2657</v>
      </c>
      <c r="F67" s="658" t="s">
        <v>2658</v>
      </c>
      <c r="G67" s="658" t="s">
        <v>2659</v>
      </c>
      <c r="H67" s="538"/>
      <c r="I67" s="538"/>
      <c r="J67" s="538"/>
      <c r="K67" s="538"/>
      <c r="L67" s="538"/>
      <c r="M67" s="1377"/>
      <c r="N67" s="1148"/>
      <c r="O67" s="1148"/>
      <c r="P67" s="1424"/>
      <c r="Q67" s="1418"/>
      <c r="R67" s="1139"/>
      <c r="S67" s="1139"/>
      <c r="T67" s="1139"/>
      <c r="U67" s="1139"/>
      <c r="V67" s="1139"/>
      <c r="W67" s="1139"/>
      <c r="X67" s="1139"/>
      <c r="Y67" s="1139"/>
      <c r="Z67" s="1139"/>
      <c r="AA67" s="1139"/>
      <c r="AB67" s="1139"/>
      <c r="AC67" s="1139"/>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48"/>
      <c r="O68" s="1148"/>
      <c r="P68" s="1424"/>
      <c r="Q68" s="1418"/>
      <c r="R68" s="1139"/>
      <c r="S68" s="1139"/>
      <c r="T68" s="1139"/>
      <c r="U68" s="1139"/>
      <c r="V68" s="1139"/>
      <c r="W68" s="1139"/>
      <c r="X68" s="1139"/>
      <c r="Y68" s="1139"/>
      <c r="Z68" s="1139"/>
      <c r="AA68" s="1139"/>
      <c r="AB68" s="1139"/>
      <c r="AC68" s="1139"/>
    </row>
    <row r="69" spans="1:29" ht="15.75" thickTop="1">
      <c r="A69" s="533"/>
      <c r="B69" s="537" t="s">
        <v>2589</v>
      </c>
      <c r="C69" s="577" t="s">
        <v>2577</v>
      </c>
      <c r="D69" s="577" t="s">
        <v>2578</v>
      </c>
      <c r="E69" s="577" t="s">
        <v>2579</v>
      </c>
      <c r="F69" s="577" t="s">
        <v>2580</v>
      </c>
      <c r="G69" s="577" t="s">
        <v>2581</v>
      </c>
      <c r="H69" s="538"/>
      <c r="I69" s="538"/>
      <c r="J69" s="538"/>
      <c r="K69" s="539"/>
      <c r="L69" s="540"/>
      <c r="M69" s="541"/>
      <c r="N69" s="1147"/>
      <c r="O69" s="1147"/>
      <c r="P69" s="1424"/>
      <c r="Q69" s="1418"/>
      <c r="R69" s="1139"/>
      <c r="S69" s="1139"/>
      <c r="T69" s="1139"/>
      <c r="U69" s="1139"/>
      <c r="V69" s="1139"/>
      <c r="W69" s="1139"/>
      <c r="X69" s="1139"/>
      <c r="Y69" s="1139"/>
      <c r="Z69" s="1139"/>
      <c r="AA69" s="1139"/>
      <c r="AB69" s="1139"/>
      <c r="AC69" s="1139"/>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8"/>
      <c r="O70" s="1148"/>
      <c r="P70" s="1424"/>
      <c r="Q70" s="1418"/>
      <c r="R70" s="1139"/>
      <c r="S70" s="1139"/>
      <c r="T70" s="1139"/>
      <c r="U70" s="1139"/>
      <c r="V70" s="1139"/>
      <c r="W70" s="1139"/>
      <c r="X70" s="1139"/>
      <c r="Y70" s="1139"/>
      <c r="Z70" s="1139"/>
      <c r="AA70" s="1139"/>
      <c r="AB70" s="1139"/>
      <c r="AC70" s="1139"/>
    </row>
    <row r="71" spans="1:29" ht="15.75" thickTop="1">
      <c r="A71" s="533"/>
      <c r="B71" s="537" t="s">
        <v>2709</v>
      </c>
      <c r="C71" s="553"/>
      <c r="D71" s="553"/>
      <c r="E71" s="553"/>
      <c r="F71" s="553"/>
      <c r="G71" s="553"/>
      <c r="H71" s="582"/>
      <c r="I71" s="582"/>
      <c r="J71" s="582"/>
      <c r="K71" s="583"/>
      <c r="L71" s="584"/>
      <c r="M71" s="585"/>
      <c r="N71" s="1147"/>
      <c r="O71" s="1147"/>
      <c r="P71" s="1424"/>
      <c r="Q71" s="1418"/>
      <c r="R71" s="1139"/>
      <c r="S71" s="1139"/>
      <c r="T71" s="1139"/>
      <c r="U71" s="1139"/>
      <c r="V71" s="1139"/>
      <c r="W71" s="1139"/>
      <c r="X71" s="1139"/>
      <c r="Y71" s="1139"/>
      <c r="Z71" s="1139"/>
      <c r="AA71" s="1139"/>
      <c r="AB71" s="1139"/>
      <c r="AC71" s="1139"/>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8"/>
      <c r="O72" s="1148"/>
      <c r="P72" s="1424"/>
      <c r="Q72" s="1418"/>
      <c r="R72" s="1139"/>
      <c r="S72" s="1139"/>
      <c r="T72" s="1139"/>
      <c r="U72" s="1139"/>
      <c r="V72" s="1139"/>
      <c r="W72" s="1139"/>
      <c r="X72" s="1139"/>
      <c r="Y72" s="1139"/>
      <c r="Z72" s="1139"/>
      <c r="AA72" s="1139"/>
      <c r="AB72" s="1139"/>
      <c r="AC72" s="1139"/>
    </row>
    <row r="73" spans="1:29" s="117" customFormat="1" ht="15.75" thickTop="1">
      <c r="A73" s="578"/>
      <c r="B73" s="537">
        <f>B23</f>
        <v>111</v>
      </c>
      <c r="C73" s="548"/>
      <c r="D73" s="548"/>
      <c r="E73" s="548"/>
      <c r="F73" s="548"/>
      <c r="G73" s="553"/>
      <c r="H73" s="553"/>
      <c r="I73" s="553"/>
      <c r="J73" s="553"/>
      <c r="K73" s="553"/>
      <c r="L73" s="579"/>
      <c r="M73" s="580"/>
      <c r="N73" s="1146"/>
      <c r="O73" s="1146"/>
      <c r="P73" s="1424"/>
      <c r="Q73" s="1418"/>
      <c r="R73" s="1422"/>
      <c r="S73" s="1422"/>
      <c r="T73" s="1422"/>
      <c r="U73" s="1422"/>
      <c r="V73" s="1422"/>
      <c r="W73" s="1422"/>
      <c r="X73" s="1422"/>
      <c r="Y73" s="1422"/>
      <c r="Z73" s="1422"/>
      <c r="AA73" s="1422"/>
      <c r="AB73" s="1422"/>
      <c r="AC73" s="1422"/>
    </row>
    <row r="74" spans="1:29" s="117" customFormat="1" ht="15.75" thickBot="1">
      <c r="A74" s="578"/>
      <c r="B74" s="542"/>
      <c r="C74" s="559"/>
      <c r="D74" s="535"/>
      <c r="E74" s="535"/>
      <c r="F74" s="535"/>
      <c r="G74" s="535"/>
      <c r="H74" s="535"/>
      <c r="I74" s="535"/>
      <c r="J74" s="535"/>
      <c r="K74" s="535"/>
      <c r="L74" s="535"/>
      <c r="M74" s="536"/>
      <c r="N74" s="1148"/>
      <c r="O74" s="1148"/>
      <c r="P74" s="1424"/>
      <c r="Q74" s="1418"/>
      <c r="R74" s="1422"/>
      <c r="S74" s="1422"/>
      <c r="T74" s="1422"/>
      <c r="U74" s="1422"/>
      <c r="V74" s="1422"/>
      <c r="W74" s="1422"/>
      <c r="X74" s="1422"/>
      <c r="Y74" s="1422"/>
      <c r="Z74" s="1422"/>
      <c r="AA74" s="1422"/>
      <c r="AB74" s="1422"/>
      <c r="AC74" s="1422"/>
    </row>
    <row r="75" spans="1:29" s="117" customFormat="1" ht="15.75" thickTop="1">
      <c r="A75" s="578"/>
      <c r="B75" s="537">
        <f>B24</f>
        <v>111</v>
      </c>
      <c r="C75" s="548"/>
      <c r="D75" s="548"/>
      <c r="E75" s="548"/>
      <c r="F75" s="548"/>
      <c r="G75" s="553"/>
      <c r="H75" s="553"/>
      <c r="I75" s="553"/>
      <c r="J75" s="553"/>
      <c r="K75" s="553"/>
      <c r="L75" s="553"/>
      <c r="M75" s="580"/>
      <c r="N75" s="1146"/>
      <c r="O75" s="1146"/>
      <c r="P75" s="1424"/>
      <c r="Q75" s="1418"/>
      <c r="R75" s="1422"/>
      <c r="S75" s="1422"/>
      <c r="T75" s="1422"/>
      <c r="U75" s="1422"/>
      <c r="V75" s="1422"/>
      <c r="W75" s="1422"/>
      <c r="X75" s="1422"/>
      <c r="Y75" s="1422"/>
      <c r="Z75" s="1422"/>
      <c r="AA75" s="1422"/>
      <c r="AB75" s="1422"/>
      <c r="AC75" s="1422"/>
    </row>
    <row r="76" spans="1:29" s="117" customFormat="1" ht="15.75" thickBot="1">
      <c r="A76" s="578"/>
      <c r="B76" s="542"/>
      <c r="C76" s="559"/>
      <c r="D76" s="535"/>
      <c r="E76" s="535"/>
      <c r="F76" s="535"/>
      <c r="G76" s="535"/>
      <c r="H76" s="535"/>
      <c r="I76" s="535"/>
      <c r="J76" s="535"/>
      <c r="K76" s="535"/>
      <c r="L76" s="535"/>
      <c r="M76" s="536"/>
      <c r="N76" s="1148"/>
      <c r="O76" s="1148"/>
      <c r="P76" s="1424"/>
      <c r="Q76" s="1418"/>
      <c r="R76" s="1422"/>
      <c r="S76" s="1422"/>
      <c r="T76" s="1422"/>
      <c r="U76" s="1422"/>
      <c r="V76" s="1422"/>
      <c r="W76" s="1422"/>
      <c r="X76" s="1422"/>
      <c r="Y76" s="1422"/>
      <c r="Z76" s="1422"/>
      <c r="AA76" s="1422"/>
      <c r="AB76" s="1422"/>
      <c r="AC76" s="1422"/>
    </row>
    <row r="77" spans="1:29" s="470" customFormat="1" ht="15.75" thickTop="1">
      <c r="A77" s="552"/>
      <c r="B77" s="537">
        <f>B25</f>
        <v>111</v>
      </c>
      <c r="C77" s="553"/>
      <c r="D77" s="553"/>
      <c r="E77" s="553"/>
      <c r="F77" s="553"/>
      <c r="G77" s="553"/>
      <c r="H77" s="554"/>
      <c r="I77" s="554"/>
      <c r="J77" s="554"/>
      <c r="K77" s="554"/>
      <c r="L77" s="555"/>
      <c r="M77" s="556"/>
      <c r="N77" s="1149"/>
      <c r="O77" s="1149"/>
      <c r="P77" s="1425"/>
      <c r="Q77" s="1426"/>
      <c r="R77" s="1427"/>
      <c r="S77" s="1427"/>
      <c r="T77" s="1427"/>
      <c r="U77" s="1427"/>
      <c r="V77" s="1427"/>
      <c r="W77" s="1427"/>
      <c r="X77" s="1427"/>
      <c r="Y77" s="1427"/>
      <c r="Z77" s="1427"/>
      <c r="AA77" s="1427"/>
      <c r="AB77" s="1427"/>
      <c r="AC77" s="1427"/>
    </row>
    <row r="78" spans="1:29" s="470" customFormat="1" ht="15.75" thickBot="1">
      <c r="A78" s="552"/>
      <c r="B78" s="542"/>
      <c r="C78" s="559"/>
      <c r="D78" s="559"/>
      <c r="E78" s="559"/>
      <c r="F78" s="559"/>
      <c r="G78" s="535"/>
      <c r="H78" s="535"/>
      <c r="I78" s="535"/>
      <c r="J78" s="535"/>
      <c r="K78" s="535"/>
      <c r="L78" s="535"/>
      <c r="M78" s="536"/>
      <c r="N78" s="1149"/>
      <c r="O78" s="1149"/>
      <c r="P78" s="1425"/>
      <c r="Q78" s="1426"/>
      <c r="R78" s="1427"/>
      <c r="S78" s="1427"/>
      <c r="T78" s="1427"/>
      <c r="U78" s="1427"/>
      <c r="V78" s="1427"/>
      <c r="W78" s="1427"/>
      <c r="X78" s="1427"/>
      <c r="Y78" s="1427"/>
      <c r="Z78" s="1427"/>
      <c r="AA78" s="1427"/>
      <c r="AB78" s="1427"/>
      <c r="AC78" s="1427"/>
    </row>
    <row r="79" spans="1:29" ht="27.75" thickTop="1">
      <c r="A79" s="526" t="s">
        <v>2543</v>
      </c>
      <c r="B79" s="527" t="s">
        <v>2710</v>
      </c>
      <c r="C79" s="528">
        <f>C26</f>
        <v>0</v>
      </c>
      <c r="D79" s="529"/>
      <c r="E79" s="529"/>
      <c r="F79" s="529"/>
      <c r="G79" s="529"/>
      <c r="H79" s="529"/>
      <c r="I79" s="529"/>
      <c r="J79" s="529"/>
      <c r="K79" s="530"/>
      <c r="L79" s="531"/>
      <c r="M79" s="532"/>
      <c r="N79" s="1147"/>
      <c r="O79" s="1147"/>
      <c r="P79" s="1424"/>
      <c r="Q79" s="1418"/>
      <c r="R79" s="1139"/>
      <c r="S79" s="1139"/>
      <c r="T79" s="1139"/>
      <c r="U79" s="1139"/>
      <c r="V79" s="1139"/>
      <c r="W79" s="1139"/>
      <c r="X79" s="1139"/>
      <c r="Y79" s="1139"/>
      <c r="Z79" s="1139"/>
      <c r="AA79" s="1139"/>
      <c r="AB79" s="1139"/>
      <c r="AC79" s="1139"/>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3"/>
      <c r="B81" s="537" t="s">
        <v>2711</v>
      </c>
      <c r="C81" s="659"/>
      <c r="D81" s="659"/>
      <c r="E81" s="659"/>
      <c r="F81" s="659"/>
      <c r="G81" s="659"/>
      <c r="H81" s="659"/>
      <c r="I81" s="659"/>
      <c r="J81" s="659"/>
      <c r="K81" s="660"/>
      <c r="L81" s="661"/>
      <c r="M81" s="662"/>
      <c r="N81" s="1146"/>
      <c r="O81" s="1146"/>
      <c r="P81" s="1424"/>
      <c r="Q81" s="1418"/>
      <c r="R81" s="1139"/>
      <c r="S81" s="1139"/>
      <c r="T81" s="1139"/>
      <c r="U81" s="1139"/>
      <c r="V81" s="1139"/>
      <c r="W81" s="1139"/>
      <c r="X81" s="1139"/>
      <c r="Y81" s="1139"/>
      <c r="Z81" s="1139"/>
      <c r="AA81" s="1139"/>
      <c r="AB81" s="1139"/>
      <c r="AC81" s="1139"/>
    </row>
    <row r="82" spans="1:29" s="470" customFormat="1" ht="15.75" thickBot="1">
      <c r="A82" s="552"/>
      <c r="B82" s="542"/>
      <c r="C82" s="559"/>
      <c r="D82" s="535"/>
      <c r="E82" s="535"/>
      <c r="F82" s="535"/>
      <c r="G82" s="535"/>
      <c r="H82" s="535"/>
      <c r="I82" s="535"/>
      <c r="J82" s="535"/>
      <c r="K82" s="535"/>
      <c r="L82" s="535"/>
      <c r="M82" s="536"/>
      <c r="N82" s="1148"/>
      <c r="O82" s="1148"/>
      <c r="P82" s="1425"/>
      <c r="Q82" s="1426"/>
      <c r="R82" s="1427"/>
      <c r="S82" s="1427"/>
      <c r="T82" s="1427"/>
      <c r="U82" s="1427"/>
      <c r="V82" s="1427"/>
      <c r="W82" s="1427"/>
      <c r="X82" s="1427"/>
      <c r="Y82" s="1427"/>
      <c r="Z82" s="1427"/>
      <c r="AA82" s="1427"/>
      <c r="AB82" s="1427"/>
      <c r="AC82" s="1427"/>
    </row>
    <row r="83" spans="1:29" ht="15" thickTop="1">
      <c r="A83" s="598"/>
      <c r="B83" s="537" t="s">
        <v>2596</v>
      </c>
      <c r="C83" s="553"/>
      <c r="D83" s="553"/>
      <c r="E83" s="582"/>
      <c r="F83" s="582"/>
      <c r="G83" s="582"/>
      <c r="H83" s="582"/>
      <c r="I83" s="582"/>
      <c r="J83" s="582"/>
      <c r="K83" s="583"/>
      <c r="L83" s="584"/>
      <c r="M83" s="585"/>
      <c r="N83" s="1147"/>
      <c r="O83" s="1147"/>
      <c r="P83" s="1424"/>
      <c r="Q83" s="1418"/>
      <c r="R83" s="1139"/>
      <c r="S83" s="1139"/>
      <c r="T83" s="1139"/>
      <c r="U83" s="1139"/>
      <c r="V83" s="1139"/>
      <c r="W83" s="1139"/>
      <c r="X83" s="1139"/>
      <c r="Y83" s="1139"/>
      <c r="Z83" s="1139"/>
      <c r="AA83" s="1139"/>
      <c r="AB83" s="1139"/>
      <c r="AC83" s="1139"/>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8"/>
      <c r="B85" s="537" t="s">
        <v>2712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7"/>
      <c r="O85" s="1147"/>
      <c r="P85" s="1424"/>
      <c r="Q85" s="1418"/>
      <c r="R85" s="1139"/>
      <c r="S85" s="1139"/>
      <c r="T85" s="1139"/>
      <c r="U85" s="1139"/>
      <c r="V85" s="1139"/>
      <c r="W85" s="1139"/>
      <c r="X85" s="1139"/>
      <c r="Y85" s="1139"/>
      <c r="Z85" s="1139"/>
      <c r="AA85" s="1139"/>
      <c r="AB85" s="1139"/>
      <c r="AC85" s="1139"/>
    </row>
    <row r="86" spans="1:29">
      <c r="A86" s="598"/>
      <c r="B86" s="545"/>
      <c r="C86" s="602">
        <v>0.5</v>
      </c>
      <c r="D86" s="602">
        <v>0.6</v>
      </c>
      <c r="E86" s="602">
        <v>0.7</v>
      </c>
      <c r="F86" s="602">
        <v>0.8</v>
      </c>
      <c r="G86" s="602">
        <v>0.9</v>
      </c>
      <c r="H86" s="602">
        <v>1.0001</v>
      </c>
      <c r="I86" s="621"/>
      <c r="J86" s="621"/>
      <c r="K86" s="622"/>
      <c r="L86" s="623"/>
      <c r="M86" s="624"/>
      <c r="N86" s="1147"/>
      <c r="O86" s="1147"/>
      <c r="P86" s="1424"/>
      <c r="Q86" s="1418"/>
      <c r="R86" s="1139"/>
      <c r="S86" s="1139"/>
      <c r="T86" s="1139"/>
      <c r="U86" s="1139"/>
      <c r="V86" s="1139"/>
      <c r="W86" s="1139"/>
      <c r="X86" s="1139"/>
      <c r="Y86" s="1139"/>
      <c r="Z86" s="1139"/>
      <c r="AA86" s="1139"/>
      <c r="AB86" s="1139"/>
      <c r="AC86" s="1139"/>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8"/>
      <c r="B88" s="545" t="s">
        <v>2713</v>
      </c>
      <c r="C88" s="529"/>
      <c r="D88" s="529"/>
      <c r="E88" s="529"/>
      <c r="F88" s="529"/>
      <c r="G88" s="529"/>
      <c r="H88" s="529"/>
      <c r="I88" s="529"/>
      <c r="J88" s="529"/>
      <c r="K88" s="530"/>
      <c r="L88" s="531"/>
      <c r="M88" s="532"/>
      <c r="N88" s="1147"/>
      <c r="O88" s="1147"/>
      <c r="P88" s="1424"/>
      <c r="Q88" s="1418"/>
      <c r="R88" s="1139"/>
      <c r="S88" s="1139"/>
      <c r="T88" s="1139"/>
      <c r="U88" s="1139"/>
      <c r="V88" s="1139"/>
      <c r="W88" s="1139"/>
      <c r="X88" s="1139"/>
      <c r="Y88" s="1139"/>
      <c r="Z88" s="1139"/>
      <c r="AA88" s="1139"/>
      <c r="AB88" s="1139"/>
      <c r="AC88" s="1139"/>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8"/>
      <c r="O89" s="1148"/>
      <c r="P89" s="1424"/>
      <c r="Q89" s="1418"/>
      <c r="R89" s="1139"/>
      <c r="S89" s="1139"/>
      <c r="T89" s="1139"/>
      <c r="U89" s="1139"/>
      <c r="V89" s="1139"/>
      <c r="W89" s="1139"/>
      <c r="X89" s="1139"/>
      <c r="Y89" s="1139"/>
      <c r="Z89" s="1139"/>
      <c r="AA89" s="1139"/>
      <c r="AB89" s="1139"/>
      <c r="AC89" s="1139"/>
    </row>
    <row r="90" spans="1:29" s="470" customFormat="1" ht="15" thickTop="1">
      <c r="A90" s="592"/>
      <c r="B90" s="537" t="s">
        <v>2714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49"/>
      <c r="O90" s="1149"/>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49"/>
      <c r="O91" s="1149"/>
      <c r="P91" s="1425"/>
      <c r="Q91" s="1426"/>
      <c r="R91" s="1427"/>
      <c r="S91" s="1427"/>
      <c r="T91" s="1427"/>
      <c r="U91" s="1427"/>
      <c r="V91" s="1427"/>
      <c r="W91" s="1427"/>
      <c r="X91" s="1427"/>
      <c r="Y91" s="1427"/>
      <c r="Z91" s="1427"/>
      <c r="AA91" s="1427"/>
      <c r="AB91" s="1427"/>
      <c r="AC91" s="1427"/>
    </row>
    <row r="92" spans="1:29" s="470" customFormat="1" ht="15.75" thickBot="1">
      <c r="A92" s="552"/>
      <c r="B92" s="542"/>
      <c r="C92" s="559"/>
      <c r="D92" s="535"/>
      <c r="E92" s="535"/>
      <c r="F92" s="535"/>
      <c r="G92" s="535"/>
      <c r="H92" s="535"/>
      <c r="I92" s="535"/>
      <c r="J92" s="535"/>
      <c r="K92" s="535"/>
      <c r="L92" s="535"/>
      <c r="M92" s="536"/>
      <c r="N92" s="1149"/>
      <c r="O92" s="1149"/>
      <c r="P92" s="1425"/>
      <c r="Q92" s="1426"/>
      <c r="R92" s="1427"/>
      <c r="S92" s="1427"/>
      <c r="T92" s="1427"/>
      <c r="U92" s="1427"/>
      <c r="V92" s="1427"/>
      <c r="W92" s="1427"/>
      <c r="X92" s="1427"/>
      <c r="Y92" s="1427"/>
      <c r="Z92" s="1427"/>
      <c r="AA92" s="1427"/>
      <c r="AB92" s="1427"/>
      <c r="AC92" s="1427"/>
    </row>
    <row r="93" spans="1:29" ht="15" thickTop="1">
      <c r="A93" s="598"/>
      <c r="B93" s="537" t="s">
        <v>2715</v>
      </c>
      <c r="C93" s="553"/>
      <c r="D93" s="553"/>
      <c r="E93" s="582"/>
      <c r="F93" s="582"/>
      <c r="G93" s="582"/>
      <c r="H93" s="582"/>
      <c r="I93" s="582"/>
      <c r="J93" s="582"/>
      <c r="K93" s="583"/>
      <c r="L93" s="584"/>
      <c r="M93" s="585"/>
      <c r="N93" s="1147"/>
      <c r="O93" s="1147"/>
      <c r="P93" s="1424"/>
      <c r="Q93" s="1418"/>
      <c r="R93" s="1139"/>
      <c r="S93" s="1139"/>
      <c r="T93" s="1139"/>
      <c r="U93" s="1139"/>
      <c r="V93" s="1139"/>
      <c r="W93" s="1139"/>
      <c r="X93" s="1139"/>
      <c r="Y93" s="1139"/>
      <c r="Z93" s="1139"/>
      <c r="AA93" s="1139"/>
      <c r="AB93" s="1139"/>
      <c r="AC93" s="1139"/>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8"/>
      <c r="B95" s="537" t="s">
        <v>2716</v>
      </c>
      <c r="C95" s="529"/>
      <c r="D95" s="529"/>
      <c r="E95" s="529"/>
      <c r="F95" s="529"/>
      <c r="G95" s="529"/>
      <c r="H95" s="529"/>
      <c r="I95" s="529"/>
      <c r="J95" s="529"/>
      <c r="K95" s="530"/>
      <c r="L95" s="531"/>
      <c r="M95" s="532"/>
      <c r="N95" s="1147"/>
      <c r="O95" s="1147"/>
      <c r="P95" s="1424"/>
      <c r="Q95" s="1418"/>
      <c r="R95" s="1139"/>
      <c r="S95" s="1139"/>
      <c r="T95" s="1139"/>
      <c r="U95" s="1139"/>
      <c r="V95" s="1139"/>
      <c r="W95" s="1139"/>
      <c r="X95" s="1139"/>
      <c r="Y95" s="1139"/>
      <c r="Z95" s="1139"/>
      <c r="AA95" s="1139"/>
      <c r="AB95" s="1139"/>
      <c r="AC95" s="1139"/>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8"/>
      <c r="O96" s="1148"/>
      <c r="P96" s="1424"/>
      <c r="Q96" s="1418"/>
      <c r="R96" s="1139"/>
      <c r="S96" s="1139"/>
      <c r="T96" s="1139"/>
      <c r="U96" s="1139"/>
      <c r="V96" s="1139"/>
      <c r="W96" s="1139"/>
      <c r="X96" s="1139"/>
      <c r="Y96" s="1139"/>
      <c r="Z96" s="1139"/>
      <c r="AA96" s="1139"/>
      <c r="AB96" s="1139"/>
      <c r="AC96" s="1139"/>
    </row>
    <row r="97" spans="1:29" ht="15" thickTop="1">
      <c r="A97" s="598"/>
      <c r="B97" s="634">
        <f>B34</f>
        <v>111</v>
      </c>
      <c r="C97" s="548"/>
      <c r="D97" s="548"/>
      <c r="E97" s="548"/>
      <c r="F97" s="548"/>
      <c r="G97" s="553"/>
      <c r="H97" s="554"/>
      <c r="I97" s="554"/>
      <c r="J97" s="554"/>
      <c r="K97" s="554"/>
      <c r="L97" s="555"/>
      <c r="M97" s="556"/>
      <c r="N97" s="1148"/>
      <c r="O97" s="1148"/>
      <c r="P97" s="1431"/>
      <c r="Q97" s="1432"/>
      <c r="R97" s="1139"/>
      <c r="S97" s="1139"/>
      <c r="T97" s="1139"/>
      <c r="U97" s="1139"/>
      <c r="V97" s="1139"/>
      <c r="W97" s="1139"/>
      <c r="X97" s="1139"/>
      <c r="Y97" s="1139"/>
      <c r="Z97" s="1139"/>
      <c r="AA97" s="1139"/>
      <c r="AB97" s="1139"/>
      <c r="AC97" s="1139"/>
    </row>
    <row r="98" spans="1:29" ht="15.75" thickBot="1">
      <c r="A98" s="533"/>
      <c r="B98" s="542"/>
      <c r="C98" s="559"/>
      <c r="D98" s="535"/>
      <c r="E98" s="535"/>
      <c r="F98" s="535"/>
      <c r="G98" s="559"/>
      <c r="H98" s="561"/>
      <c r="I98" s="561"/>
      <c r="J98" s="561"/>
      <c r="K98" s="561"/>
      <c r="L98" s="561"/>
      <c r="M98" s="562"/>
      <c r="N98" s="1148"/>
      <c r="O98" s="1148"/>
      <c r="P98" s="1424"/>
      <c r="Q98" s="1418"/>
      <c r="R98" s="1139"/>
      <c r="S98" s="1139"/>
      <c r="T98" s="1139"/>
      <c r="U98" s="1139"/>
      <c r="V98" s="1139"/>
      <c r="W98" s="1139"/>
      <c r="X98" s="1139"/>
      <c r="Y98" s="1139"/>
      <c r="Z98" s="1139"/>
      <c r="AA98" s="1139"/>
      <c r="AB98" s="1139"/>
      <c r="AC98" s="1139"/>
    </row>
    <row r="99" spans="1:29" s="470" customFormat="1" ht="15" thickTop="1">
      <c r="A99" s="592"/>
      <c r="B99" s="537">
        <f>B35</f>
        <v>111</v>
      </c>
      <c r="C99" s="548"/>
      <c r="D99" s="548"/>
      <c r="E99" s="548"/>
      <c r="F99" s="548"/>
      <c r="G99" s="553"/>
      <c r="H99" s="554"/>
      <c r="I99" s="554"/>
      <c r="J99" s="554"/>
      <c r="K99" s="554"/>
      <c r="L99" s="555"/>
      <c r="M99" s="556"/>
      <c r="N99" s="1149"/>
      <c r="O99" s="1149"/>
      <c r="P99" s="1425"/>
      <c r="Q99" s="1426"/>
      <c r="R99" s="1427"/>
      <c r="S99" s="1427"/>
      <c r="T99" s="1427"/>
      <c r="U99" s="1427"/>
      <c r="V99" s="1427"/>
      <c r="W99" s="1427"/>
      <c r="X99" s="1427"/>
      <c r="Y99" s="1427"/>
      <c r="Z99" s="1427"/>
      <c r="AA99" s="1427"/>
      <c r="AB99" s="1427"/>
      <c r="AC99" s="1427"/>
    </row>
    <row r="100" spans="1:29" s="470" customFormat="1" ht="15.75" thickBot="1">
      <c r="A100" s="552"/>
      <c r="B100" s="534"/>
      <c r="C100" s="559"/>
      <c r="D100" s="535"/>
      <c r="E100" s="535"/>
      <c r="F100" s="535"/>
      <c r="G100" s="559"/>
      <c r="H100" s="561"/>
      <c r="I100" s="561"/>
      <c r="J100" s="561"/>
      <c r="K100" s="561"/>
      <c r="L100" s="561"/>
      <c r="M100" s="562"/>
      <c r="N100" s="1149"/>
      <c r="O100" s="1149"/>
      <c r="P100" s="1425"/>
      <c r="Q100" s="1426"/>
      <c r="R100" s="1427"/>
      <c r="S100" s="1427"/>
      <c r="T100" s="1427"/>
      <c r="U100" s="1427"/>
      <c r="V100" s="1427"/>
      <c r="W100" s="1427"/>
      <c r="X100" s="1427"/>
      <c r="Y100" s="1427"/>
      <c r="Z100" s="1427"/>
      <c r="AA100" s="1427"/>
      <c r="AB100" s="1427"/>
      <c r="AC100" s="1427"/>
    </row>
    <row r="101" spans="1:29" ht="15" thickTop="1">
      <c r="A101" s="598"/>
      <c r="B101" s="537">
        <f>B36</f>
        <v>111</v>
      </c>
      <c r="C101" s="553"/>
      <c r="D101" s="553"/>
      <c r="E101" s="553"/>
      <c r="F101" s="553"/>
      <c r="G101" s="553"/>
      <c r="H101" s="554"/>
      <c r="I101" s="554"/>
      <c r="J101" s="554"/>
      <c r="K101" s="554"/>
      <c r="L101" s="555"/>
      <c r="M101" s="556"/>
      <c r="N101" s="1147"/>
      <c r="O101" s="1147"/>
      <c r="P101" s="1424"/>
      <c r="Q101" s="1418"/>
      <c r="R101" s="1139"/>
      <c r="S101" s="1139"/>
      <c r="T101" s="1139"/>
      <c r="U101" s="1139"/>
      <c r="V101" s="1139"/>
      <c r="W101" s="1139"/>
      <c r="X101" s="1139"/>
      <c r="Y101" s="1139"/>
      <c r="Z101" s="1139"/>
      <c r="AA101" s="1139"/>
      <c r="AB101" s="1139"/>
      <c r="AC101" s="1139"/>
    </row>
    <row r="102" spans="1:29" ht="15.75" thickBot="1">
      <c r="A102" s="533"/>
      <c r="B102" s="542"/>
      <c r="C102" s="559"/>
      <c r="D102" s="559"/>
      <c r="E102" s="559"/>
      <c r="F102" s="559"/>
      <c r="G102" s="559"/>
      <c r="H102" s="561"/>
      <c r="I102" s="561"/>
      <c r="J102" s="561"/>
      <c r="K102" s="561"/>
      <c r="L102" s="561"/>
      <c r="M102" s="562"/>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2687</v>
      </c>
      <c r="B1" s="1612"/>
      <c r="C1" s="1613" t="s">
        <v>2510</v>
      </c>
      <c r="D1" s="1614"/>
      <c r="E1" s="1623"/>
      <c r="F1" s="2568"/>
      <c r="G1" s="1624" t="s">
        <v>2623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2307</v>
      </c>
      <c r="B2" s="1413" t="e">
        <f ca="1">IF(C2="——",ROUND(C37*D3/10000,0),ROUND(C37*D3/10000,0)-D2)</f>
        <v>#DIV/0!</v>
      </c>
      <c r="C2" s="2570"/>
      <c r="D2" s="1119" t="e">
        <f ca="1">SUMIF(INDIRECT("'"&amp;F2&amp;"'"&amp;"!A:A"),"承租人权益价值",INDIRECT("'"&amp;F2&amp;"'"&amp;"!c:c"))</f>
        <v>#REF!</v>
      </c>
      <c r="E2" s="2571" t="s">
        <v>2308</v>
      </c>
      <c r="F2" s="2572"/>
      <c r="G2" s="1120"/>
      <c r="H2" s="1120"/>
      <c r="I2" s="1120"/>
      <c r="J2" s="1120"/>
      <c r="K2" s="1122"/>
      <c r="L2" s="1123"/>
      <c r="M2" s="1124"/>
      <c r="N2" s="1124"/>
      <c r="O2" s="1124"/>
      <c r="P2" s="766"/>
      <c r="Q2" s="766"/>
      <c r="R2" s="766"/>
      <c r="S2" s="766"/>
      <c r="T2" s="766"/>
      <c r="U2" s="766"/>
      <c r="V2" s="766"/>
      <c r="W2" s="766"/>
      <c r="X2" s="766"/>
      <c r="Y2" s="766"/>
      <c r="Z2" s="766"/>
      <c r="AA2" s="766"/>
      <c r="AB2" s="766"/>
      <c r="AC2" s="767"/>
    </row>
    <row r="3" spans="1:29" s="397" customFormat="1" ht="28.5" customHeight="1" thickBot="1">
      <c r="A3" s="246" t="s">
        <v>2309</v>
      </c>
      <c r="B3" s="608" t="e">
        <f ca="1">IF(C2="——",C37,ROUND(B2*10000/D3,0))</f>
        <v>#DIV/0!</v>
      </c>
      <c r="C3" s="399" t="s">
        <v>2624</v>
      </c>
      <c r="D3" s="398">
        <f>SUMIF('数据-汇总表'!$C19:$C33,D1,'数据-汇总表'!$E19:$E33)</f>
        <v>0</v>
      </c>
      <c r="E3" s="1120"/>
      <c r="F3" s="1121"/>
      <c r="G3" s="1120"/>
      <c r="H3" s="1120"/>
      <c r="I3" s="1120"/>
      <c r="J3" s="1120"/>
      <c r="K3" s="1122"/>
      <c r="L3" s="1123"/>
      <c r="M3" s="1124"/>
      <c r="N3" s="1124"/>
      <c r="O3" s="1124"/>
      <c r="P3" s="766"/>
      <c r="Q3" s="766"/>
      <c r="R3" s="766"/>
      <c r="S3" s="766"/>
      <c r="T3" s="766"/>
      <c r="U3" s="766"/>
      <c r="V3" s="766"/>
      <c r="W3" s="766"/>
      <c r="X3" s="766"/>
      <c r="Y3" s="766"/>
      <c r="Z3" s="766"/>
      <c r="AA3" s="766"/>
      <c r="AB3" s="784"/>
      <c r="AC3" s="780"/>
    </row>
    <row r="4" spans="1:29" ht="15">
      <c r="A4" s="400" t="s">
        <v>2625</v>
      </c>
      <c r="B4" s="401"/>
      <c r="C4" s="3198" t="s">
        <v>2626</v>
      </c>
      <c r="D4" s="3225"/>
      <c r="E4" s="3226" t="s">
        <v>2627</v>
      </c>
      <c r="F4" s="3227"/>
      <c r="G4" s="3198" t="s">
        <v>2628</v>
      </c>
      <c r="H4" s="3225"/>
      <c r="I4" s="3198" t="s">
        <v>2629</v>
      </c>
      <c r="J4" s="3225"/>
      <c r="K4" s="609" t="s">
        <v>2630</v>
      </c>
      <c r="L4" s="1125"/>
      <c r="M4" s="1126"/>
      <c r="N4" s="1126"/>
      <c r="O4" s="1126"/>
      <c r="P4" s="3228" t="s">
        <v>2631</v>
      </c>
      <c r="Q4" s="3229"/>
      <c r="R4" s="3205" t="s">
        <v>2627</v>
      </c>
      <c r="S4" s="3206"/>
      <c r="T4" s="3205" t="s">
        <v>2628</v>
      </c>
      <c r="U4" s="3206"/>
      <c r="V4" s="3218" t="s">
        <v>2629</v>
      </c>
      <c r="W4" s="3218"/>
      <c r="X4" s="1806"/>
      <c r="Y4" s="3205" t="s">
        <v>2631</v>
      </c>
      <c r="Z4" s="3206"/>
      <c r="AA4" s="3222" t="s">
        <v>2627</v>
      </c>
      <c r="AB4" s="3223" t="s">
        <v>2628</v>
      </c>
      <c r="AC4" s="3222" t="s">
        <v>2629</v>
      </c>
    </row>
    <row r="5" spans="1:29" ht="15">
      <c r="A5" s="403"/>
      <c r="B5" s="404"/>
      <c r="C5" s="3209" t="s">
        <v>2522</v>
      </c>
      <c r="D5" s="3210"/>
      <c r="E5" s="3234" t="s">
        <v>2523</v>
      </c>
      <c r="F5" s="3235"/>
      <c r="G5" s="3209" t="s">
        <v>2524</v>
      </c>
      <c r="H5" s="3210"/>
      <c r="I5" s="3209" t="s">
        <v>2525</v>
      </c>
      <c r="J5" s="3210"/>
      <c r="K5" s="609"/>
      <c r="L5" s="1125"/>
      <c r="M5" s="1126"/>
      <c r="N5" s="1126"/>
      <c r="O5" s="1126"/>
      <c r="P5" s="3230"/>
      <c r="Q5" s="3231"/>
      <c r="R5" s="3207"/>
      <c r="S5" s="3208"/>
      <c r="T5" s="3207"/>
      <c r="U5" s="3208"/>
      <c r="V5" s="3218"/>
      <c r="W5" s="3218"/>
      <c r="X5" s="1806"/>
      <c r="Y5" s="3207"/>
      <c r="Z5" s="3208"/>
      <c r="AA5" s="3223"/>
      <c r="AB5" s="3223"/>
      <c r="AC5" s="3223"/>
    </row>
    <row r="6" spans="1:29" ht="15.75" thickBot="1">
      <c r="A6" s="405"/>
      <c r="B6" s="406"/>
      <c r="C6" s="3244" t="s">
        <v>2526</v>
      </c>
      <c r="D6" s="3245"/>
      <c r="E6" s="3246" t="s">
        <v>2526</v>
      </c>
      <c r="F6" s="3247"/>
      <c r="G6" s="3244" t="s">
        <v>2526</v>
      </c>
      <c r="H6" s="3245"/>
      <c r="I6" s="3244" t="s">
        <v>2526</v>
      </c>
      <c r="J6" s="3245"/>
      <c r="K6" s="609" t="s">
        <v>2527</v>
      </c>
      <c r="L6" s="1125"/>
      <c r="M6" s="1126"/>
      <c r="N6" s="1126"/>
      <c r="O6" s="1126"/>
      <c r="P6" s="3232"/>
      <c r="Q6" s="3233"/>
      <c r="R6" s="3207"/>
      <c r="S6" s="3208"/>
      <c r="T6" s="3216"/>
      <c r="U6" s="3217"/>
      <c r="V6" s="3218"/>
      <c r="W6" s="3218"/>
      <c r="X6" s="1806"/>
      <c r="Y6" s="3216"/>
      <c r="Z6" s="3217"/>
      <c r="AA6" s="3224"/>
      <c r="AB6" s="3224"/>
      <c r="AC6" s="3224"/>
    </row>
    <row r="7" spans="1:29" s="117" customFormat="1" ht="15.75" thickBot="1">
      <c r="A7" s="407" t="s">
        <v>2528</v>
      </c>
      <c r="B7" s="408"/>
      <c r="C7" s="409">
        <f>'数据-取费表'!B2</f>
        <v>43216</v>
      </c>
      <c r="D7" s="410">
        <v>100</v>
      </c>
      <c r="E7" s="411"/>
      <c r="F7" s="412">
        <f>SUMIF(46:46,YEAR(E7)&amp;"-"&amp;MONTH(E7),47:47)</f>
        <v>0</v>
      </c>
      <c r="G7" s="2680"/>
      <c r="H7" s="410">
        <f>SUMIF(46:46,YEAR(G7)&amp;"-"&amp;MONTH(G7),47:47)</f>
        <v>0</v>
      </c>
      <c r="I7" s="411"/>
      <c r="J7" s="410">
        <f>SUMIF(46:46,YEAR(I7)&amp;"-"&amp;MONTH(I7),47:47)</f>
        <v>0</v>
      </c>
      <c r="K7" s="610"/>
      <c r="L7" s="1127"/>
      <c r="M7" s="1128"/>
      <c r="N7" s="1128"/>
      <c r="O7" s="1128"/>
      <c r="P7" s="3203" t="s">
        <v>2529</v>
      </c>
      <c r="Q7" s="3213"/>
      <c r="R7" s="768" t="s">
        <v>17</v>
      </c>
      <c r="S7" s="769">
        <f t="shared" ref="S7:S14" si="0">F7</f>
        <v>0</v>
      </c>
      <c r="T7" s="768" t="s">
        <v>17</v>
      </c>
      <c r="U7" s="769">
        <f t="shared" ref="U7:U14" si="1">H7</f>
        <v>0</v>
      </c>
      <c r="V7" s="768" t="s">
        <v>17</v>
      </c>
      <c r="W7" s="769">
        <f t="shared" ref="W7:W14" si="2">J7</f>
        <v>0</v>
      </c>
      <c r="X7" s="770"/>
      <c r="Y7" s="3203" t="s">
        <v>2529</v>
      </c>
      <c r="Z7" s="3204"/>
      <c r="AA7" s="771" t="e">
        <f>D7/F7</f>
        <v>#DIV/0!</v>
      </c>
      <c r="AB7" s="771" t="e">
        <f>D7/H7</f>
        <v>#DIV/0!</v>
      </c>
      <c r="AC7" s="771" t="e">
        <f>D7/J7</f>
        <v>#DIV/0!</v>
      </c>
    </row>
    <row r="8" spans="1:29" s="117" customFormat="1" ht="15.75" thickBot="1">
      <c r="A8" s="407" t="s">
        <v>2530</v>
      </c>
      <c r="B8" s="408"/>
      <c r="C8" s="413" t="s">
        <v>2632</v>
      </c>
      <c r="D8" s="410">
        <v>100</v>
      </c>
      <c r="E8" s="413"/>
      <c r="F8" s="412">
        <f>SUMIF(49:49,E8,50:50)-SUMIF(49:49,C8,50:50)+100</f>
        <v>0</v>
      </c>
      <c r="G8" s="413"/>
      <c r="H8" s="410">
        <f>SUMIF(49:49,G8,50:50)-SUMIF(49:49,C8,50:50)+100</f>
        <v>0</v>
      </c>
      <c r="I8" s="413"/>
      <c r="J8" s="410">
        <f>SUMIF(49:49,I8,50:50)-SUMIF(49:49,C8,50:50)+100</f>
        <v>0</v>
      </c>
      <c r="K8" s="610"/>
      <c r="L8" s="1127"/>
      <c r="M8" s="1128"/>
      <c r="N8" s="1128"/>
      <c r="O8" s="1128"/>
      <c r="P8" s="3203" t="s">
        <v>2532</v>
      </c>
      <c r="Q8" s="3204"/>
      <c r="R8" s="768" t="s">
        <v>17</v>
      </c>
      <c r="S8" s="769">
        <f t="shared" si="0"/>
        <v>0</v>
      </c>
      <c r="T8" s="768" t="s">
        <v>17</v>
      </c>
      <c r="U8" s="769">
        <f t="shared" si="1"/>
        <v>0</v>
      </c>
      <c r="V8" s="768" t="s">
        <v>17</v>
      </c>
      <c r="W8" s="769">
        <f t="shared" si="2"/>
        <v>0</v>
      </c>
      <c r="X8" s="770"/>
      <c r="Y8" s="3203" t="s">
        <v>2532</v>
      </c>
      <c r="Z8" s="3204"/>
      <c r="AA8" s="771" t="e">
        <f t="shared" ref="AA8:AA34" si="3">D8/F8</f>
        <v>#DIV/0!</v>
      </c>
      <c r="AB8" s="771" t="e">
        <f t="shared" ref="AB8:AB34" si="4">D8/H8</f>
        <v>#DIV/0!</v>
      </c>
      <c r="AC8" s="771" t="e">
        <f t="shared" ref="AC8:AC34" si="5">D8/J8</f>
        <v>#DIV/0!</v>
      </c>
    </row>
    <row r="9" spans="1:29" s="117" customFormat="1">
      <c r="A9" s="414" t="s">
        <v>2533</v>
      </c>
      <c r="B9" s="71" t="s">
        <v>2534</v>
      </c>
      <c r="C9" s="415"/>
      <c r="D9" s="134">
        <v>100</v>
      </c>
      <c r="E9" s="418"/>
      <c r="F9" s="417">
        <f>SUMIF(51:51,E9,52:52)-SUMIF(51:51,C9,52:52)+100</f>
        <v>100</v>
      </c>
      <c r="G9" s="418"/>
      <c r="H9" s="134">
        <f>SUMIF(51:51,G9,52:52)-SUMIF(51:51,C9,52:52)+100</f>
        <v>100</v>
      </c>
      <c r="I9" s="418"/>
      <c r="J9" s="134">
        <f>SUMIF(51:51,I9,52:52)-SUMIF(51:51,C9,52:52)+100</f>
        <v>100</v>
      </c>
      <c r="K9" s="610"/>
      <c r="L9" s="1127"/>
      <c r="M9" s="1128"/>
      <c r="N9" s="1128"/>
      <c r="O9" s="1129"/>
      <c r="P9" s="3201" t="s">
        <v>2535</v>
      </c>
      <c r="Q9" s="1788" t="str">
        <f t="shared" ref="Q9:Q14" si="6">B9</f>
        <v>用途</v>
      </c>
      <c r="R9" s="768" t="s">
        <v>17</v>
      </c>
      <c r="S9" s="769">
        <f t="shared" si="0"/>
        <v>100</v>
      </c>
      <c r="T9" s="768" t="s">
        <v>17</v>
      </c>
      <c r="U9" s="769">
        <f t="shared" si="1"/>
        <v>100</v>
      </c>
      <c r="V9" s="768" t="s">
        <v>17</v>
      </c>
      <c r="W9" s="769">
        <f t="shared" si="2"/>
        <v>100</v>
      </c>
      <c r="X9" s="770"/>
      <c r="Y9" s="3056" t="s">
        <v>2536</v>
      </c>
      <c r="Z9" s="55" t="str">
        <f t="shared" ref="Z9:Z14" si="7">Q9</f>
        <v>用途</v>
      </c>
      <c r="AA9" s="771">
        <f t="shared" si="3"/>
        <v>1</v>
      </c>
      <c r="AB9" s="771">
        <f t="shared" si="4"/>
        <v>1</v>
      </c>
      <c r="AC9" s="771">
        <f t="shared" si="5"/>
        <v>1</v>
      </c>
    </row>
    <row r="10" spans="1:29" s="426" customFormat="1" ht="27">
      <c r="A10" s="420"/>
      <c r="B10" s="421" t="s">
        <v>2537</v>
      </c>
      <c r="C10" s="422"/>
      <c r="D10" s="135">
        <v>100</v>
      </c>
      <c r="E10" s="422"/>
      <c r="F10" s="424">
        <f>SUMIF(53:53,E10,54:54)-SUMIF(53:53,C10,54:54)+100</f>
        <v>100</v>
      </c>
      <c r="G10" s="422"/>
      <c r="H10" s="135">
        <f>SUMIF(53:53,G10,54:54)-SUMIF(53:53,C10,54:54)+100</f>
        <v>100</v>
      </c>
      <c r="I10" s="422"/>
      <c r="J10" s="135">
        <f>SUMIF(53:53,I10,54:54)-SUMIF(53:53,C10,54:54)+100</f>
        <v>100</v>
      </c>
      <c r="K10" s="611"/>
      <c r="L10" s="1130"/>
      <c r="M10" s="1131"/>
      <c r="N10" s="1131"/>
      <c r="O10" s="1132"/>
      <c r="P10" s="3201"/>
      <c r="Q10" s="1788" t="str">
        <f t="shared" si="6"/>
        <v>土地使用年限（年）</v>
      </c>
      <c r="R10" s="768" t="s">
        <v>17</v>
      </c>
      <c r="S10" s="769">
        <f t="shared" si="0"/>
        <v>100</v>
      </c>
      <c r="T10" s="768" t="s">
        <v>17</v>
      </c>
      <c r="U10" s="769">
        <f t="shared" si="1"/>
        <v>100</v>
      </c>
      <c r="V10" s="768" t="s">
        <v>17</v>
      </c>
      <c r="W10" s="769">
        <f t="shared" si="2"/>
        <v>100</v>
      </c>
      <c r="X10" s="770"/>
      <c r="Y10" s="3056"/>
      <c r="Z10" s="55" t="str">
        <f t="shared" si="7"/>
        <v>土地使用年限（年）</v>
      </c>
      <c r="AA10" s="771">
        <f t="shared" si="3"/>
        <v>1</v>
      </c>
      <c r="AB10" s="771">
        <f t="shared" si="4"/>
        <v>1</v>
      </c>
      <c r="AC10" s="771">
        <f t="shared" si="5"/>
        <v>1</v>
      </c>
    </row>
    <row r="11" spans="1:29" ht="15">
      <c r="A11" s="427"/>
      <c r="B11" s="2584">
        <v>111</v>
      </c>
      <c r="C11" s="431"/>
      <c r="D11" s="135">
        <v>100</v>
      </c>
      <c r="E11" s="468"/>
      <c r="F11" s="424">
        <f>SUMIF(55:55,E11,56:56)-SUMIF(55:55,C11,56:56)+100</f>
        <v>100</v>
      </c>
      <c r="G11" s="468"/>
      <c r="H11" s="135">
        <f>SUMIF(55:55,G11,56:56)-SUMIF(55:55,C11,56:56)+100</f>
        <v>100</v>
      </c>
      <c r="I11" s="468"/>
      <c r="J11" s="135">
        <f>SUMIF(55:55,I11,56:56)-SUMIF(55:55,C11,56:56)+100</f>
        <v>100</v>
      </c>
      <c r="K11" s="612"/>
      <c r="L11" s="1133"/>
      <c r="M11" s="1126"/>
      <c r="N11" s="1126"/>
      <c r="O11" s="1134"/>
      <c r="P11" s="3201"/>
      <c r="Q11" s="1788">
        <f t="shared" si="6"/>
        <v>111</v>
      </c>
      <c r="R11" s="768" t="s">
        <v>17</v>
      </c>
      <c r="S11" s="769">
        <f t="shared" si="0"/>
        <v>100</v>
      </c>
      <c r="T11" s="768" t="s">
        <v>17</v>
      </c>
      <c r="U11" s="769">
        <f t="shared" si="1"/>
        <v>100</v>
      </c>
      <c r="V11" s="768" t="s">
        <v>17</v>
      </c>
      <c r="W11" s="769">
        <f t="shared" si="2"/>
        <v>100</v>
      </c>
      <c r="X11" s="770"/>
      <c r="Y11" s="3056"/>
      <c r="Z11" s="55">
        <f t="shared" si="7"/>
        <v>111</v>
      </c>
      <c r="AA11" s="771">
        <f t="shared" si="3"/>
        <v>1</v>
      </c>
      <c r="AB11" s="771">
        <f t="shared" si="4"/>
        <v>1</v>
      </c>
      <c r="AC11" s="771">
        <f t="shared" si="5"/>
        <v>1</v>
      </c>
    </row>
    <row r="12" spans="1:29" s="117" customFormat="1" ht="15">
      <c r="A12" s="430"/>
      <c r="B12" s="2584">
        <v>111</v>
      </c>
      <c r="C12" s="431"/>
      <c r="D12" s="432">
        <v>100</v>
      </c>
      <c r="E12" s="468"/>
      <c r="F12" s="424">
        <f>SUMIF(57:57,E12,58:58)-SUMIF(57:57,C12,58:58)+100</f>
        <v>100</v>
      </c>
      <c r="G12" s="468"/>
      <c r="H12" s="135">
        <f>SUMIF(57:57,G12,58:58)-SUMIF(57:57,C12,58:58)+100</f>
        <v>100</v>
      </c>
      <c r="I12" s="468"/>
      <c r="J12" s="135">
        <f>SUMIF(57:57,I12,58:58)-SUMIF(57:57,C12,58:58)+100</f>
        <v>100</v>
      </c>
      <c r="K12" s="612"/>
      <c r="L12" s="1127"/>
      <c r="M12" s="1128"/>
      <c r="N12" s="1128"/>
      <c r="O12" s="1129"/>
      <c r="P12" s="3201"/>
      <c r="Q12" s="1788">
        <f t="shared" si="6"/>
        <v>111</v>
      </c>
      <c r="R12" s="768" t="s">
        <v>17</v>
      </c>
      <c r="S12" s="769">
        <f t="shared" si="0"/>
        <v>100</v>
      </c>
      <c r="T12" s="768" t="s">
        <v>17</v>
      </c>
      <c r="U12" s="769">
        <f t="shared" si="1"/>
        <v>100</v>
      </c>
      <c r="V12" s="768" t="s">
        <v>17</v>
      </c>
      <c r="W12" s="769">
        <f t="shared" si="2"/>
        <v>100</v>
      </c>
      <c r="X12" s="770"/>
      <c r="Y12" s="3056"/>
      <c r="Z12" s="55">
        <f t="shared" si="7"/>
        <v>111</v>
      </c>
      <c r="AA12" s="771">
        <f>D12/F12</f>
        <v>1</v>
      </c>
      <c r="AB12" s="771">
        <f>D12/H12</f>
        <v>1</v>
      </c>
      <c r="AC12" s="771">
        <f>D12/J12</f>
        <v>1</v>
      </c>
    </row>
    <row r="13" spans="1:29" ht="15.75" thickBot="1">
      <c r="A13" s="427"/>
      <c r="B13" s="2584">
        <v>111</v>
      </c>
      <c r="C13" s="433"/>
      <c r="D13" s="434">
        <v>100</v>
      </c>
      <c r="E13" s="468"/>
      <c r="F13" s="424">
        <f>SUMIF(59:59,E13,60:60)-SUMIF(59:59,C13,60:60)+100</f>
        <v>100</v>
      </c>
      <c r="G13" s="2681"/>
      <c r="H13" s="437">
        <f>SUMIF(59:59,G13,60:60)-SUMIF(59:59,C13,60:60)+100</f>
        <v>100</v>
      </c>
      <c r="I13" s="468"/>
      <c r="J13" s="434">
        <f>SUMIF(59:59,I13,60:60)-SUMIF(59:59,C13,60:60)+100</f>
        <v>100</v>
      </c>
      <c r="K13" s="612"/>
      <c r="L13" s="1135"/>
      <c r="M13" s="1126"/>
      <c r="N13" s="1126"/>
      <c r="O13" s="1134"/>
      <c r="P13" s="3201"/>
      <c r="Q13" s="1788">
        <f t="shared" si="6"/>
        <v>111</v>
      </c>
      <c r="R13" s="768" t="s">
        <v>17</v>
      </c>
      <c r="S13" s="769">
        <f t="shared" si="0"/>
        <v>100</v>
      </c>
      <c r="T13" s="768" t="s">
        <v>17</v>
      </c>
      <c r="U13" s="769">
        <f t="shared" si="1"/>
        <v>100</v>
      </c>
      <c r="V13" s="768" t="s">
        <v>17</v>
      </c>
      <c r="W13" s="769">
        <f t="shared" si="2"/>
        <v>100</v>
      </c>
      <c r="X13" s="770"/>
      <c r="Y13" s="3056"/>
      <c r="Z13" s="55">
        <f t="shared" si="7"/>
        <v>111</v>
      </c>
      <c r="AA13" s="771">
        <f t="shared" si="3"/>
        <v>1</v>
      </c>
      <c r="AB13" s="771">
        <f t="shared" si="4"/>
        <v>1</v>
      </c>
      <c r="AC13" s="771">
        <f t="shared" si="5"/>
        <v>1</v>
      </c>
    </row>
    <row r="14" spans="1:29" ht="15">
      <c r="A14" s="439" t="s">
        <v>2539</v>
      </c>
      <c r="B14" s="69" t="s">
        <v>2689</v>
      </c>
      <c r="C14" s="2677">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5"/>
      <c r="M14" s="1126"/>
      <c r="N14" s="1126"/>
      <c r="O14" s="1134"/>
      <c r="P14" s="3219" t="s">
        <v>2540</v>
      </c>
      <c r="Q14" s="1803" t="str">
        <f t="shared" si="6"/>
        <v>交通便捷度</v>
      </c>
      <c r="R14" s="772" t="s">
        <v>17</v>
      </c>
      <c r="S14" s="773">
        <f t="shared" si="0"/>
        <v>100</v>
      </c>
      <c r="T14" s="772" t="s">
        <v>17</v>
      </c>
      <c r="U14" s="773">
        <f t="shared" si="1"/>
        <v>100</v>
      </c>
      <c r="V14" s="772" t="s">
        <v>17</v>
      </c>
      <c r="W14" s="773">
        <f t="shared" si="2"/>
        <v>100</v>
      </c>
      <c r="X14" s="1806"/>
      <c r="Y14" s="3219" t="s">
        <v>2540</v>
      </c>
      <c r="Z14" s="1807" t="str">
        <f t="shared" si="7"/>
        <v>交通便捷度</v>
      </c>
      <c r="AA14" s="1804">
        <f t="shared" si="3"/>
        <v>1</v>
      </c>
      <c r="AB14" s="1804">
        <f t="shared" si="4"/>
        <v>1</v>
      </c>
      <c r="AC14" s="1804">
        <f t="shared" si="5"/>
        <v>1</v>
      </c>
    </row>
    <row r="15" spans="1:29" ht="15">
      <c r="A15" s="427"/>
      <c r="B15" s="445"/>
      <c r="C15" s="446"/>
      <c r="D15" s="447"/>
      <c r="E15" s="446"/>
      <c r="F15" s="448"/>
      <c r="G15" s="446"/>
      <c r="H15" s="449"/>
      <c r="I15" s="446"/>
      <c r="J15" s="447"/>
      <c r="K15" s="614"/>
      <c r="L15" s="1135"/>
      <c r="M15" s="1126"/>
      <c r="N15" s="1126"/>
      <c r="O15" s="1134"/>
      <c r="P15" s="3220"/>
      <c r="Q15" s="1803"/>
      <c r="R15" s="772"/>
      <c r="S15" s="773"/>
      <c r="T15" s="772"/>
      <c r="U15" s="773"/>
      <c r="V15" s="772"/>
      <c r="W15" s="773"/>
      <c r="X15" s="1806"/>
      <c r="Y15" s="3220"/>
      <c r="Z15" s="1807"/>
      <c r="AA15" s="1804">
        <v>1</v>
      </c>
      <c r="AB15" s="1804">
        <v>1</v>
      </c>
      <c r="AC15" s="1804">
        <v>1</v>
      </c>
    </row>
    <row r="16" spans="1:29" ht="15">
      <c r="A16" s="427"/>
      <c r="B16" s="450" t="s">
        <v>2668</v>
      </c>
      <c r="C16" s="2591">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5"/>
      <c r="M16" s="1126"/>
      <c r="N16" s="1126"/>
      <c r="O16" s="1134"/>
      <c r="P16" s="3220"/>
      <c r="Q16" s="1803" t="str">
        <f>B16</f>
        <v>公共配套设施</v>
      </c>
      <c r="R16" s="772" t="s">
        <v>17</v>
      </c>
      <c r="S16" s="773">
        <f>F16</f>
        <v>100</v>
      </c>
      <c r="T16" s="772" t="s">
        <v>17</v>
      </c>
      <c r="U16" s="773">
        <f>H16</f>
        <v>100</v>
      </c>
      <c r="V16" s="772" t="s">
        <v>17</v>
      </c>
      <c r="W16" s="773">
        <f>J16</f>
        <v>100</v>
      </c>
      <c r="X16" s="1806"/>
      <c r="Y16" s="3220"/>
      <c r="Z16" s="1807" t="str">
        <f>Q16</f>
        <v>公共配套设施</v>
      </c>
      <c r="AA16" s="1804">
        <f t="shared" si="3"/>
        <v>1</v>
      </c>
      <c r="AB16" s="1804">
        <f t="shared" si="4"/>
        <v>1</v>
      </c>
      <c r="AC16" s="1804">
        <f t="shared" si="5"/>
        <v>1</v>
      </c>
    </row>
    <row r="17" spans="1:29" ht="15">
      <c r="A17" s="427"/>
      <c r="B17" s="455"/>
      <c r="C17" s="2592"/>
      <c r="D17" s="447"/>
      <c r="E17" s="446"/>
      <c r="F17" s="448"/>
      <c r="G17" s="446"/>
      <c r="H17" s="447"/>
      <c r="I17" s="446"/>
      <c r="J17" s="447"/>
      <c r="K17" s="614"/>
      <c r="L17" s="1135"/>
      <c r="M17" s="1126"/>
      <c r="N17" s="1126"/>
      <c r="O17" s="1134"/>
      <c r="P17" s="3220"/>
      <c r="Q17" s="1803"/>
      <c r="R17" s="772"/>
      <c r="S17" s="773"/>
      <c r="T17" s="772"/>
      <c r="U17" s="773"/>
      <c r="V17" s="772"/>
      <c r="W17" s="773"/>
      <c r="X17" s="1806"/>
      <c r="Y17" s="3220"/>
      <c r="Z17" s="1807"/>
      <c r="AA17" s="1804">
        <v>1</v>
      </c>
      <c r="AB17" s="1804">
        <v>1</v>
      </c>
      <c r="AC17" s="1804">
        <v>1</v>
      </c>
    </row>
    <row r="18" spans="1:29" ht="15">
      <c r="A18" s="427"/>
      <c r="B18" s="1379" t="s">
        <v>2669</v>
      </c>
      <c r="C18" s="2591">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5"/>
      <c r="M18" s="1126"/>
      <c r="N18" s="1126"/>
      <c r="O18" s="1134"/>
      <c r="P18" s="3220"/>
      <c r="Q18" s="1803" t="str">
        <f>B18</f>
        <v>基础设施水平</v>
      </c>
      <c r="R18" s="772" t="s">
        <v>17</v>
      </c>
      <c r="S18" s="773">
        <f>F18</f>
        <v>100</v>
      </c>
      <c r="T18" s="772" t="s">
        <v>17</v>
      </c>
      <c r="U18" s="773">
        <f>H18</f>
        <v>100</v>
      </c>
      <c r="V18" s="772" t="s">
        <v>17</v>
      </c>
      <c r="W18" s="773">
        <f>J18</f>
        <v>100</v>
      </c>
      <c r="X18" s="1806"/>
      <c r="Y18" s="3220"/>
      <c r="Z18" s="1807" t="str">
        <f>Q18</f>
        <v>基础设施水平</v>
      </c>
      <c r="AA18" s="1804">
        <f t="shared" ref="AA18" si="8">D18/F18</f>
        <v>1</v>
      </c>
      <c r="AB18" s="1804">
        <f t="shared" ref="AB18" si="9">D18/H18</f>
        <v>1</v>
      </c>
      <c r="AC18" s="1804">
        <f t="shared" ref="AC18" si="10">D18/J18</f>
        <v>1</v>
      </c>
    </row>
    <row r="19" spans="1:29" ht="15">
      <c r="A19" s="427"/>
      <c r="B19" s="1379"/>
      <c r="C19" s="2592"/>
      <c r="D19" s="449"/>
      <c r="E19" s="2592"/>
      <c r="F19" s="452"/>
      <c r="G19" s="2592"/>
      <c r="H19" s="447"/>
      <c r="I19" s="446"/>
      <c r="J19" s="447"/>
      <c r="K19" s="1378"/>
      <c r="L19" s="1135"/>
      <c r="M19" s="1126"/>
      <c r="N19" s="1126"/>
      <c r="O19" s="1134"/>
      <c r="P19" s="3220"/>
      <c r="Q19" s="1803"/>
      <c r="R19" s="772"/>
      <c r="S19" s="773"/>
      <c r="T19" s="772"/>
      <c r="U19" s="773"/>
      <c r="V19" s="772"/>
      <c r="W19" s="773"/>
      <c r="X19" s="1806"/>
      <c r="Y19" s="3220"/>
      <c r="Z19" s="1807"/>
      <c r="AA19" s="1804">
        <v>1</v>
      </c>
      <c r="AB19" s="1804">
        <v>1</v>
      </c>
      <c r="AC19" s="1804">
        <v>1</v>
      </c>
    </row>
    <row r="20" spans="1:29" ht="15">
      <c r="A20" s="427"/>
      <c r="B20" s="450" t="s">
        <v>2690</v>
      </c>
      <c r="C20" s="2591">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5"/>
      <c r="M20" s="1126"/>
      <c r="N20" s="1126"/>
      <c r="O20" s="1134"/>
      <c r="P20" s="3220"/>
      <c r="Q20" s="1803" t="str">
        <f>B20</f>
        <v>自然及人文环境</v>
      </c>
      <c r="R20" s="772" t="s">
        <v>17</v>
      </c>
      <c r="S20" s="773">
        <f>F20</f>
        <v>100</v>
      </c>
      <c r="T20" s="772" t="s">
        <v>17</v>
      </c>
      <c r="U20" s="773">
        <f>H20</f>
        <v>100</v>
      </c>
      <c r="V20" s="772" t="s">
        <v>17</v>
      </c>
      <c r="W20" s="773">
        <f>J20</f>
        <v>100</v>
      </c>
      <c r="X20" s="1806"/>
      <c r="Y20" s="3220"/>
      <c r="Z20" s="1807" t="str">
        <f>Q20</f>
        <v>自然及人文环境</v>
      </c>
      <c r="AA20" s="1804">
        <f t="shared" si="3"/>
        <v>1</v>
      </c>
      <c r="AB20" s="1804">
        <f t="shared" si="4"/>
        <v>1</v>
      </c>
      <c r="AC20" s="1804">
        <f t="shared" si="5"/>
        <v>1</v>
      </c>
    </row>
    <row r="21" spans="1:29" ht="15">
      <c r="A21" s="427"/>
      <c r="B21" s="455"/>
      <c r="C21" s="446"/>
      <c r="D21" s="447"/>
      <c r="E21" s="446"/>
      <c r="F21" s="448"/>
      <c r="G21" s="446"/>
      <c r="H21" s="447"/>
      <c r="I21" s="446"/>
      <c r="J21" s="447"/>
      <c r="K21" s="614"/>
      <c r="L21" s="1135"/>
      <c r="M21" s="1126"/>
      <c r="N21" s="1126"/>
      <c r="O21" s="1134"/>
      <c r="P21" s="3220"/>
      <c r="Q21" s="1803"/>
      <c r="R21" s="772"/>
      <c r="S21" s="773"/>
      <c r="T21" s="772"/>
      <c r="U21" s="773"/>
      <c r="V21" s="772"/>
      <c r="W21" s="773"/>
      <c r="X21" s="1806"/>
      <c r="Y21" s="3220"/>
      <c r="Z21" s="1807"/>
      <c r="AA21" s="1804">
        <v>1</v>
      </c>
      <c r="AB21" s="1804">
        <v>1</v>
      </c>
      <c r="AC21" s="1804">
        <v>1</v>
      </c>
    </row>
    <row r="22" spans="1:29" ht="15">
      <c r="A22" s="427"/>
      <c r="B22" s="450" t="s">
        <v>2691</v>
      </c>
      <c r="C22" s="615"/>
      <c r="D22" s="449">
        <v>100</v>
      </c>
      <c r="E22" s="615"/>
      <c r="F22" s="460">
        <f>SUMIF(69:69,E22,70:70)-SUMIF(69:69,C22,70:70)+100</f>
        <v>100</v>
      </c>
      <c r="G22" s="615"/>
      <c r="H22" s="434">
        <f>SUMIF(69:69,G22,70:70)-SUMIF(69:69,C22,70:70)+100</f>
        <v>100</v>
      </c>
      <c r="I22" s="615"/>
      <c r="J22" s="434">
        <f>SUMIF(69:69,I22,70:70)-SUMIF(69:69,C22,70:70)+100</f>
        <v>100</v>
      </c>
      <c r="K22" s="611"/>
      <c r="L22" s="1135"/>
      <c r="M22" s="1126"/>
      <c r="N22" s="1126"/>
      <c r="O22" s="1134"/>
      <c r="P22" s="3220"/>
      <c r="Q22" s="1803" t="str">
        <f>B22</f>
        <v>楼层</v>
      </c>
      <c r="R22" s="772" t="s">
        <v>17</v>
      </c>
      <c r="S22" s="773">
        <f>F22</f>
        <v>100</v>
      </c>
      <c r="T22" s="772" t="s">
        <v>17</v>
      </c>
      <c r="U22" s="773">
        <f>H22</f>
        <v>100</v>
      </c>
      <c r="V22" s="772" t="s">
        <v>17</v>
      </c>
      <c r="W22" s="773">
        <f>J22</f>
        <v>100</v>
      </c>
      <c r="X22" s="1806"/>
      <c r="Y22" s="3220"/>
      <c r="Z22" s="1807" t="str">
        <f>Q22</f>
        <v>楼层</v>
      </c>
      <c r="AA22" s="1804">
        <f t="shared" si="3"/>
        <v>1</v>
      </c>
      <c r="AB22" s="1804">
        <f t="shared" si="4"/>
        <v>1</v>
      </c>
      <c r="AC22" s="1804">
        <f t="shared" si="5"/>
        <v>1</v>
      </c>
    </row>
    <row r="23" spans="1:29" ht="15">
      <c r="A23" s="403"/>
      <c r="B23" s="2584">
        <v>111</v>
      </c>
      <c r="C23" s="431"/>
      <c r="D23" s="434">
        <v>100</v>
      </c>
      <c r="E23" s="433"/>
      <c r="F23" s="460">
        <f>SUMIF(71:71,E23,72:72)-SUMIF(71:71,C23,72:72)+100</f>
        <v>100</v>
      </c>
      <c r="G23" s="433"/>
      <c r="H23" s="434">
        <f>SUMIF(71:71,G23,72:72)-SUMIF(71:71,C23,72:72)+100</f>
        <v>100</v>
      </c>
      <c r="I23" s="433"/>
      <c r="J23" s="434">
        <f>SUMIF(71:71,I23,72:72)-SUMIF(71:71,C23,72:72)+100</f>
        <v>100</v>
      </c>
      <c r="K23" s="612"/>
      <c r="L23" s="1135"/>
      <c r="M23" s="1126"/>
      <c r="N23" s="1126"/>
      <c r="O23" s="1134"/>
      <c r="P23" s="3220"/>
      <c r="Q23" s="1803">
        <f>B23</f>
        <v>111</v>
      </c>
      <c r="R23" s="772" t="s">
        <v>17</v>
      </c>
      <c r="S23" s="773">
        <f>F23</f>
        <v>100</v>
      </c>
      <c r="T23" s="772" t="s">
        <v>17</v>
      </c>
      <c r="U23" s="773">
        <f>H23</f>
        <v>100</v>
      </c>
      <c r="V23" s="772" t="s">
        <v>17</v>
      </c>
      <c r="W23" s="773">
        <f>J23</f>
        <v>100</v>
      </c>
      <c r="X23" s="1806"/>
      <c r="Y23" s="3220"/>
      <c r="Z23" s="1807">
        <f>Q23</f>
        <v>111</v>
      </c>
      <c r="AA23" s="1804">
        <f t="shared" si="3"/>
        <v>1</v>
      </c>
      <c r="AB23" s="1804">
        <f t="shared" si="4"/>
        <v>1</v>
      </c>
      <c r="AC23" s="1804">
        <f t="shared" si="5"/>
        <v>1</v>
      </c>
    </row>
    <row r="24" spans="1:29" ht="15">
      <c r="A24" s="427"/>
      <c r="B24" s="2584">
        <v>111</v>
      </c>
      <c r="C24" s="431"/>
      <c r="D24" s="434">
        <v>100</v>
      </c>
      <c r="E24" s="433"/>
      <c r="F24" s="460">
        <f>SUMIF(73:73,E24,74:74)-SUMIF(73:73,C24,74:74)+100</f>
        <v>100</v>
      </c>
      <c r="G24" s="433"/>
      <c r="H24" s="434">
        <f>SUMIF(73:73,G24,74:74)-SUMIF(73:73,C24,74:74)+100</f>
        <v>100</v>
      </c>
      <c r="I24" s="433"/>
      <c r="J24" s="434">
        <f>SUMIF(73:73,I24,74:74)-SUMIF(73:73,C24,74:74)+100</f>
        <v>100</v>
      </c>
      <c r="K24" s="612"/>
      <c r="L24" s="1135"/>
      <c r="M24" s="1126"/>
      <c r="N24" s="1126"/>
      <c r="O24" s="1134"/>
      <c r="P24" s="3220"/>
      <c r="Q24" s="1803">
        <f t="shared" ref="Q24:Q34" si="11">B24</f>
        <v>111</v>
      </c>
      <c r="R24" s="772" t="s">
        <v>17</v>
      </c>
      <c r="S24" s="773">
        <f>F24</f>
        <v>100</v>
      </c>
      <c r="T24" s="772" t="s">
        <v>17</v>
      </c>
      <c r="U24" s="773">
        <f>H24</f>
        <v>100</v>
      </c>
      <c r="V24" s="772" t="s">
        <v>17</v>
      </c>
      <c r="W24" s="773">
        <f>J24</f>
        <v>100</v>
      </c>
      <c r="X24" s="1806"/>
      <c r="Y24" s="3220"/>
      <c r="Z24" s="1807">
        <f>Q24</f>
        <v>111</v>
      </c>
      <c r="AA24" s="1804">
        <f t="shared" si="3"/>
        <v>1</v>
      </c>
      <c r="AB24" s="1804">
        <f t="shared" si="4"/>
        <v>1</v>
      </c>
      <c r="AC24" s="1804">
        <f t="shared" si="5"/>
        <v>1</v>
      </c>
    </row>
    <row r="25" spans="1:29" s="117" customFormat="1" ht="15.75" thickBot="1">
      <c r="A25" s="430"/>
      <c r="B25" s="2584">
        <v>111</v>
      </c>
      <c r="C25" s="2682"/>
      <c r="D25" s="663">
        <v>100</v>
      </c>
      <c r="E25" s="2682"/>
      <c r="F25" s="664">
        <f>SUMIF(75:75,E25,76:76)-SUMIF(75:75,C25,76:76)+100</f>
        <v>100</v>
      </c>
      <c r="G25" s="2682"/>
      <c r="H25" s="663">
        <f>SUMIF(75:75,G25,76:76)-SUMIF(75:75,C25,76:76)+100</f>
        <v>100</v>
      </c>
      <c r="I25" s="2682"/>
      <c r="J25" s="663">
        <f>SUMIF(75:75,I25,76:76)-SUMIF(75:75,C25,76:76)+100</f>
        <v>100</v>
      </c>
      <c r="K25" s="612"/>
      <c r="L25" s="1127"/>
      <c r="M25" s="1128"/>
      <c r="N25" s="1128"/>
      <c r="O25" s="1129"/>
      <c r="P25" s="3220"/>
      <c r="Q25" s="1788">
        <f t="shared" si="11"/>
        <v>111</v>
      </c>
      <c r="R25" s="768" t="s">
        <v>17</v>
      </c>
      <c r="S25" s="769">
        <f>F25</f>
        <v>100</v>
      </c>
      <c r="T25" s="768" t="s">
        <v>17</v>
      </c>
      <c r="U25" s="769">
        <f>H25</f>
        <v>100</v>
      </c>
      <c r="V25" s="768" t="s">
        <v>17</v>
      </c>
      <c r="W25" s="769">
        <f>J25</f>
        <v>100</v>
      </c>
      <c r="X25" s="770"/>
      <c r="Y25" s="3220"/>
      <c r="Z25" s="55">
        <f>Q25</f>
        <v>111</v>
      </c>
      <c r="AA25" s="1804">
        <f>D25/F25</f>
        <v>1</v>
      </c>
      <c r="AB25" s="1804">
        <f>D25/H25</f>
        <v>1</v>
      </c>
      <c r="AC25" s="1804">
        <f>D25/J25</f>
        <v>1</v>
      </c>
    </row>
    <row r="26" spans="1:29" ht="15">
      <c r="A26" s="465" t="s">
        <v>2543</v>
      </c>
      <c r="B26" s="71" t="s">
        <v>2694</v>
      </c>
      <c r="C26" s="2663"/>
      <c r="D26" s="466">
        <v>100</v>
      </c>
      <c r="E26" s="2663"/>
      <c r="F26" s="665">
        <f>SUMIF(77:77,E26,78:78)-SUMIF(77:77,C26,78:78)+100</f>
        <v>100</v>
      </c>
      <c r="G26" s="2663"/>
      <c r="H26" s="466">
        <f>SUMIF(77:77,G26,78:78)-SUMIF(77:77,C26,78:78)+100</f>
        <v>100</v>
      </c>
      <c r="I26" s="2663"/>
      <c r="J26" s="466">
        <f>SUMIF(77:77,I26,78:78)-SUMIF(77:77,C26,78:78)+100</f>
        <v>100</v>
      </c>
      <c r="K26" s="611"/>
      <c r="L26" s="1135"/>
      <c r="M26" s="1126"/>
      <c r="N26" s="1126"/>
      <c r="O26" s="1134"/>
      <c r="P26" s="3236" t="s">
        <v>2545</v>
      </c>
      <c r="Q26" s="1803" t="str">
        <f t="shared" si="11"/>
        <v>公共部分装修</v>
      </c>
      <c r="R26" s="772" t="s">
        <v>17</v>
      </c>
      <c r="S26" s="773">
        <f t="shared" ref="S26:S34" si="12">F26</f>
        <v>100</v>
      </c>
      <c r="T26" s="772" t="s">
        <v>17</v>
      </c>
      <c r="U26" s="773">
        <f t="shared" ref="U26:U34" si="13">H26</f>
        <v>100</v>
      </c>
      <c r="V26" s="772" t="s">
        <v>17</v>
      </c>
      <c r="W26" s="773">
        <f t="shared" ref="W26:W34" si="14">J26</f>
        <v>100</v>
      </c>
      <c r="X26" s="1806"/>
      <c r="Y26" s="3221" t="s">
        <v>2545</v>
      </c>
      <c r="Z26" s="1807" t="str">
        <f t="shared" ref="Z26:Z34" si="15">Q26</f>
        <v>公共部分装修</v>
      </c>
      <c r="AA26" s="1804">
        <f t="shared" si="3"/>
        <v>1</v>
      </c>
      <c r="AB26" s="1804">
        <f t="shared" si="4"/>
        <v>1</v>
      </c>
      <c r="AC26" s="1804">
        <f t="shared" si="5"/>
        <v>1</v>
      </c>
    </row>
    <row r="27" spans="1:29" s="470" customFormat="1" ht="15">
      <c r="A27" s="467"/>
      <c r="B27" s="421" t="s">
        <v>2695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3"/>
      <c r="M27" s="1136"/>
      <c r="N27" s="1136"/>
      <c r="O27" s="1137"/>
      <c r="P27" s="3221"/>
      <c r="Q27" s="774" t="str">
        <f t="shared" si="11"/>
        <v>成新率</v>
      </c>
      <c r="R27" s="775" t="s">
        <v>17</v>
      </c>
      <c r="S27" s="776" t="e">
        <f t="shared" si="12"/>
        <v>#N/A</v>
      </c>
      <c r="T27" s="775" t="s">
        <v>17</v>
      </c>
      <c r="U27" s="776" t="e">
        <f t="shared" si="13"/>
        <v>#N/A</v>
      </c>
      <c r="V27" s="775" t="s">
        <v>17</v>
      </c>
      <c r="W27" s="776" t="e">
        <f t="shared" si="14"/>
        <v>#N/A</v>
      </c>
      <c r="X27" s="777"/>
      <c r="Y27" s="3221"/>
      <c r="Z27" s="778" t="str">
        <f t="shared" si="15"/>
        <v>成新率</v>
      </c>
      <c r="AA27" s="1804" t="e">
        <f t="shared" si="3"/>
        <v>#N/A</v>
      </c>
      <c r="AB27" s="1804" t="e">
        <f t="shared" si="4"/>
        <v>#N/A</v>
      </c>
      <c r="AC27" s="1804" t="e">
        <f t="shared" si="5"/>
        <v>#N/A</v>
      </c>
    </row>
    <row r="28" spans="1:29" ht="15">
      <c r="A28" s="471"/>
      <c r="B28" s="421" t="s">
        <v>2696</v>
      </c>
      <c r="C28" s="459"/>
      <c r="D28" s="434">
        <v>100</v>
      </c>
      <c r="E28" s="459"/>
      <c r="F28" s="460">
        <f>SUMIF(82:82,E28,83:83)-SUMIF(82:82,C28,83:83)+100</f>
        <v>100</v>
      </c>
      <c r="G28" s="459"/>
      <c r="H28" s="434">
        <f>SUMIF(82:82,G28,83:83)-SUMIF(82:82,C28,83:83)+100</f>
        <v>100</v>
      </c>
      <c r="I28" s="459"/>
      <c r="J28" s="434">
        <f>SUMIF(82:82,I28,83:83)-SUMIF(82:82,C28,83:83)+100</f>
        <v>100</v>
      </c>
      <c r="K28" s="611"/>
      <c r="L28" s="1135"/>
      <c r="M28" s="1126"/>
      <c r="N28" s="1126"/>
      <c r="O28" s="1134"/>
      <c r="P28" s="3221"/>
      <c r="Q28" s="1803" t="str">
        <f t="shared" si="11"/>
        <v>物业等级</v>
      </c>
      <c r="R28" s="772" t="s">
        <v>17</v>
      </c>
      <c r="S28" s="773">
        <f t="shared" si="12"/>
        <v>100</v>
      </c>
      <c r="T28" s="772" t="s">
        <v>17</v>
      </c>
      <c r="U28" s="773">
        <f t="shared" si="13"/>
        <v>100</v>
      </c>
      <c r="V28" s="772" t="s">
        <v>17</v>
      </c>
      <c r="W28" s="773">
        <f t="shared" si="14"/>
        <v>100</v>
      </c>
      <c r="X28" s="1806"/>
      <c r="Y28" s="3221"/>
      <c r="Z28" s="1807" t="str">
        <f t="shared" si="15"/>
        <v>物业等级</v>
      </c>
      <c r="AA28" s="1804">
        <f t="shared" si="3"/>
        <v>1</v>
      </c>
      <c r="AB28" s="1804">
        <f t="shared" si="4"/>
        <v>1</v>
      </c>
      <c r="AC28" s="1804">
        <f t="shared" si="5"/>
        <v>1</v>
      </c>
    </row>
    <row r="29" spans="1:29" ht="15">
      <c r="A29" s="471"/>
      <c r="B29" s="421" t="s">
        <v>2717</v>
      </c>
      <c r="C29" s="655"/>
      <c r="D29" s="434">
        <v>100</v>
      </c>
      <c r="E29" s="655"/>
      <c r="F29" s="460">
        <f>SUMIF(84:84,E29,85:85)-SUMIF(84:84,C29,85:85)+100</f>
        <v>100</v>
      </c>
      <c r="G29" s="655"/>
      <c r="H29" s="434">
        <f>SUMIF(84:84,G29,85:85)-SUMIF(84:84,C29,85:85)+100</f>
        <v>100</v>
      </c>
      <c r="I29" s="655"/>
      <c r="J29" s="434">
        <f>SUMIF(84:84,I29,85:85)-SUMIF(84:84,C29,85:85)+100</f>
        <v>100</v>
      </c>
      <c r="K29" s="611"/>
      <c r="L29" s="1135"/>
      <c r="M29" s="1126"/>
      <c r="N29" s="1126"/>
      <c r="O29" s="1134"/>
      <c r="P29" s="3221"/>
      <c r="Q29" s="1803" t="str">
        <f t="shared" si="11"/>
        <v>有无电梯</v>
      </c>
      <c r="R29" s="772" t="s">
        <v>17</v>
      </c>
      <c r="S29" s="773">
        <f t="shared" si="12"/>
        <v>100</v>
      </c>
      <c r="T29" s="772" t="s">
        <v>17</v>
      </c>
      <c r="U29" s="773">
        <f t="shared" si="13"/>
        <v>100</v>
      </c>
      <c r="V29" s="772" t="s">
        <v>17</v>
      </c>
      <c r="W29" s="773">
        <f t="shared" si="14"/>
        <v>100</v>
      </c>
      <c r="X29" s="1806"/>
      <c r="Y29" s="3221"/>
      <c r="Z29" s="1807" t="str">
        <f t="shared" si="15"/>
        <v>有无电梯</v>
      </c>
      <c r="AA29" s="1804">
        <f t="shared" si="3"/>
        <v>1</v>
      </c>
      <c r="AB29" s="1804">
        <f t="shared" si="4"/>
        <v>1</v>
      </c>
      <c r="AC29" s="1804">
        <f t="shared" si="5"/>
        <v>1</v>
      </c>
    </row>
    <row r="30" spans="1:29" ht="15">
      <c r="A30" s="471"/>
      <c r="B30" s="421" t="s">
        <v>2718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5"/>
      <c r="M30" s="1126"/>
      <c r="N30" s="1126"/>
      <c r="O30" s="1134"/>
      <c r="P30" s="3221"/>
      <c r="Q30" s="1803" t="str">
        <f t="shared" si="11"/>
        <v>建筑面积</v>
      </c>
      <c r="R30" s="772" t="s">
        <v>17</v>
      </c>
      <c r="S30" s="773" t="e">
        <f t="shared" si="12"/>
        <v>#N/A</v>
      </c>
      <c r="T30" s="772" t="s">
        <v>17</v>
      </c>
      <c r="U30" s="773" t="e">
        <f t="shared" si="13"/>
        <v>#N/A</v>
      </c>
      <c r="V30" s="772" t="s">
        <v>17</v>
      </c>
      <c r="W30" s="773" t="e">
        <f t="shared" si="14"/>
        <v>#N/A</v>
      </c>
      <c r="X30" s="1806"/>
      <c r="Y30" s="3221"/>
      <c r="Z30" s="1807" t="str">
        <f t="shared" si="15"/>
        <v>建筑面积</v>
      </c>
      <c r="AA30" s="1804" t="e">
        <f t="shared" si="3"/>
        <v>#N/A</v>
      </c>
      <c r="AB30" s="1804" t="e">
        <f t="shared" si="4"/>
        <v>#N/A</v>
      </c>
      <c r="AC30" s="1804" t="e">
        <f t="shared" si="5"/>
        <v>#N/A</v>
      </c>
    </row>
    <row r="31" spans="1:29" s="117" customFormat="1" ht="15">
      <c r="A31" s="472"/>
      <c r="B31" s="421" t="s">
        <v>2719</v>
      </c>
      <c r="C31" s="655"/>
      <c r="D31" s="135">
        <v>100</v>
      </c>
      <c r="E31" s="655"/>
      <c r="F31" s="460">
        <f>SUMIF(89:89,E31,90:90)-SUMIF(89:89,C31,90:90)+100</f>
        <v>100</v>
      </c>
      <c r="G31" s="655"/>
      <c r="H31" s="434">
        <f>SUMIF(89:89,G31,90:90)-SUMIF(89:89,C31,90:90)+100</f>
        <v>100</v>
      </c>
      <c r="I31" s="655"/>
      <c r="J31" s="434">
        <f>SUMIF(89:89,I31,90:90)-SUMIF(89:89,C31,90:90)+100</f>
        <v>100</v>
      </c>
      <c r="K31" s="611"/>
      <c r="L31" s="1127"/>
      <c r="M31" s="1128"/>
      <c r="N31" s="1128"/>
      <c r="O31" s="1129"/>
      <c r="P31" s="3221"/>
      <c r="Q31" s="1788" t="str">
        <f t="shared" si="11"/>
        <v>是否封闭</v>
      </c>
      <c r="R31" s="768" t="s">
        <v>17</v>
      </c>
      <c r="S31" s="769">
        <f t="shared" si="12"/>
        <v>100</v>
      </c>
      <c r="T31" s="768" t="s">
        <v>17</v>
      </c>
      <c r="U31" s="769">
        <f t="shared" si="13"/>
        <v>100</v>
      </c>
      <c r="V31" s="768" t="s">
        <v>17</v>
      </c>
      <c r="W31" s="769">
        <f t="shared" si="14"/>
        <v>100</v>
      </c>
      <c r="X31" s="770"/>
      <c r="Y31" s="3221"/>
      <c r="Z31" s="55" t="str">
        <f t="shared" si="15"/>
        <v>是否封闭</v>
      </c>
      <c r="AA31" s="771">
        <f t="shared" si="3"/>
        <v>1</v>
      </c>
      <c r="AB31" s="771">
        <f t="shared" si="4"/>
        <v>1</v>
      </c>
      <c r="AC31" s="771">
        <f t="shared" si="5"/>
        <v>1</v>
      </c>
    </row>
    <row r="32" spans="1:29" ht="15">
      <c r="A32" s="471"/>
      <c r="B32" s="2584">
        <v>111</v>
      </c>
      <c r="C32" s="431"/>
      <c r="D32" s="434">
        <v>100</v>
      </c>
      <c r="E32" s="468"/>
      <c r="F32" s="460">
        <f>SUMIF(91:91,E32,92:92)-SUMIF(91:91,C32,92:92)+100</f>
        <v>100</v>
      </c>
      <c r="G32" s="468"/>
      <c r="H32" s="434">
        <f>SUMIF(91:91,G32,92:92)-SUMIF(91:91,C32,92:92)+100</f>
        <v>100</v>
      </c>
      <c r="I32" s="468"/>
      <c r="J32" s="434">
        <f>SUMIF(91:91,I32,92:92)-SUMIF(91:91,C32,92:92)+100</f>
        <v>100</v>
      </c>
      <c r="K32" s="612"/>
      <c r="L32" s="1135"/>
      <c r="M32" s="1126"/>
      <c r="N32" s="1126"/>
      <c r="O32" s="1134"/>
      <c r="P32" s="3221" t="s">
        <v>2545</v>
      </c>
      <c r="Q32" s="1803">
        <f t="shared" si="11"/>
        <v>111</v>
      </c>
      <c r="R32" s="772" t="s">
        <v>17</v>
      </c>
      <c r="S32" s="773">
        <f t="shared" si="12"/>
        <v>100</v>
      </c>
      <c r="T32" s="772" t="s">
        <v>17</v>
      </c>
      <c r="U32" s="773">
        <f t="shared" si="13"/>
        <v>100</v>
      </c>
      <c r="V32" s="772" t="s">
        <v>17</v>
      </c>
      <c r="W32" s="773">
        <f t="shared" si="14"/>
        <v>100</v>
      </c>
      <c r="X32" s="1806"/>
      <c r="Y32" s="3221" t="s">
        <v>2545</v>
      </c>
      <c r="Z32" s="1807">
        <f t="shared" si="15"/>
        <v>111</v>
      </c>
      <c r="AA32" s="1804">
        <f t="shared" si="3"/>
        <v>1</v>
      </c>
      <c r="AB32" s="1804">
        <f t="shared" si="4"/>
        <v>1</v>
      </c>
      <c r="AC32" s="1804">
        <f t="shared" si="5"/>
        <v>1</v>
      </c>
    </row>
    <row r="33" spans="1:29" ht="15">
      <c r="A33" s="471"/>
      <c r="B33" s="2584">
        <v>111</v>
      </c>
      <c r="C33" s="431"/>
      <c r="D33" s="434">
        <v>100</v>
      </c>
      <c r="E33" s="468"/>
      <c r="F33" s="460">
        <f>SUMIF(93:93,E33,94:94)-SUMIF(93:93,C33,94:94)+100</f>
        <v>100</v>
      </c>
      <c r="G33" s="468"/>
      <c r="H33" s="434">
        <f>SUMIF(93:93,G33,94:94)-SUMIF(93:93,C33,94:94)+100</f>
        <v>100</v>
      </c>
      <c r="I33" s="468"/>
      <c r="J33" s="434">
        <f>SUMIF(93:93,I33,94:94)-SUMIF(93:93,C33,94:94)+100</f>
        <v>100</v>
      </c>
      <c r="K33" s="612"/>
      <c r="L33" s="1135"/>
      <c r="M33" s="1126"/>
      <c r="N33" s="1126"/>
      <c r="O33" s="1134"/>
      <c r="P33" s="3221"/>
      <c r="Q33" s="1803">
        <f t="shared" si="11"/>
        <v>111</v>
      </c>
      <c r="R33" s="772" t="s">
        <v>17</v>
      </c>
      <c r="S33" s="773">
        <f t="shared" si="12"/>
        <v>100</v>
      </c>
      <c r="T33" s="772" t="s">
        <v>17</v>
      </c>
      <c r="U33" s="773">
        <f t="shared" si="13"/>
        <v>100</v>
      </c>
      <c r="V33" s="772" t="s">
        <v>17</v>
      </c>
      <c r="W33" s="773">
        <f t="shared" si="14"/>
        <v>100</v>
      </c>
      <c r="X33" s="1806"/>
      <c r="Y33" s="3221"/>
      <c r="Z33" s="1807">
        <f t="shared" si="15"/>
        <v>111</v>
      </c>
      <c r="AA33" s="1804">
        <f t="shared" si="3"/>
        <v>1</v>
      </c>
      <c r="AB33" s="1804">
        <f t="shared" si="4"/>
        <v>1</v>
      </c>
      <c r="AC33" s="1804">
        <f t="shared" si="5"/>
        <v>1</v>
      </c>
    </row>
    <row r="34" spans="1:29" ht="15.75" thickBot="1">
      <c r="A34" s="477"/>
      <c r="B34" s="2586">
        <v>111</v>
      </c>
      <c r="C34" s="436"/>
      <c r="D34" s="437">
        <v>100</v>
      </c>
      <c r="E34" s="2681"/>
      <c r="F34" s="438">
        <f>SUMIF(95:95,E34,96:96)-SUMIF(95:95,C34,96:96)+100</f>
        <v>100</v>
      </c>
      <c r="G34" s="2681"/>
      <c r="H34" s="437">
        <f>SUMIF(95:95,G34,96:96)-SUMIF(95:95,C34,96:96)+100</f>
        <v>100</v>
      </c>
      <c r="I34" s="2681"/>
      <c r="J34" s="437">
        <f>SUMIF(95:95,I34,96:96)-SUMIF(95:95,C34,96:96)+100</f>
        <v>100</v>
      </c>
      <c r="K34" s="612"/>
      <c r="L34" s="1135"/>
      <c r="M34" s="1126"/>
      <c r="N34" s="1126"/>
      <c r="O34" s="1134"/>
      <c r="P34" s="3221"/>
      <c r="Q34" s="1803">
        <f t="shared" si="11"/>
        <v>111</v>
      </c>
      <c r="R34" s="772" t="s">
        <v>17</v>
      </c>
      <c r="S34" s="773">
        <f t="shared" si="12"/>
        <v>100</v>
      </c>
      <c r="T34" s="772" t="s">
        <v>17</v>
      </c>
      <c r="U34" s="773">
        <f t="shared" si="13"/>
        <v>100</v>
      </c>
      <c r="V34" s="772" t="s">
        <v>17</v>
      </c>
      <c r="W34" s="773">
        <f t="shared" si="14"/>
        <v>100</v>
      </c>
      <c r="X34" s="1806"/>
      <c r="Y34" s="3221"/>
      <c r="Z34" s="1807">
        <f t="shared" si="15"/>
        <v>111</v>
      </c>
      <c r="AA34" s="1804">
        <f t="shared" si="3"/>
        <v>1</v>
      </c>
      <c r="AB34" s="1804">
        <f t="shared" si="4"/>
        <v>1</v>
      </c>
      <c r="AC34" s="1804">
        <f t="shared" si="5"/>
        <v>1</v>
      </c>
    </row>
    <row r="35" spans="1:29" ht="15">
      <c r="A35" s="478" t="s">
        <v>2557</v>
      </c>
      <c r="B35" s="479"/>
      <c r="C35" s="1402" t="s">
        <v>1</v>
      </c>
      <c r="D35" s="1403"/>
      <c r="E35" s="1404"/>
      <c r="F35" s="1405"/>
      <c r="G35" s="1406"/>
      <c r="H35" s="1407"/>
      <c r="I35" s="1404"/>
      <c r="J35" s="1407"/>
      <c r="K35" s="781"/>
      <c r="L35" s="1138"/>
      <c r="M35" s="1139"/>
      <c r="N35" s="1126"/>
      <c r="O35" s="1139"/>
      <c r="P35" s="3201" t="str">
        <f>A35</f>
        <v>成交单价（元/平方米）</v>
      </c>
      <c r="Q35" s="3201"/>
      <c r="R35" s="3276">
        <f>E35</f>
        <v>0</v>
      </c>
      <c r="S35" s="3276"/>
      <c r="T35" s="3276">
        <f>G35</f>
        <v>0</v>
      </c>
      <c r="U35" s="3276"/>
      <c r="V35" s="3276">
        <f>I35</f>
        <v>0</v>
      </c>
      <c r="W35" s="3276"/>
      <c r="X35" s="757"/>
      <c r="Y35" s="779"/>
      <c r="Z35" s="757"/>
      <c r="AA35" s="757"/>
      <c r="AB35" s="757"/>
      <c r="AC35" s="757"/>
    </row>
    <row r="36" spans="1:29" ht="15.75" thickBot="1">
      <c r="A36" s="485" t="s">
        <v>2649</v>
      </c>
      <c r="B36" s="486"/>
      <c r="C36" s="1408" t="e">
        <f>R37</f>
        <v>#DIV/0!</v>
      </c>
      <c r="D36" s="1409"/>
      <c r="E36" s="1410" t="e">
        <f>R36</f>
        <v>#DIV/0!</v>
      </c>
      <c r="F36" s="1410"/>
      <c r="G36" s="1408" t="e">
        <f>T36</f>
        <v>#DIV/0!</v>
      </c>
      <c r="H36" s="1409"/>
      <c r="I36" s="1410" t="e">
        <f>V36</f>
        <v>#DIV/0!</v>
      </c>
      <c r="J36" s="1409"/>
      <c r="K36" s="782"/>
      <c r="L36" s="1138"/>
      <c r="M36" s="1139"/>
      <c r="N36" s="1126"/>
      <c r="O36" s="1139"/>
      <c r="P36" s="3201" t="str">
        <f>A36</f>
        <v>比较价值（元/平方米）</v>
      </c>
      <c r="Q36" s="3201"/>
      <c r="R36" s="3276" t="e">
        <f>IF(F1="售价",ROUND(PRODUCT(R35,AA7:AA34),0),ROUND(PRODUCT(R35,AA7:AA34),1))</f>
        <v>#DIV/0!</v>
      </c>
      <c r="S36" s="3276"/>
      <c r="T36" s="3276" t="e">
        <f>IF(F1="售价",ROUND(PRODUCT(T35,AB7:AB34),0),ROUND(PRODUCT(T35,AB7:AB34),1))</f>
        <v>#DIV/0!</v>
      </c>
      <c r="U36" s="3276"/>
      <c r="V36" s="3276" t="e">
        <f>IF(F1="售价",ROUND(PRODUCT(V35,AC7:AC34),0),ROUND(PRODUCT(V35,AC7:AC34),1))</f>
        <v>#DIV/0!</v>
      </c>
      <c r="W36" s="3276"/>
      <c r="X36" s="757"/>
      <c r="Y36" s="757"/>
      <c r="Z36" s="757"/>
      <c r="AA36" s="757"/>
      <c r="AB36" s="757"/>
      <c r="AC36" s="757"/>
    </row>
    <row r="37" spans="1:29" ht="15.75" thickBot="1">
      <c r="A37" s="491" t="s">
        <v>2650</v>
      </c>
      <c r="B37" s="492"/>
      <c r="C37" s="1412" t="e">
        <f>R37</f>
        <v>#DIV/0!</v>
      </c>
      <c r="D37" s="1412"/>
      <c r="E37" s="1412"/>
      <c r="F37" s="1412"/>
      <c r="G37" s="1412"/>
      <c r="H37" s="1412"/>
      <c r="I37" s="1412"/>
      <c r="J37" s="1412"/>
      <c r="K37" s="783"/>
      <c r="L37" s="1138"/>
      <c r="M37" s="1139"/>
      <c r="N37" s="1139"/>
      <c r="O37" s="1139"/>
      <c r="P37" s="3237" t="str">
        <f>A37</f>
        <v>估价对象XX用房的比较价值（楼面单价，元/平方米）</v>
      </c>
      <c r="Q37" s="3238"/>
      <c r="R37" s="3275" t="e">
        <f>IF(F1="售价",ROUND(AVERAGE(R36:V36),0),ROUND(AVERAGE(R36:V36),1))</f>
        <v>#DIV/0!</v>
      </c>
      <c r="S37" s="3275"/>
      <c r="T37" s="3275"/>
      <c r="U37" s="3275"/>
      <c r="V37" s="3275"/>
      <c r="W37" s="3275"/>
      <c r="X37" s="757"/>
      <c r="Y37" s="757"/>
      <c r="Z37" s="757"/>
      <c r="AA37" s="757"/>
      <c r="AB37" s="757"/>
      <c r="AC37" s="757"/>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6" t="s">
        <v>2651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0"/>
      <c r="L40" s="1101"/>
      <c r="M40" s="1139"/>
      <c r="N40" s="1139"/>
      <c r="O40" s="1139"/>
    </row>
    <row r="41" spans="1:29" ht="13.5" customHeight="1">
      <c r="A41" s="1139"/>
      <c r="B41" s="1139"/>
      <c r="C41" s="496" t="s">
        <v>2652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0"/>
      <c r="L41" s="1101"/>
      <c r="M41" s="1139"/>
      <c r="N41" s="1139"/>
      <c r="O41" s="1139"/>
    </row>
    <row r="42" spans="1:29" s="501" customFormat="1" ht="13.5" customHeight="1">
      <c r="A42" s="1140"/>
      <c r="B42" s="1140"/>
      <c r="C42" s="496" t="s">
        <v>2653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3"/>
      <c r="L42" s="1144"/>
      <c r="M42" s="1140"/>
      <c r="N42" s="1140"/>
      <c r="O42" s="1140"/>
    </row>
    <row r="43" spans="1:29" s="501"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1" t="s">
        <v>2654</v>
      </c>
      <c r="B45" s="757"/>
      <c r="C45" s="762"/>
      <c r="D45" s="762"/>
      <c r="E45" s="762"/>
      <c r="F45" s="763"/>
      <c r="G45" s="763"/>
      <c r="H45" s="762"/>
      <c r="I45" s="762"/>
      <c r="J45" s="762"/>
      <c r="K45" s="764"/>
      <c r="L45" s="765"/>
      <c r="M45" s="762"/>
      <c r="N45" s="762"/>
      <c r="O45" s="762"/>
      <c r="P45" s="502"/>
      <c r="Q45" s="503"/>
    </row>
    <row r="46" spans="1:29" s="507" customFormat="1" ht="15">
      <c r="A46" s="504" t="s">
        <v>2528</v>
      </c>
      <c r="B46" s="505"/>
      <c r="C46" s="1567" t="str">
        <f>YEAR(C7)&amp;"-"&amp;MONTH(C7)</f>
        <v>2018-4</v>
      </c>
      <c r="D46" s="1568">
        <f>EDATE(C46,-1)</f>
        <v>43160</v>
      </c>
      <c r="E46" s="1568">
        <f t="shared" ref="E46:O46" si="16">EDATE(D46,-1)</f>
        <v>43132</v>
      </c>
      <c r="F46" s="1568">
        <f t="shared" si="16"/>
        <v>43101</v>
      </c>
      <c r="G46" s="1568">
        <f t="shared" si="16"/>
        <v>43070</v>
      </c>
      <c r="H46" s="1568">
        <f t="shared" si="16"/>
        <v>43040</v>
      </c>
      <c r="I46" s="1568">
        <f t="shared" si="16"/>
        <v>43009</v>
      </c>
      <c r="J46" s="1568">
        <f t="shared" si="16"/>
        <v>42979</v>
      </c>
      <c r="K46" s="1568">
        <f t="shared" si="16"/>
        <v>42948</v>
      </c>
      <c r="L46" s="1568">
        <f t="shared" si="16"/>
        <v>42917</v>
      </c>
      <c r="M46" s="1568">
        <f t="shared" si="16"/>
        <v>42887</v>
      </c>
      <c r="N46" s="1568">
        <f t="shared" si="16"/>
        <v>42856</v>
      </c>
      <c r="O46" s="1568">
        <f t="shared" si="16"/>
        <v>42826</v>
      </c>
      <c r="P46" s="506"/>
    </row>
    <row r="47" spans="1:29" s="117" customFormat="1" ht="15">
      <c r="A47" s="508"/>
      <c r="B47" s="509"/>
      <c r="C47" s="1566">
        <v>100</v>
      </c>
      <c r="D47" s="511"/>
      <c r="E47" s="511"/>
      <c r="F47" s="511"/>
      <c r="G47" s="511"/>
      <c r="H47" s="511"/>
      <c r="I47" s="511"/>
      <c r="J47" s="511"/>
      <c r="K47" s="511"/>
      <c r="L47" s="511"/>
      <c r="M47" s="512"/>
      <c r="N47" s="511"/>
      <c r="O47" s="513"/>
      <c r="P47" s="503"/>
    </row>
    <row r="48" spans="1:29" s="117" customFormat="1" ht="15.75" thickBot="1">
      <c r="A48" s="514" t="s">
        <v>2565</v>
      </c>
      <c r="B48" s="515"/>
      <c r="C48" s="516"/>
      <c r="D48" s="517"/>
      <c r="E48" s="517"/>
      <c r="F48" s="517"/>
      <c r="G48" s="517"/>
      <c r="H48" s="517"/>
      <c r="I48" s="517"/>
      <c r="J48" s="517"/>
      <c r="K48" s="517"/>
      <c r="L48" s="517"/>
      <c r="M48" s="518"/>
      <c r="N48" s="517"/>
      <c r="O48" s="519"/>
      <c r="P48" s="503"/>
      <c r="Q48" s="503"/>
    </row>
    <row r="49" spans="1:17" s="117" customFormat="1" ht="15">
      <c r="A49" s="520" t="s">
        <v>2530</v>
      </c>
      <c r="B49" s="509"/>
      <c r="C49" s="521" t="s">
        <v>2632</v>
      </c>
      <c r="D49" s="522"/>
      <c r="E49" s="522"/>
      <c r="F49" s="522"/>
      <c r="G49" s="522"/>
      <c r="H49" s="522"/>
      <c r="I49" s="522"/>
      <c r="J49" s="522"/>
      <c r="K49" s="522"/>
      <c r="L49" s="523"/>
      <c r="M49" s="524"/>
      <c r="N49" s="1146"/>
      <c r="O49" s="1146"/>
      <c r="P49" s="525"/>
      <c r="Q49" s="503"/>
    </row>
    <row r="50" spans="1:17" s="117" customFormat="1" ht="15.75" thickBot="1">
      <c r="A50" s="520"/>
      <c r="B50" s="509"/>
      <c r="C50" s="637">
        <v>100</v>
      </c>
      <c r="D50" s="511"/>
      <c r="E50" s="511"/>
      <c r="F50" s="511"/>
      <c r="G50" s="511"/>
      <c r="H50" s="511"/>
      <c r="I50" s="511"/>
      <c r="J50" s="511"/>
      <c r="K50" s="511"/>
      <c r="L50" s="511"/>
      <c r="M50" s="513"/>
      <c r="N50" s="1146"/>
      <c r="O50" s="1146"/>
      <c r="P50" s="503"/>
      <c r="Q50" s="503"/>
    </row>
    <row r="51" spans="1:17">
      <c r="A51" s="526" t="s">
        <v>2568</v>
      </c>
      <c r="B51" s="527" t="s">
        <v>2534</v>
      </c>
      <c r="C51" s="528">
        <f>C9</f>
        <v>0</v>
      </c>
      <c r="D51" s="529"/>
      <c r="E51" s="529"/>
      <c r="F51" s="529"/>
      <c r="G51" s="529"/>
      <c r="H51" s="529"/>
      <c r="I51" s="529"/>
      <c r="J51" s="529"/>
      <c r="K51" s="530"/>
      <c r="L51" s="531"/>
      <c r="M51" s="532"/>
      <c r="N51" s="1147"/>
      <c r="O51" s="1147"/>
      <c r="P51" s="45"/>
      <c r="Q51" s="503"/>
    </row>
    <row r="52" spans="1:17" ht="15.75" thickBot="1">
      <c r="A52" s="533"/>
      <c r="B52" s="534"/>
      <c r="C52" s="535">
        <v>100</v>
      </c>
      <c r="D52" s="535"/>
      <c r="E52" s="535"/>
      <c r="F52" s="535"/>
      <c r="G52" s="535"/>
      <c r="H52" s="535"/>
      <c r="I52" s="535"/>
      <c r="J52" s="535"/>
      <c r="K52" s="535"/>
      <c r="L52" s="535"/>
      <c r="M52" s="536"/>
      <c r="N52" s="1148"/>
      <c r="O52" s="1148"/>
      <c r="P52" s="45"/>
      <c r="Q52" s="503"/>
    </row>
    <row r="53" spans="1:17" ht="27.75" thickTop="1">
      <c r="A53" s="533"/>
      <c r="B53" s="537" t="s">
        <v>2537</v>
      </c>
      <c r="C53" s="538" t="s">
        <v>2569</v>
      </c>
      <c r="D53" s="538" t="s">
        <v>2570</v>
      </c>
      <c r="E53" s="538" t="s">
        <v>2571</v>
      </c>
      <c r="F53" s="538" t="s">
        <v>2572</v>
      </c>
      <c r="G53" s="538" t="s">
        <v>2573</v>
      </c>
      <c r="H53" s="538" t="s">
        <v>2574</v>
      </c>
      <c r="I53" s="538" t="s">
        <v>2575</v>
      </c>
      <c r="J53" s="538"/>
      <c r="K53" s="539"/>
      <c r="L53" s="540"/>
      <c r="M53" s="541"/>
      <c r="N53" s="1147"/>
      <c r="O53" s="1147"/>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8"/>
      <c r="O54" s="1148"/>
      <c r="P54" s="45"/>
      <c r="Q54" s="503"/>
    </row>
    <row r="55" spans="1:17" ht="15.75" thickTop="1">
      <c r="A55" s="533"/>
      <c r="B55" s="658">
        <f>B11</f>
        <v>111</v>
      </c>
      <c r="C55" s="548"/>
      <c r="D55" s="548"/>
      <c r="E55" s="548"/>
      <c r="F55" s="548"/>
      <c r="G55" s="548"/>
      <c r="H55" s="548"/>
      <c r="I55" s="548"/>
      <c r="J55" s="548"/>
      <c r="K55" s="549"/>
      <c r="L55" s="550"/>
      <c r="M55" s="551"/>
      <c r="N55" s="1147"/>
      <c r="O55" s="1147"/>
      <c r="P55" s="45"/>
      <c r="Q55" s="503"/>
    </row>
    <row r="56" spans="1:17" ht="15.75" thickBot="1">
      <c r="A56" s="533"/>
      <c r="B56" s="534"/>
      <c r="C56" s="559"/>
      <c r="D56" s="535"/>
      <c r="E56" s="535"/>
      <c r="F56" s="535"/>
      <c r="G56" s="535"/>
      <c r="H56" s="535"/>
      <c r="I56" s="535"/>
      <c r="J56" s="535"/>
      <c r="K56" s="535"/>
      <c r="L56" s="535"/>
      <c r="M56" s="536"/>
      <c r="N56" s="1148"/>
      <c r="O56" s="1148"/>
      <c r="P56" s="45"/>
      <c r="Q56" s="503"/>
    </row>
    <row r="57" spans="1:17" s="470" customFormat="1" ht="15.75" thickTop="1">
      <c r="A57" s="552"/>
      <c r="B57" s="537">
        <f>B12</f>
        <v>111</v>
      </c>
      <c r="C57" s="548"/>
      <c r="D57" s="548"/>
      <c r="E57" s="548"/>
      <c r="F57" s="548"/>
      <c r="G57" s="553"/>
      <c r="H57" s="554"/>
      <c r="I57" s="554"/>
      <c r="J57" s="554"/>
      <c r="K57" s="554"/>
      <c r="L57" s="555"/>
      <c r="M57" s="556"/>
      <c r="N57" s="1149"/>
      <c r="O57" s="1149"/>
      <c r="P57" s="557"/>
      <c r="Q57" s="558"/>
    </row>
    <row r="58" spans="1:17" s="470" customFormat="1" ht="15.75" thickBot="1">
      <c r="A58" s="552"/>
      <c r="B58" s="542"/>
      <c r="C58" s="559"/>
      <c r="D58" s="535"/>
      <c r="E58" s="535"/>
      <c r="F58" s="535"/>
      <c r="G58" s="535"/>
      <c r="H58" s="535"/>
      <c r="I58" s="535"/>
      <c r="J58" s="535"/>
      <c r="K58" s="535"/>
      <c r="L58" s="535"/>
      <c r="M58" s="536"/>
      <c r="N58" s="1148"/>
      <c r="O58" s="1148"/>
      <c r="P58" s="557"/>
      <c r="Q58" s="558"/>
    </row>
    <row r="59" spans="1:17" s="470" customFormat="1" ht="15.75" thickTop="1">
      <c r="A59" s="552"/>
      <c r="B59" s="537">
        <f>B13</f>
        <v>111</v>
      </c>
      <c r="C59" s="548"/>
      <c r="D59" s="548"/>
      <c r="E59" s="548"/>
      <c r="F59" s="548"/>
      <c r="G59" s="553"/>
      <c r="H59" s="554"/>
      <c r="I59" s="554"/>
      <c r="J59" s="554"/>
      <c r="K59" s="554"/>
      <c r="L59" s="555"/>
      <c r="M59" s="556"/>
      <c r="N59" s="1149"/>
      <c r="O59" s="1149"/>
      <c r="P59" s="469"/>
      <c r="Q59" s="560"/>
    </row>
    <row r="60" spans="1:17" s="470" customFormat="1" ht="15.75" thickBot="1">
      <c r="A60" s="552"/>
      <c r="B60" s="542"/>
      <c r="C60" s="559"/>
      <c r="D60" s="559"/>
      <c r="E60" s="559"/>
      <c r="F60" s="559"/>
      <c r="G60" s="559"/>
      <c r="H60" s="561"/>
      <c r="I60" s="561"/>
      <c r="J60" s="561"/>
      <c r="K60" s="561"/>
      <c r="L60" s="561"/>
      <c r="M60" s="562"/>
      <c r="N60" s="1149"/>
      <c r="O60" s="1149"/>
      <c r="P60" s="557"/>
      <c r="Q60" s="558"/>
    </row>
    <row r="61" spans="1:17" ht="15" thickTop="1">
      <c r="A61" s="526" t="s">
        <v>2539</v>
      </c>
      <c r="B61" s="527" t="s">
        <v>2582</v>
      </c>
      <c r="C61" s="572" t="s">
        <v>2577</v>
      </c>
      <c r="D61" s="572" t="s">
        <v>2578</v>
      </c>
      <c r="E61" s="572" t="s">
        <v>2579</v>
      </c>
      <c r="F61" s="572" t="s">
        <v>2580</v>
      </c>
      <c r="G61" s="572" t="s">
        <v>2581</v>
      </c>
      <c r="H61" s="528"/>
      <c r="I61" s="528"/>
      <c r="J61" s="528"/>
      <c r="K61" s="573"/>
      <c r="L61" s="574"/>
      <c r="M61" s="575"/>
      <c r="N61" s="1147"/>
      <c r="O61" s="1147"/>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8"/>
      <c r="O62" s="1148"/>
      <c r="P62" s="45"/>
      <c r="Q62" s="503"/>
    </row>
    <row r="63" spans="1:17" ht="27.75" thickTop="1">
      <c r="A63" s="533"/>
      <c r="B63" s="537" t="s">
        <v>2720</v>
      </c>
      <c r="C63" s="577" t="s">
        <v>2577</v>
      </c>
      <c r="D63" s="577" t="s">
        <v>2578</v>
      </c>
      <c r="E63" s="577" t="s">
        <v>2579</v>
      </c>
      <c r="F63" s="577" t="s">
        <v>2580</v>
      </c>
      <c r="G63" s="577" t="s">
        <v>2581</v>
      </c>
      <c r="H63" s="538"/>
      <c r="I63" s="538"/>
      <c r="J63" s="538"/>
      <c r="K63" s="539"/>
      <c r="L63" s="540"/>
      <c r="M63" s="541"/>
      <c r="N63" s="1147"/>
      <c r="O63" s="1147"/>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8"/>
      <c r="O64" s="1148"/>
      <c r="P64" s="45"/>
      <c r="Q64" s="503"/>
    </row>
    <row r="65" spans="1:17" ht="15.75" thickTop="1">
      <c r="A65" s="533"/>
      <c r="B65" s="545" t="s">
        <v>2669</v>
      </c>
      <c r="C65" s="658" t="s">
        <v>2655</v>
      </c>
      <c r="D65" s="658" t="s">
        <v>2656</v>
      </c>
      <c r="E65" s="658" t="s">
        <v>2657</v>
      </c>
      <c r="F65" s="658" t="s">
        <v>2658</v>
      </c>
      <c r="G65" s="658" t="s">
        <v>2659</v>
      </c>
      <c r="H65" s="538"/>
      <c r="I65" s="538"/>
      <c r="J65" s="538"/>
      <c r="K65" s="538"/>
      <c r="L65" s="538"/>
      <c r="M65" s="1377"/>
      <c r="N65" s="1148"/>
      <c r="O65" s="1148"/>
      <c r="P65" s="45"/>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48"/>
      <c r="O66" s="1148"/>
      <c r="P66" s="45"/>
      <c r="Q66" s="503"/>
    </row>
    <row r="67" spans="1:17" ht="15.75" thickTop="1">
      <c r="A67" s="533"/>
      <c r="B67" s="537" t="s">
        <v>2589</v>
      </c>
      <c r="C67" s="577" t="s">
        <v>2577</v>
      </c>
      <c r="D67" s="577" t="s">
        <v>2578</v>
      </c>
      <c r="E67" s="577" t="s">
        <v>2579</v>
      </c>
      <c r="F67" s="577" t="s">
        <v>2580</v>
      </c>
      <c r="G67" s="577" t="s">
        <v>2581</v>
      </c>
      <c r="H67" s="538"/>
      <c r="I67" s="538"/>
      <c r="J67" s="538"/>
      <c r="K67" s="539"/>
      <c r="L67" s="540"/>
      <c r="M67" s="541"/>
      <c r="N67" s="1147"/>
      <c r="O67" s="1147"/>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8"/>
      <c r="O68" s="1148"/>
      <c r="P68" s="45"/>
      <c r="Q68" s="503"/>
    </row>
    <row r="69" spans="1:17" ht="15.75" thickTop="1">
      <c r="A69" s="533"/>
      <c r="B69" s="537" t="s">
        <v>2709</v>
      </c>
      <c r="C69" s="553"/>
      <c r="D69" s="553"/>
      <c r="E69" s="553"/>
      <c r="F69" s="553"/>
      <c r="G69" s="553"/>
      <c r="H69" s="582"/>
      <c r="I69" s="582"/>
      <c r="J69" s="582"/>
      <c r="K69" s="583"/>
      <c r="L69" s="584"/>
      <c r="M69" s="585"/>
      <c r="N69" s="1147"/>
      <c r="O69" s="1147"/>
      <c r="P69" s="45"/>
      <c r="Q69" s="503"/>
    </row>
    <row r="70" spans="1:17" ht="15.75" thickBot="1">
      <c r="A70" s="533"/>
      <c r="B70" s="542"/>
      <c r="C70" s="543">
        <v>100</v>
      </c>
      <c r="D70" s="543">
        <f>C70-$K22</f>
        <v>100</v>
      </c>
      <c r="E70" s="543"/>
      <c r="F70" s="543"/>
      <c r="G70" s="543"/>
      <c r="H70" s="543"/>
      <c r="I70" s="543"/>
      <c r="J70" s="543"/>
      <c r="K70" s="543"/>
      <c r="L70" s="543"/>
      <c r="M70" s="544"/>
      <c r="N70" s="1148"/>
      <c r="O70" s="1148"/>
      <c r="P70" s="45"/>
      <c r="Q70" s="503"/>
    </row>
    <row r="71" spans="1:17" s="117" customFormat="1" ht="15.75" thickTop="1">
      <c r="A71" s="578"/>
      <c r="B71" s="537">
        <f>B23</f>
        <v>111</v>
      </c>
      <c r="C71" s="548"/>
      <c r="D71" s="548"/>
      <c r="E71" s="548"/>
      <c r="F71" s="548"/>
      <c r="G71" s="553"/>
      <c r="H71" s="553"/>
      <c r="I71" s="553"/>
      <c r="J71" s="553"/>
      <c r="K71" s="553"/>
      <c r="L71" s="579"/>
      <c r="M71" s="580"/>
      <c r="N71" s="1146"/>
      <c r="O71" s="1146"/>
      <c r="P71" s="45"/>
      <c r="Q71" s="503"/>
    </row>
    <row r="72" spans="1:17" s="117" customFormat="1" ht="15.75" thickBot="1">
      <c r="A72" s="578"/>
      <c r="B72" s="542"/>
      <c r="C72" s="559"/>
      <c r="D72" s="535"/>
      <c r="E72" s="535"/>
      <c r="F72" s="535"/>
      <c r="G72" s="535"/>
      <c r="H72" s="535"/>
      <c r="I72" s="535"/>
      <c r="J72" s="535"/>
      <c r="K72" s="535"/>
      <c r="L72" s="535"/>
      <c r="M72" s="536"/>
      <c r="N72" s="1148"/>
      <c r="O72" s="1148"/>
      <c r="P72" s="45"/>
      <c r="Q72" s="503"/>
    </row>
    <row r="73" spans="1:17" s="117" customFormat="1" ht="15.75" thickTop="1">
      <c r="A73" s="578"/>
      <c r="B73" s="537">
        <f>B24</f>
        <v>111</v>
      </c>
      <c r="C73" s="548"/>
      <c r="D73" s="548"/>
      <c r="E73" s="548"/>
      <c r="F73" s="548"/>
      <c r="G73" s="553"/>
      <c r="H73" s="553"/>
      <c r="I73" s="553"/>
      <c r="J73" s="553"/>
      <c r="K73" s="553"/>
      <c r="L73" s="553"/>
      <c r="M73" s="580"/>
      <c r="N73" s="1146"/>
      <c r="O73" s="1146"/>
      <c r="P73" s="45"/>
      <c r="Q73" s="503"/>
    </row>
    <row r="74" spans="1:17" s="117" customFormat="1" ht="15.75" thickBot="1">
      <c r="A74" s="578"/>
      <c r="B74" s="542"/>
      <c r="C74" s="559"/>
      <c r="D74" s="535"/>
      <c r="E74" s="535"/>
      <c r="F74" s="535"/>
      <c r="G74" s="535"/>
      <c r="H74" s="535"/>
      <c r="I74" s="535"/>
      <c r="J74" s="535"/>
      <c r="K74" s="535"/>
      <c r="L74" s="535"/>
      <c r="M74" s="536"/>
      <c r="N74" s="1148"/>
      <c r="O74" s="1148"/>
      <c r="P74" s="45"/>
      <c r="Q74" s="503"/>
    </row>
    <row r="75" spans="1:17" s="470" customFormat="1" ht="15.75" thickTop="1">
      <c r="A75" s="552"/>
      <c r="B75" s="537">
        <f>B25</f>
        <v>111</v>
      </c>
      <c r="C75" s="548"/>
      <c r="D75" s="548"/>
      <c r="E75" s="548"/>
      <c r="F75" s="548"/>
      <c r="G75" s="553"/>
      <c r="H75" s="554"/>
      <c r="I75" s="554"/>
      <c r="J75" s="554"/>
      <c r="K75" s="554"/>
      <c r="L75" s="555"/>
      <c r="M75" s="556"/>
      <c r="N75" s="1149"/>
      <c r="O75" s="1149"/>
      <c r="P75" s="557"/>
      <c r="Q75" s="558"/>
    </row>
    <row r="76" spans="1:17" s="470" customFormat="1" ht="15.75" thickBot="1">
      <c r="A76" s="552"/>
      <c r="B76" s="542"/>
      <c r="C76" s="559"/>
      <c r="D76" s="559"/>
      <c r="E76" s="559"/>
      <c r="F76" s="559"/>
      <c r="G76" s="535"/>
      <c r="H76" s="535"/>
      <c r="I76" s="535"/>
      <c r="J76" s="535"/>
      <c r="K76" s="535"/>
      <c r="L76" s="535"/>
      <c r="M76" s="536"/>
      <c r="N76" s="1149"/>
      <c r="O76" s="1149"/>
      <c r="P76" s="557"/>
      <c r="Q76" s="558"/>
    </row>
    <row r="77" spans="1:17" ht="15" thickTop="1">
      <c r="A77" s="526" t="s">
        <v>2543</v>
      </c>
      <c r="B77" s="527" t="s">
        <v>2596</v>
      </c>
      <c r="C77" s="553"/>
      <c r="D77" s="553"/>
      <c r="E77" s="529"/>
      <c r="F77" s="529"/>
      <c r="G77" s="529"/>
      <c r="H77" s="529"/>
      <c r="I77" s="529"/>
      <c r="J77" s="529"/>
      <c r="K77" s="530"/>
      <c r="L77" s="531"/>
      <c r="M77" s="532"/>
      <c r="N77" s="1147"/>
      <c r="O77" s="1147"/>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8"/>
      <c r="O78" s="1148"/>
      <c r="P78" s="45"/>
      <c r="Q78" s="503"/>
    </row>
    <row r="79" spans="1:17" ht="15.75" thickTop="1">
      <c r="A79" s="533"/>
      <c r="B79" s="537" t="s">
        <v>2712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6"/>
      <c r="O79" s="1146"/>
      <c r="P79" s="45"/>
      <c r="Q79" s="503"/>
    </row>
    <row r="80" spans="1:17" ht="15">
      <c r="A80" s="533"/>
      <c r="B80" s="545"/>
      <c r="C80" s="602">
        <v>0.5</v>
      </c>
      <c r="D80" s="602">
        <v>0.6</v>
      </c>
      <c r="E80" s="602">
        <v>0.7</v>
      </c>
      <c r="F80" s="602">
        <v>0.8</v>
      </c>
      <c r="G80" s="602">
        <v>0.9</v>
      </c>
      <c r="H80" s="602">
        <v>1.0001</v>
      </c>
      <c r="I80" s="658"/>
      <c r="J80" s="658"/>
      <c r="K80" s="666"/>
      <c r="L80" s="667"/>
      <c r="M80" s="668"/>
      <c r="N80" s="1146"/>
      <c r="O80" s="1146"/>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8"/>
      <c r="O81" s="1148"/>
      <c r="P81" s="557"/>
      <c r="Q81" s="558"/>
    </row>
    <row r="82" spans="1:17" ht="15" thickTop="1">
      <c r="A82" s="598"/>
      <c r="B82" s="545" t="s">
        <v>2713</v>
      </c>
      <c r="C82" s="553"/>
      <c r="D82" s="553"/>
      <c r="E82" s="582"/>
      <c r="F82" s="582"/>
      <c r="G82" s="582"/>
      <c r="H82" s="582"/>
      <c r="I82" s="582"/>
      <c r="J82" s="582"/>
      <c r="K82" s="583"/>
      <c r="L82" s="584"/>
      <c r="M82" s="585"/>
      <c r="N82" s="1147"/>
      <c r="O82" s="1147"/>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8"/>
      <c r="O83" s="1148"/>
      <c r="P83" s="45"/>
      <c r="Q83" s="503"/>
    </row>
    <row r="84" spans="1:17" ht="15" thickTop="1">
      <c r="A84" s="598"/>
      <c r="B84" s="537" t="s">
        <v>2721</v>
      </c>
      <c r="C84" s="553"/>
      <c r="D84" s="553"/>
      <c r="E84" s="553"/>
      <c r="F84" s="553"/>
      <c r="G84" s="553"/>
      <c r="H84" s="553"/>
      <c r="I84" s="582"/>
      <c r="J84" s="582"/>
      <c r="K84" s="583"/>
      <c r="L84" s="584"/>
      <c r="M84" s="585"/>
      <c r="N84" s="1147"/>
      <c r="O84" s="1147"/>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8"/>
      <c r="O85" s="1148"/>
      <c r="P85" s="45"/>
      <c r="Q85" s="503"/>
    </row>
    <row r="86" spans="1:17" ht="15" thickTop="1">
      <c r="A86" s="598"/>
      <c r="B86" s="545" t="s">
        <v>2722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47"/>
      <c r="O86" s="1147"/>
      <c r="P86" s="45"/>
      <c r="Q86" s="503"/>
    </row>
    <row r="87" spans="1:17">
      <c r="A87" s="598"/>
      <c r="B87" s="545"/>
      <c r="C87" s="594"/>
      <c r="D87" s="594"/>
      <c r="E87" s="594"/>
      <c r="F87" s="594"/>
      <c r="G87" s="594"/>
      <c r="H87" s="594"/>
      <c r="I87" s="594"/>
      <c r="J87" s="595"/>
      <c r="K87" s="595"/>
      <c r="L87" s="596"/>
      <c r="M87" s="597"/>
      <c r="N87" s="1147"/>
      <c r="O87" s="1147"/>
      <c r="P87" s="45"/>
      <c r="Q87" s="503"/>
    </row>
    <row r="88" spans="1:17" ht="15.75" thickBot="1">
      <c r="A88" s="533"/>
      <c r="B88" s="542"/>
      <c r="C88" s="559"/>
      <c r="D88" s="535"/>
      <c r="E88" s="535"/>
      <c r="F88" s="535"/>
      <c r="G88" s="535"/>
      <c r="H88" s="535"/>
      <c r="I88" s="535"/>
      <c r="J88" s="535"/>
      <c r="K88" s="535"/>
      <c r="L88" s="535"/>
      <c r="M88" s="535"/>
      <c r="N88" s="1148"/>
      <c r="O88" s="1148"/>
      <c r="P88" s="45"/>
      <c r="Q88" s="503"/>
    </row>
    <row r="89" spans="1:17" s="470" customFormat="1" ht="15" thickTop="1">
      <c r="A89" s="592"/>
      <c r="B89" s="537" t="s">
        <v>2723</v>
      </c>
      <c r="C89" s="553"/>
      <c r="D89" s="553"/>
      <c r="E89" s="553"/>
      <c r="F89" s="553"/>
      <c r="G89" s="553"/>
      <c r="H89" s="553"/>
      <c r="I89" s="553"/>
      <c r="J89" s="553"/>
      <c r="K89" s="553"/>
      <c r="L89" s="553"/>
      <c r="M89" s="580"/>
      <c r="N89" s="1149"/>
      <c r="O89" s="1149"/>
      <c r="P89" s="557"/>
      <c r="Q89" s="558"/>
    </row>
    <row r="90" spans="1:17" s="470" customFormat="1" ht="15.75" thickBot="1">
      <c r="A90" s="552"/>
      <c r="B90" s="542"/>
      <c r="C90" s="559"/>
      <c r="D90" s="535"/>
      <c r="E90" s="535"/>
      <c r="F90" s="535"/>
      <c r="G90" s="535"/>
      <c r="H90" s="535"/>
      <c r="I90" s="535"/>
      <c r="J90" s="535"/>
      <c r="K90" s="535"/>
      <c r="L90" s="535"/>
      <c r="M90" s="536"/>
      <c r="N90" s="1149"/>
      <c r="O90" s="1149"/>
      <c r="P90" s="557"/>
      <c r="Q90" s="558"/>
    </row>
    <row r="91" spans="1:17" ht="15" thickTop="1">
      <c r="A91" s="598"/>
      <c r="B91" s="537">
        <f>B32</f>
        <v>111</v>
      </c>
      <c r="C91" s="548"/>
      <c r="D91" s="548"/>
      <c r="E91" s="548"/>
      <c r="F91" s="548"/>
      <c r="G91" s="553"/>
      <c r="H91" s="554"/>
      <c r="I91" s="554"/>
      <c r="J91" s="554"/>
      <c r="K91" s="554"/>
      <c r="L91" s="555"/>
      <c r="M91" s="556"/>
      <c r="N91" s="1147"/>
      <c r="O91" s="1147"/>
      <c r="P91" s="45"/>
      <c r="Q91" s="503"/>
    </row>
    <row r="92" spans="1:17" ht="15.75" thickBot="1">
      <c r="A92" s="533"/>
      <c r="B92" s="542"/>
      <c r="C92" s="559"/>
      <c r="D92" s="535"/>
      <c r="E92" s="535"/>
      <c r="F92" s="535"/>
      <c r="G92" s="559"/>
      <c r="H92" s="561"/>
      <c r="I92" s="561"/>
      <c r="J92" s="561"/>
      <c r="K92" s="561"/>
      <c r="L92" s="561"/>
      <c r="M92" s="562"/>
      <c r="N92" s="1148"/>
      <c r="O92" s="1148"/>
      <c r="P92" s="45"/>
      <c r="Q92" s="503"/>
    </row>
    <row r="93" spans="1:17" ht="15" thickTop="1">
      <c r="A93" s="598"/>
      <c r="B93" s="537">
        <f>B33</f>
        <v>111</v>
      </c>
      <c r="C93" s="548"/>
      <c r="D93" s="548"/>
      <c r="E93" s="548"/>
      <c r="F93" s="548"/>
      <c r="G93" s="553"/>
      <c r="H93" s="554"/>
      <c r="I93" s="554"/>
      <c r="J93" s="554"/>
      <c r="K93" s="554"/>
      <c r="L93" s="555"/>
      <c r="M93" s="556"/>
      <c r="N93" s="1147"/>
      <c r="O93" s="1147"/>
      <c r="P93" s="45"/>
      <c r="Q93" s="503"/>
    </row>
    <row r="94" spans="1:17" ht="15.75" thickBot="1">
      <c r="A94" s="533"/>
      <c r="B94" s="542"/>
      <c r="C94" s="559"/>
      <c r="D94" s="535"/>
      <c r="E94" s="535"/>
      <c r="F94" s="535"/>
      <c r="G94" s="559"/>
      <c r="H94" s="561"/>
      <c r="I94" s="561"/>
      <c r="J94" s="561"/>
      <c r="K94" s="561"/>
      <c r="L94" s="561"/>
      <c r="M94" s="562"/>
      <c r="N94" s="1148"/>
      <c r="O94" s="1148"/>
      <c r="P94" s="45"/>
      <c r="Q94" s="503"/>
    </row>
    <row r="95" spans="1:17" ht="15" thickTop="1">
      <c r="A95" s="598"/>
      <c r="B95" s="634">
        <f>B34</f>
        <v>111</v>
      </c>
      <c r="C95" s="548"/>
      <c r="D95" s="548"/>
      <c r="E95" s="548"/>
      <c r="F95" s="548"/>
      <c r="G95" s="553"/>
      <c r="H95" s="554"/>
      <c r="I95" s="554"/>
      <c r="J95" s="554"/>
      <c r="K95" s="554"/>
      <c r="L95" s="555"/>
      <c r="M95" s="556"/>
      <c r="N95" s="1148"/>
      <c r="O95" s="1148"/>
      <c r="P95" s="635"/>
      <c r="Q95" s="636"/>
    </row>
    <row r="96" spans="1:17" ht="15.75" thickBot="1">
      <c r="A96" s="533"/>
      <c r="B96" s="542"/>
      <c r="C96" s="559"/>
      <c r="D96" s="559"/>
      <c r="E96" s="559"/>
      <c r="F96" s="559"/>
      <c r="G96" s="559"/>
      <c r="H96" s="561"/>
      <c r="I96" s="561"/>
      <c r="J96" s="561"/>
      <c r="K96" s="561"/>
      <c r="L96" s="561"/>
      <c r="M96" s="562"/>
      <c r="N96" s="1148"/>
      <c r="O96" s="1148"/>
      <c r="P96" s="45"/>
      <c r="Q96" s="503"/>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79" customWidth="1"/>
    <col min="2" max="2" width="19.25" style="2885" customWidth="1"/>
    <col min="3" max="4" width="12" style="2703"/>
    <col min="5" max="5" width="14.625" style="2703" customWidth="1"/>
    <col min="6" max="8" width="12" style="2703"/>
    <col min="9" max="9" width="12.25" style="2703" bestFit="1" customWidth="1"/>
    <col min="10" max="10" width="12" style="2703"/>
    <col min="11" max="11" width="8.125" style="2771" customWidth="1"/>
    <col min="12" max="12" width="12" style="2703"/>
    <col min="13" max="13" width="8.5" style="2703" customWidth="1"/>
    <col min="14" max="14" width="9.75" style="2703" customWidth="1"/>
    <col min="15" max="25" width="12" style="2703"/>
    <col min="26" max="26" width="9.375" style="2779" customWidth="1"/>
    <col min="27" max="32" width="9.375" style="1367" customWidth="1"/>
    <col min="33" max="36" width="9.375" style="2779" customWidth="1"/>
    <col min="37" max="38" width="9.375" style="2703" customWidth="1"/>
    <col min="39" max="16384" width="12" style="2703"/>
  </cols>
  <sheetData>
    <row r="1" spans="1:36" ht="28.5">
      <c r="A1" s="239" t="s">
        <v>2782</v>
      </c>
      <c r="B1" s="240"/>
      <c r="C1" s="244" t="s">
        <v>2783</v>
      </c>
      <c r="D1" s="387">
        <f>SUM(D29:D30,D33:D39)</f>
        <v>0</v>
      </c>
      <c r="E1" s="2700"/>
      <c r="F1" s="2700"/>
      <c r="G1" s="2700"/>
      <c r="H1" s="2700"/>
      <c r="I1" s="2700"/>
      <c r="J1" s="2700"/>
      <c r="K1" s="1365"/>
      <c r="L1" s="2701" t="s">
        <v>2784</v>
      </c>
      <c r="M1" s="1075">
        <f>SUMPRODUCT((区片价!B5:B9=I2)*(区片价!C3:F3=E2)*(区片价!C5:F9))</f>
        <v>0</v>
      </c>
      <c r="N1" s="1078">
        <f>SUMPRODUCT((因素修正幅度!B5:B9=I2)*(因素修正幅度!C3:F3=E2)*(因素修正幅度!C5:F9))</f>
        <v>0</v>
      </c>
      <c r="O1" s="2702"/>
      <c r="P1" s="2702"/>
      <c r="Q1" s="1365"/>
      <c r="R1" s="1595" t="s">
        <v>2785</v>
      </c>
      <c r="S1" s="1595" t="s">
        <v>2786</v>
      </c>
      <c r="T1" s="1595" t="s">
        <v>2787</v>
      </c>
      <c r="U1" s="1595" t="s">
        <v>2788</v>
      </c>
      <c r="V1" s="1595" t="s">
        <v>2789</v>
      </c>
      <c r="W1" s="1599"/>
      <c r="X1" s="1599"/>
      <c r="Y1" s="1599"/>
      <c r="Z1" s="1599"/>
      <c r="AA1" s="1599"/>
      <c r="AB1" s="1599"/>
      <c r="AC1" s="1600"/>
      <c r="AD1" s="1601"/>
      <c r="AE1" s="1601"/>
      <c r="AF1" s="1601"/>
      <c r="AG1" s="1601"/>
      <c r="AH1" s="1601"/>
      <c r="AI1" s="1601"/>
      <c r="AJ1" s="1602"/>
    </row>
    <row r="2" spans="1:36" ht="15.75">
      <c r="A2" s="244" t="s">
        <v>2790</v>
      </c>
      <c r="B2" s="247" t="e">
        <f>C26</f>
        <v>#DIV/0!</v>
      </c>
      <c r="C2" s="2704" t="s">
        <v>2791</v>
      </c>
      <c r="D2" s="2705" t="s">
        <v>2792</v>
      </c>
      <c r="E2" s="2706"/>
      <c r="F2" s="2705" t="s">
        <v>2793</v>
      </c>
      <c r="G2" s="2707">
        <f>IF(E2="商业",项目基本情况!B37,IF(E2="办公",项目基本情况!C37,IF(E2="住宅",项目基本情况!D37,项目基本情况!E37)))</f>
        <v>0</v>
      </c>
      <c r="H2" s="2705" t="s">
        <v>2794</v>
      </c>
      <c r="I2" s="2707">
        <f>IF(E2="商业",项目基本情况!B38,IF(E2="办公",项目基本情况!C38,IF(E2="住宅",项目基本情况!D38,项目基本情况!E38)))</f>
        <v>0</v>
      </c>
      <c r="J2" s="2708"/>
      <c r="K2" s="1365"/>
      <c r="L2" s="2709" t="s">
        <v>2795</v>
      </c>
      <c r="M2" s="1076">
        <f>SUMPRODUCT((区片价!B10:B28=I2)*(区片价!C3:F3=E2)*(区片价!C10:F28))</f>
        <v>0</v>
      </c>
      <c r="N2" s="1078">
        <f>SUMPRODUCT((因素修正幅度!B10:B28=I2)*(因素修正幅度!C3:F3=E2)*(因素修正幅度!C10:F28))</f>
        <v>0</v>
      </c>
      <c r="O2" s="1365"/>
      <c r="P2" s="1365"/>
      <c r="Q2" s="1365"/>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75">
      <c r="A3" s="246" t="s">
        <v>2796</v>
      </c>
      <c r="B3" s="247" t="e">
        <f>ROUND(B2*10000/D1,0)</f>
        <v>#DIV/0!</v>
      </c>
      <c r="C3" s="2704" t="s">
        <v>2797</v>
      </c>
      <c r="D3" s="2705" t="s">
        <v>2798</v>
      </c>
      <c r="E3" s="2710"/>
      <c r="F3" s="2711" t="s">
        <v>2799</v>
      </c>
      <c r="G3" s="909">
        <f>IF(F3="宗地容积率",'数据-汇总表'!I4,IF(F3="估价对象容积率",'数据-汇总表'!I6,'数据-汇总表'!I7))</f>
        <v>0.21</v>
      </c>
      <c r="H3" s="197" t="s">
        <v>2800</v>
      </c>
      <c r="I3" s="940"/>
      <c r="J3" s="2708" t="s">
        <v>2801</v>
      </c>
      <c r="K3" s="1365"/>
      <c r="L3" s="2709" t="s">
        <v>2802</v>
      </c>
      <c r="M3" s="1076">
        <f>SUMPRODUCT((区片价!B29:B48=I2)*(区片价!C3:F3=E2)*(区片价!C29:F48))</f>
        <v>0</v>
      </c>
      <c r="N3" s="1078">
        <f>SUMPRODUCT((因素修正幅度!B29:B48=I2)*(因素修正幅度!C3:F3=E2)*(因素修正幅度!C29:F48))</f>
        <v>0</v>
      </c>
      <c r="O3" s="1365"/>
      <c r="P3" s="1365"/>
      <c r="Q3" s="1365"/>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75">
      <c r="A4" s="3303"/>
      <c r="B4" s="3304"/>
      <c r="C4" s="3304"/>
      <c r="D4" s="3305"/>
      <c r="E4" s="3305"/>
      <c r="F4" s="3305"/>
      <c r="G4" s="3305"/>
      <c r="H4" s="3305"/>
      <c r="I4" s="3305"/>
      <c r="J4" s="3306"/>
      <c r="K4" s="1365"/>
      <c r="L4" s="2709" t="s">
        <v>2803</v>
      </c>
      <c r="M4" s="1076">
        <f>SUMPRODUCT((区片价!B49:B75=I2)*(区片价!C3:F3=E2)*(区片价!C49:F75))</f>
        <v>0</v>
      </c>
      <c r="N4" s="1078">
        <f>SUMPRODUCT((因素修正幅度!B49:B75=I2)*(因素修正幅度!C3:F3=E2)*(因素修正幅度!C49:F75))</f>
        <v>0</v>
      </c>
      <c r="O4" s="1365"/>
      <c r="P4" s="1365"/>
      <c r="Q4" s="1365"/>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1" customFormat="1" ht="15.75" thickBot="1">
      <c r="A5" s="2712" t="s">
        <v>807</v>
      </c>
      <c r="B5" s="2713" t="s">
        <v>2804</v>
      </c>
      <c r="C5" s="910" t="e">
        <f>ROUND(IF(E2="商业",IF(F16="增加",C6*C7+C16,C6*C7-C16),IF(E2="住宅",IF(F16="增加",C6*C12+C16,C6*C12-C16),IF(F16="增加",C6+C16,C6-C16))),0)</f>
        <v>#DIV/0!</v>
      </c>
      <c r="D5" s="1780">
        <f>ROUND(IF(E2="商业",IF(F16="增加",C6+C16,C6-C16)),0)</f>
        <v>0</v>
      </c>
      <c r="E5" s="2714"/>
      <c r="F5" s="2714"/>
      <c r="G5" s="2715"/>
      <c r="H5" s="2715"/>
      <c r="I5" s="2715"/>
      <c r="J5" s="2716"/>
      <c r="K5" s="2717"/>
      <c r="L5" s="2709" t="s">
        <v>2805</v>
      </c>
      <c r="M5" s="1076">
        <f>SUMPRODUCT((区片价!B76:B109=I2)*(区片价!C3:F3=E2)*(区片价!C76:F109))</f>
        <v>0</v>
      </c>
      <c r="N5" s="1078">
        <f>SUMPRODUCT((因素修正幅度!B76:B109=I2)*(因素修正幅度!C3:F3=E2)*(因素修正幅度!C76:F109))</f>
        <v>0</v>
      </c>
      <c r="O5" s="1365"/>
      <c r="P5" s="1365"/>
      <c r="Q5" s="1365"/>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18"/>
      <c r="AD5" s="2719"/>
      <c r="AE5" s="2719"/>
      <c r="AF5" s="2719"/>
      <c r="AG5" s="2719"/>
      <c r="AH5" s="2719"/>
      <c r="AI5" s="2719"/>
      <c r="AJ5" s="2720"/>
    </row>
    <row r="6" spans="1:36" ht="15.75" thickBot="1">
      <c r="A6" s="2722" t="s">
        <v>2806</v>
      </c>
      <c r="B6" s="2723" t="s">
        <v>2807</v>
      </c>
      <c r="C6" s="911">
        <f>SUMIF(L1:L12,G2,M1:M12)</f>
        <v>0</v>
      </c>
      <c r="D6" s="2724" t="s">
        <v>2808</v>
      </c>
      <c r="E6" s="2725"/>
      <c r="F6" s="2725"/>
      <c r="G6" s="2726"/>
      <c r="H6" s="2726"/>
      <c r="I6" s="2726"/>
      <c r="J6" s="2727"/>
      <c r="K6" s="1835"/>
      <c r="L6" s="2709" t="s">
        <v>2809</v>
      </c>
      <c r="M6" s="1076">
        <f>SUMPRODUCT((区片价!B110:B157=I2)*(区片价!C3:F3=E2)*(区片价!C110:F157))</f>
        <v>0</v>
      </c>
      <c r="N6" s="1078">
        <f>SUMPRODUCT((因素修正幅度!B110:B157=I2)*(因素修正幅度!C3:F3=E2)*(因素修正幅度!C110:F157))</f>
        <v>0</v>
      </c>
      <c r="O6" s="1365"/>
      <c r="P6" s="1365"/>
      <c r="Q6" s="1365"/>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18"/>
      <c r="AD6" s="2719"/>
      <c r="AE6" s="2719"/>
      <c r="AF6" s="2719"/>
      <c r="AG6" s="2719"/>
      <c r="AH6" s="2719"/>
      <c r="AI6" s="2719"/>
      <c r="AJ6" s="2720"/>
    </row>
    <row r="7" spans="1:36" ht="24">
      <c r="A7" s="3307" t="str">
        <f>IF(E2="商业",IF(C8="不临58条商业街","",2),"")</f>
        <v/>
      </c>
      <c r="B7" s="2728" t="s">
        <v>2810</v>
      </c>
      <c r="C7" s="912" t="e">
        <f>IF(C8="不临58条商业街",1,ROUND(1+(1.6*E8+1.2*E9+0.8*E10+0.4*E11)*C9,4))</f>
        <v>#DIV/0!</v>
      </c>
      <c r="D7" s="2729" t="s">
        <v>2811</v>
      </c>
      <c r="E7" s="941"/>
      <c r="F7" s="2730"/>
      <c r="G7" s="2731"/>
      <c r="H7" s="2731"/>
      <c r="I7" s="2731"/>
      <c r="J7" s="2732"/>
      <c r="K7" s="1835"/>
      <c r="L7" s="2709" t="s">
        <v>2812</v>
      </c>
      <c r="M7" s="1076">
        <f>SUMPRODUCT((区片价!B158:B205=I2)*(区片价!C3:F3=E2)*(区片价!C158:F205))</f>
        <v>0</v>
      </c>
      <c r="N7" s="1078">
        <f>SUMPRODUCT((因素修正幅度!B158:B205=I2)*(因素修正幅度!C3:F3=E2)*(因素修正幅度!C158:F205))</f>
        <v>0</v>
      </c>
      <c r="O7" s="1365"/>
      <c r="P7" s="1365"/>
      <c r="Q7" s="1365"/>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2813</v>
      </c>
      <c r="X7" s="1597">
        <f>G2</f>
        <v>0</v>
      </c>
      <c r="Y7" s="1597" t="s">
        <v>2814</v>
      </c>
      <c r="Z7" s="1598">
        <f>G3</f>
        <v>0.21</v>
      </c>
      <c r="AA7" s="1599"/>
      <c r="AB7" s="1599"/>
      <c r="AC7" s="1600"/>
      <c r="AD7" s="1601"/>
      <c r="AE7" s="1601"/>
      <c r="AF7" s="1601"/>
      <c r="AG7" s="1601"/>
      <c r="AH7" s="1601"/>
      <c r="AI7" s="1601"/>
      <c r="AJ7" s="1602"/>
    </row>
    <row r="8" spans="1:36" ht="15">
      <c r="A8" s="3308"/>
      <c r="B8" s="197" t="s">
        <v>2815</v>
      </c>
      <c r="C8" s="2733"/>
      <c r="D8" s="913" t="s">
        <v>139</v>
      </c>
      <c r="E8" s="914" t="e">
        <f>ROUND(C11/E7,4)</f>
        <v>#DIV/0!</v>
      </c>
      <c r="F8" s="2734" t="s">
        <v>2816</v>
      </c>
      <c r="G8" s="2735"/>
      <c r="H8" s="2735"/>
      <c r="I8" s="2735"/>
      <c r="J8" s="2736"/>
      <c r="K8" s="1365"/>
      <c r="L8" s="2709" t="s">
        <v>2817</v>
      </c>
      <c r="M8" s="1076">
        <f>SUMPRODUCT((区片价!B206:B244=I2)*(区片价!C3:F3=E2)*(区片价!C206:F244))</f>
        <v>0</v>
      </c>
      <c r="N8" s="1078">
        <f>SUMPRODUCT((因素修正幅度!B206:B244=I2)*(因素修正幅度!C3:F3=E2)*(因素修正幅度!C206:F244))</f>
        <v>0</v>
      </c>
      <c r="O8" s="1365"/>
      <c r="P8" s="1365"/>
      <c r="Q8" s="1365"/>
      <c r="R8" s="1595">
        <v>7</v>
      </c>
      <c r="S8" s="1596"/>
      <c r="T8" s="1595" t="e">
        <f t="shared" si="0"/>
        <v>#DIV/0!</v>
      </c>
      <c r="U8" s="1596"/>
      <c r="V8" s="1595" t="e">
        <f t="shared" si="1"/>
        <v>#DIV/0!</v>
      </c>
      <c r="W8" s="3300" t="s">
        <v>2818</v>
      </c>
      <c r="X8" s="3301"/>
      <c r="Y8" s="1603" t="s">
        <v>2819</v>
      </c>
      <c r="Z8" s="1603" t="s">
        <v>2820</v>
      </c>
      <c r="AA8" s="1603" t="s">
        <v>2821</v>
      </c>
      <c r="AB8" s="1603" t="s">
        <v>2822</v>
      </c>
      <c r="AC8" s="1603" t="s">
        <v>2823</v>
      </c>
      <c r="AD8" s="1603" t="s">
        <v>2824</v>
      </c>
      <c r="AE8" s="1603" t="s">
        <v>2825</v>
      </c>
      <c r="AF8" s="1603" t="s">
        <v>2826</v>
      </c>
      <c r="AG8" s="1603" t="s">
        <v>2827</v>
      </c>
      <c r="AH8" s="1603" t="s">
        <v>2828</v>
      </c>
      <c r="AI8" s="1603" t="s">
        <v>2829</v>
      </c>
      <c r="AJ8" s="1603" t="s">
        <v>2830</v>
      </c>
    </row>
    <row r="9" spans="1:36" ht="15">
      <c r="A9" s="3308"/>
      <c r="B9" s="197" t="s">
        <v>2831</v>
      </c>
      <c r="C9" s="915">
        <f>SUMIF(修正!C59:C119,C8,修正!E59:E119)</f>
        <v>0</v>
      </c>
      <c r="D9" s="199" t="s">
        <v>140</v>
      </c>
      <c r="E9" s="199" t="e">
        <f>ROUND(C11/E7,4)</f>
        <v>#DIV/0!</v>
      </c>
      <c r="F9" s="2734" t="s">
        <v>2832</v>
      </c>
      <c r="G9" s="2735"/>
      <c r="H9" s="2735"/>
      <c r="I9" s="2735"/>
      <c r="J9" s="2736"/>
      <c r="K9" s="1365"/>
      <c r="L9" s="2709" t="s">
        <v>2833</v>
      </c>
      <c r="M9" s="1076">
        <f>SUMPRODUCT((区片价!B245:B289=I2)*(区片价!C3:F3=E2)*(区片价!C245:F289))</f>
        <v>0</v>
      </c>
      <c r="N9" s="1078">
        <f>SUMPRODUCT((因素修正幅度!B245:B289=I2)*(因素修正幅度!C3:F3=E2)*(因素修正幅度!C245:F289))</f>
        <v>0</v>
      </c>
      <c r="O9" s="1365"/>
      <c r="P9" s="1365"/>
      <c r="Q9" s="1365"/>
      <c r="R9" s="1595">
        <v>8</v>
      </c>
      <c r="S9" s="1596"/>
      <c r="T9" s="1595" t="e">
        <f t="shared" si="0"/>
        <v>#DIV/0!</v>
      </c>
      <c r="U9" s="1596"/>
      <c r="V9" s="1595" t="e">
        <f t="shared" si="1"/>
        <v>#DIV/0!</v>
      </c>
      <c r="W9" s="3302" t="s">
        <v>2834</v>
      </c>
      <c r="X9" s="1604" t="s">
        <v>2835</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08"/>
      <c r="B10" s="197" t="s">
        <v>2836</v>
      </c>
      <c r="C10" s="199">
        <f>SUMIF(修正!C59:C119,C8,修正!F59:F119)</f>
        <v>0</v>
      </c>
      <c r="D10" s="199" t="s">
        <v>141</v>
      </c>
      <c r="E10" s="199" t="e">
        <f>ROUND(C11/E7,4)</f>
        <v>#DIV/0!</v>
      </c>
      <c r="F10" s="2734" t="s">
        <v>2837</v>
      </c>
      <c r="G10" s="2735"/>
      <c r="H10" s="2735"/>
      <c r="I10" s="2735"/>
      <c r="J10" s="2736"/>
      <c r="K10" s="1365"/>
      <c r="L10" s="2709" t="s">
        <v>2838</v>
      </c>
      <c r="M10" s="1076">
        <f>SUMPRODUCT((区片价!B290:B316=I2)*(区片价!C3:F3=E2)*(区片价!C290:F316))</f>
        <v>0</v>
      </c>
      <c r="N10" s="1078">
        <f>SUMPRODUCT((因素修正幅度!B290:B316=I2)*(因素修正幅度!C3:F3=E2)*(因素修正幅度!C290:F316))</f>
        <v>0</v>
      </c>
      <c r="O10" s="1365"/>
      <c r="P10" s="1365"/>
      <c r="Q10" s="1365"/>
      <c r="R10" s="1595">
        <v>9</v>
      </c>
      <c r="S10" s="1596"/>
      <c r="T10" s="1595" t="e">
        <f t="shared" si="0"/>
        <v>#DIV/0!</v>
      </c>
      <c r="U10" s="1596"/>
      <c r="V10" s="1595" t="e">
        <f t="shared" si="1"/>
        <v>#DIV/0!</v>
      </c>
      <c r="W10" s="3302"/>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308"/>
      <c r="B11" s="2737" t="s">
        <v>2839</v>
      </c>
      <c r="C11" s="916">
        <f>C10/4</f>
        <v>0</v>
      </c>
      <c r="D11" s="916" t="s">
        <v>142</v>
      </c>
      <c r="E11" s="916" t="e">
        <f>ROUND(C11/E7,4)</f>
        <v>#DIV/0!</v>
      </c>
      <c r="F11" s="2738" t="s">
        <v>2840</v>
      </c>
      <c r="G11" s="2739"/>
      <c r="H11" s="2739"/>
      <c r="I11" s="2739"/>
      <c r="J11" s="2740"/>
      <c r="K11" s="1365"/>
      <c r="L11" s="2709" t="s">
        <v>2841</v>
      </c>
      <c r="M11" s="1076">
        <f>SUMPRODUCT((区片价!B317:B337=I2)*(区片价!C3:F3=E2)*(区片价!C317:F337))</f>
        <v>0</v>
      </c>
      <c r="N11" s="1078">
        <f>SUMPRODUCT((因素修正幅度!B317:B337=I2)*(因素修正幅度!C3:F3=E2)*(因素修正幅度!C317:F337))</f>
        <v>0</v>
      </c>
      <c r="O11" s="1365"/>
      <c r="P11" s="1365"/>
      <c r="Q11" s="1365"/>
      <c r="R11" s="1595">
        <v>10</v>
      </c>
      <c r="S11" s="1596"/>
      <c r="T11" s="1595" t="e">
        <f t="shared" si="0"/>
        <v>#DIV/0!</v>
      </c>
      <c r="U11" s="1596"/>
      <c r="V11" s="1595" t="e">
        <f t="shared" si="1"/>
        <v>#DIV/0!</v>
      </c>
      <c r="W11" s="3302" t="s">
        <v>2842</v>
      </c>
      <c r="X11" s="1607" t="s">
        <v>2843</v>
      </c>
      <c r="Y11" s="1608">
        <f>$G$3</f>
        <v>0.21</v>
      </c>
      <c r="Z11" s="1608">
        <f t="shared" ref="Z11:AJ11" si="3">$G$3</f>
        <v>0.21</v>
      </c>
      <c r="AA11" s="1608">
        <f t="shared" si="3"/>
        <v>0.21</v>
      </c>
      <c r="AB11" s="1608">
        <f t="shared" si="3"/>
        <v>0.21</v>
      </c>
      <c r="AC11" s="1608">
        <f t="shared" si="3"/>
        <v>0.21</v>
      </c>
      <c r="AD11" s="1608">
        <f t="shared" si="3"/>
        <v>0.21</v>
      </c>
      <c r="AE11" s="1608">
        <f t="shared" si="3"/>
        <v>0.21</v>
      </c>
      <c r="AF11" s="1608">
        <f t="shared" si="3"/>
        <v>0.21</v>
      </c>
      <c r="AG11" s="1608">
        <f t="shared" si="3"/>
        <v>0.21</v>
      </c>
      <c r="AH11" s="1608">
        <f t="shared" si="3"/>
        <v>0.21</v>
      </c>
      <c r="AI11" s="1608">
        <f t="shared" si="3"/>
        <v>0.21</v>
      </c>
      <c r="AJ11" s="1608">
        <f t="shared" si="3"/>
        <v>0.21</v>
      </c>
    </row>
    <row r="12" spans="1:36" ht="25.5" thickBot="1">
      <c r="A12" s="3307" t="s">
        <v>2844</v>
      </c>
      <c r="B12" s="2741" t="s">
        <v>2845</v>
      </c>
      <c r="C12" s="912">
        <f>ROUND(C15*D15*E15*F15*G15*H15*I15*J15,4)</f>
        <v>1</v>
      </c>
      <c r="D12" s="2742" t="s">
        <v>2846</v>
      </c>
      <c r="E12" s="2743"/>
      <c r="F12" s="2743"/>
      <c r="G12" s="2744"/>
      <c r="H12" s="2744"/>
      <c r="I12" s="2744"/>
      <c r="J12" s="2745"/>
      <c r="K12" s="1365"/>
      <c r="L12" s="2746" t="s">
        <v>2847</v>
      </c>
      <c r="M12" s="1077">
        <f>SUMPRODUCT((区片价!B338:B344=I2)*(区片价!C3:F3=E2)*(区片价!C338:F344))</f>
        <v>0</v>
      </c>
      <c r="N12" s="1078">
        <f>SUMPRODUCT((因素修正幅度!B338:B344=I2)*(因素修正幅度!C3:F3=E2)*(因素修正幅度!C338:F344))</f>
        <v>0</v>
      </c>
      <c r="O12" s="1365"/>
      <c r="P12" s="1365"/>
      <c r="Q12" s="1365"/>
      <c r="R12" s="1595">
        <v>11</v>
      </c>
      <c r="S12" s="1596"/>
      <c r="T12" s="1595" t="e">
        <f t="shared" si="0"/>
        <v>#DIV/0!</v>
      </c>
      <c r="U12" s="1596"/>
      <c r="V12" s="1595" t="e">
        <f t="shared" si="1"/>
        <v>#DIV/0!</v>
      </c>
      <c r="W12" s="3302"/>
      <c r="X12" s="1609" t="s">
        <v>2848</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09"/>
      <c r="B13" s="2747" t="s">
        <v>2849</v>
      </c>
      <c r="C13" s="2748" t="s">
        <v>2850</v>
      </c>
      <c r="D13" s="1801" t="s">
        <v>2851</v>
      </c>
      <c r="E13" s="1801" t="s">
        <v>2852</v>
      </c>
      <c r="F13" s="30" t="s">
        <v>2853</v>
      </c>
      <c r="G13" s="2749" t="s">
        <v>2854</v>
      </c>
      <c r="H13" s="2749" t="s">
        <v>2854</v>
      </c>
      <c r="I13" s="2749" t="s">
        <v>2854</v>
      </c>
      <c r="J13" s="2750" t="s">
        <v>2854</v>
      </c>
      <c r="K13" s="1365"/>
      <c r="L13" s="1365"/>
      <c r="M13" s="1365"/>
      <c r="N13" s="1365"/>
      <c r="O13" s="1365"/>
      <c r="P13" s="1365"/>
      <c r="Q13" s="1365"/>
      <c r="R13" s="1595">
        <v>12</v>
      </c>
      <c r="S13" s="1596"/>
      <c r="T13" s="1595" t="e">
        <f t="shared" si="0"/>
        <v>#DIV/0!</v>
      </c>
      <c r="U13" s="1596"/>
      <c r="V13" s="1595" t="e">
        <f t="shared" si="1"/>
        <v>#DIV/0!</v>
      </c>
      <c r="W13" s="3302"/>
      <c r="X13" s="1609"/>
      <c r="Y13" s="1606">
        <f>(-0.163*(Y12^2)-0.59*Y12+7617)*(10^(-4))/Y11</f>
        <v>3.6271428571428577</v>
      </c>
      <c r="Z13" s="1606">
        <f t="shared" ref="Z13:AJ13" si="5">(-0.163*(Z12^2)-0.59*Z12+7617)*(10^(-4))/Z11</f>
        <v>3.6271428571428577</v>
      </c>
      <c r="AA13" s="1606">
        <f t="shared" si="5"/>
        <v>3.6271428571428577</v>
      </c>
      <c r="AB13" s="1606">
        <f t="shared" si="5"/>
        <v>3.6271428571428577</v>
      </c>
      <c r="AC13" s="1606">
        <f t="shared" si="5"/>
        <v>3.6271428571428577</v>
      </c>
      <c r="AD13" s="1606">
        <f t="shared" si="5"/>
        <v>3.6271428571428577</v>
      </c>
      <c r="AE13" s="1606">
        <f t="shared" si="5"/>
        <v>3.6271428571428577</v>
      </c>
      <c r="AF13" s="1606">
        <f t="shared" si="5"/>
        <v>3.6271428571428577</v>
      </c>
      <c r="AG13" s="1606">
        <f t="shared" si="5"/>
        <v>3.6271428571428577</v>
      </c>
      <c r="AH13" s="1606">
        <f t="shared" si="5"/>
        <v>3.6271428571428577</v>
      </c>
      <c r="AI13" s="1606">
        <f t="shared" si="5"/>
        <v>3.6271428571428577</v>
      </c>
      <c r="AJ13" s="1606">
        <f t="shared" si="5"/>
        <v>3.6271428571428577</v>
      </c>
    </row>
    <row r="14" spans="1:36" ht="15">
      <c r="A14" s="3309"/>
      <c r="B14" s="2751"/>
      <c r="C14" s="2752"/>
      <c r="D14" s="2753"/>
      <c r="E14" s="2753"/>
      <c r="F14" s="2754"/>
      <c r="G14" s="2755" t="s">
        <v>2855</v>
      </c>
      <c r="H14" s="2756"/>
      <c r="I14" s="2757"/>
      <c r="J14" s="2758"/>
      <c r="K14" s="1365"/>
      <c r="L14" s="1365"/>
      <c r="M14" s="1365"/>
      <c r="N14" s="1365"/>
      <c r="O14" s="1365"/>
      <c r="P14" s="1365"/>
      <c r="Q14" s="1365"/>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75" thickBot="1">
      <c r="A15" s="3310"/>
      <c r="B15" s="2759" t="s">
        <v>2856</v>
      </c>
      <c r="C15" s="228">
        <f>IF(C14="有",1.1,1)</f>
        <v>1</v>
      </c>
      <c r="D15" s="228">
        <f>IF(D14="有",1.1,1)</f>
        <v>1</v>
      </c>
      <c r="E15" s="228">
        <f>IF(E14="有",1.1,1)</f>
        <v>1</v>
      </c>
      <c r="F15" s="228">
        <f>IF(F14="500米范围内",1.2,IF(F14="500-1000米",1.1,1))</f>
        <v>1</v>
      </c>
      <c r="G15" s="942">
        <v>1</v>
      </c>
      <c r="H15" s="942">
        <v>1</v>
      </c>
      <c r="I15" s="942">
        <v>1</v>
      </c>
      <c r="J15" s="943">
        <v>1</v>
      </c>
      <c r="K15" s="1365"/>
      <c r="L15" s="2760" t="s">
        <v>2792</v>
      </c>
      <c r="M15" s="913" t="s">
        <v>2857</v>
      </c>
      <c r="N15" s="913" t="s">
        <v>2858</v>
      </c>
      <c r="O15" s="913" t="s">
        <v>2859</v>
      </c>
      <c r="P15" s="2761" t="s">
        <v>2860</v>
      </c>
      <c r="Q15" s="1365"/>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
      <c r="A16" s="3307" t="s">
        <v>2861</v>
      </c>
      <c r="B16" s="2728" t="s">
        <v>2862</v>
      </c>
      <c r="C16" s="1794" t="e">
        <f>ROUND(SUM(G17:J17)/C17,0)</f>
        <v>#DIV/0!</v>
      </c>
      <c r="D16" s="2762" t="s">
        <v>2863</v>
      </c>
      <c r="E16" s="2763"/>
      <c r="F16" s="2764"/>
      <c r="G16" s="2765"/>
      <c r="H16" s="2765"/>
      <c r="I16" s="2765"/>
      <c r="J16" s="2766"/>
      <c r="K16" s="1365"/>
      <c r="L16" s="2767" t="s">
        <v>2864</v>
      </c>
      <c r="M16" s="915">
        <v>0.25</v>
      </c>
      <c r="N16" s="915">
        <v>0.2</v>
      </c>
      <c r="O16" s="915">
        <v>0.15</v>
      </c>
      <c r="P16" s="1364">
        <v>0.1</v>
      </c>
      <c r="Q16" s="1365"/>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5" thickBot="1">
      <c r="A17" s="3308"/>
      <c r="B17" s="2768" t="s">
        <v>2865</v>
      </c>
      <c r="C17" s="917">
        <f>SUMPRODUCT((修正!A2:A5=E2)*(修正!B1:M1=G2)*(修正!B2:M5))</f>
        <v>0</v>
      </c>
      <c r="D17" s="2769" t="s">
        <v>2866</v>
      </c>
      <c r="E17" s="916" t="str">
        <f>IF(OR(G2="八级",G2="九级",G2="十级",G2="十一级",G2="十二级"),"五通一平","七通一平")</f>
        <v>七通一平</v>
      </c>
      <c r="F17" s="917" t="s">
        <v>2867</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5"/>
      <c r="L17" s="2770" t="s">
        <v>2868</v>
      </c>
      <c r="M17" s="210">
        <f ca="1">ROUND($E$20*(1+M16),3)</f>
        <v>5.3999999999999999E-2</v>
      </c>
      <c r="N17" s="210">
        <f ca="1">ROUND($E$20*(1+N16),3)</f>
        <v>5.1999999999999998E-2</v>
      </c>
      <c r="O17" s="210">
        <f ca="1">ROUND($E$20*(1+O16),3)</f>
        <v>0.05</v>
      </c>
      <c r="P17" s="1368">
        <f ca="1">ROUND($E$20*(1+P16),3)</f>
        <v>4.8000000000000001E-2</v>
      </c>
      <c r="Q17" s="1365"/>
      <c r="R17" s="1365"/>
      <c r="S17" s="1365"/>
      <c r="T17" s="1365"/>
      <c r="U17" s="1365"/>
      <c r="V17" s="1365"/>
      <c r="W17" s="1365"/>
      <c r="X17" s="1365"/>
      <c r="Y17" s="1365"/>
      <c r="Z17" s="1366"/>
      <c r="AE17" s="2771"/>
      <c r="AF17" s="2771"/>
      <c r="AG17" s="2703"/>
      <c r="AH17" s="2703"/>
      <c r="AI17" s="2703"/>
      <c r="AJ17" s="2703"/>
    </row>
    <row r="18" spans="1:37" s="2721" customFormat="1" ht="15.75" thickBot="1">
      <c r="A18" s="2772" t="s">
        <v>808</v>
      </c>
      <c r="B18" s="2773" t="s">
        <v>2869</v>
      </c>
      <c r="C18" s="919">
        <f>SUMIF(修正!C18:C39,E3,修正!E18:E39)</f>
        <v>0</v>
      </c>
      <c r="D18" s="2774"/>
      <c r="E18" s="2775"/>
      <c r="F18" s="2776"/>
      <c r="G18" s="2777"/>
      <c r="H18" s="2777"/>
      <c r="I18" s="2777"/>
      <c r="J18" s="2778"/>
      <c r="K18" s="1372"/>
      <c r="O18" s="1370"/>
      <c r="P18" s="1370"/>
      <c r="Q18" s="1371"/>
      <c r="R18" s="1371"/>
      <c r="S18" s="1371"/>
      <c r="T18" s="1366"/>
      <c r="U18" s="1366"/>
      <c r="V18" s="1366"/>
      <c r="W18" s="1365"/>
      <c r="X18" s="1365"/>
      <c r="Y18" s="1365"/>
      <c r="Z18" s="1372"/>
      <c r="AA18" s="1373"/>
      <c r="AB18" s="1373"/>
      <c r="AC18" s="1373"/>
      <c r="AD18" s="1373"/>
      <c r="AE18" s="1367"/>
      <c r="AF18" s="1367"/>
      <c r="AG18" s="2779"/>
      <c r="AH18" s="2779"/>
      <c r="AI18" s="2779"/>
    </row>
    <row r="19" spans="1:37" s="2721" customFormat="1" ht="27.75" thickBot="1">
      <c r="A19" s="2772" t="s">
        <v>809</v>
      </c>
      <c r="B19" s="2773" t="s">
        <v>2870</v>
      </c>
      <c r="C19" s="920" t="e">
        <f>ROUND(IF(H19="按公示增长率计算",SUMPRODUCT((地价!A3:A22=YEAR(G19)&amp;"-"&amp;ROUNDUP(MONTH(G19)/3,0))*(地价!X2:AB2=E2)*(地价!X3:AB22)),IF(H19="地价指数",M20/M19,(1+I19)^O19)),4)</f>
        <v>#DIV/0!</v>
      </c>
      <c r="D19" s="2780" t="s">
        <v>2871</v>
      </c>
      <c r="E19" s="921">
        <v>41640</v>
      </c>
      <c r="F19" s="2780" t="s">
        <v>2872</v>
      </c>
      <c r="G19" s="922">
        <f>'数据-取费表'!B2</f>
        <v>43216</v>
      </c>
      <c r="H19" s="2781" t="s">
        <v>2873</v>
      </c>
      <c r="I19" s="923" t="str">
        <f>IF(H19="季度增幅（自定义）",SUMIF(N21:N24,E2,O21:O24),"")</f>
        <v/>
      </c>
      <c r="J19" s="2778"/>
      <c r="K19" s="1372"/>
      <c r="L19" s="2782" t="s">
        <v>2874</v>
      </c>
      <c r="M19" s="1727">
        <f>ROUND(SUMIF(地价!B2:F2,E2,地价!B22:F22),0)</f>
        <v>0</v>
      </c>
      <c r="N19" s="2783" t="s">
        <v>2875</v>
      </c>
      <c r="O19" s="924">
        <f>ROUNDDOWN(DATEDIF(E19,G19,"M")/3,0)</f>
        <v>17</v>
      </c>
      <c r="P19" s="1369"/>
      <c r="Q19" s="1371"/>
      <c r="R19" s="1371"/>
      <c r="S19" s="1371"/>
      <c r="T19" s="1366"/>
      <c r="U19" s="1366"/>
      <c r="V19" s="1366"/>
      <c r="W19" s="1365"/>
      <c r="X19" s="1365"/>
      <c r="Y19" s="1365"/>
      <c r="Z19" s="1372"/>
      <c r="AA19" s="1373"/>
      <c r="AB19" s="1373"/>
      <c r="AC19" s="1373"/>
      <c r="AD19" s="1373"/>
      <c r="AE19" s="1373"/>
      <c r="AF19" s="2784"/>
      <c r="AG19" s="2785"/>
      <c r="AH19" s="2779"/>
      <c r="AI19" s="2786"/>
      <c r="AJ19" s="2786"/>
      <c r="AK19" s="2786"/>
    </row>
    <row r="20" spans="1:37" s="2721" customFormat="1" ht="27.75" thickBot="1">
      <c r="A20" s="2787" t="s">
        <v>810</v>
      </c>
      <c r="B20" s="2788" t="s">
        <v>2876</v>
      </c>
      <c r="C20" s="925" t="e">
        <f>ROUND(POWER(1+G20,J20-I20)*(POWER(1+G20,I20)-1)/(POWER(1+G20,J20)-1),4)</f>
        <v>#DIV/0!</v>
      </c>
      <c r="D20" s="2789" t="s">
        <v>2877</v>
      </c>
      <c r="E20" s="1761">
        <f ca="1">存贷款利率!D4/100</f>
        <v>4.3499999999999997E-2</v>
      </c>
      <c r="F20" s="2789" t="s">
        <v>2868</v>
      </c>
      <c r="G20" s="930">
        <f>SUMIF(M15:P15,E2,M17:P17)</f>
        <v>0</v>
      </c>
      <c r="H20" s="2789" t="s">
        <v>2878</v>
      </c>
      <c r="I20" s="931" t="e">
        <f>SUMIF('数据-取费表'!C6:C15,E2,'数据-取费表'!F6:F15)/COUNTIF('数据-取费表'!C6:C15,E2)</f>
        <v>#DIV/0!</v>
      </c>
      <c r="J20" s="932">
        <f>IF(E2="住宅",70,IF(E2="商业",40,50))</f>
        <v>50</v>
      </c>
      <c r="K20" s="1372"/>
      <c r="L20" s="2790" t="s">
        <v>2879</v>
      </c>
      <c r="M20" s="1728">
        <f>ROUND(SUMPRODUCT((地价!A4:A22=YEAR(G19)&amp;"-"&amp;ROUNDUP(MONTH(G19)/3,0))*(地价!B2:F2=E2)*(地价!B4:F22)),0)</f>
        <v>0</v>
      </c>
      <c r="N20" s="2791" t="s">
        <v>2880</v>
      </c>
      <c r="O20" s="2792" t="s">
        <v>2881</v>
      </c>
      <c r="P20" s="2793" t="s">
        <v>2882</v>
      </c>
      <c r="R20" s="1371"/>
      <c r="S20" s="1371"/>
      <c r="T20" s="1366"/>
      <c r="U20" s="1366"/>
      <c r="V20" s="1366"/>
      <c r="W20" s="1365"/>
      <c r="X20" s="1365"/>
      <c r="Y20" s="1365"/>
      <c r="Z20" s="1372"/>
      <c r="AA20" s="1373"/>
      <c r="AB20" s="1373"/>
      <c r="AC20" s="1373"/>
      <c r="AD20" s="1373"/>
      <c r="AE20" s="1373"/>
      <c r="AF20" s="1373"/>
    </row>
    <row r="21" spans="1:37" s="2721" customFormat="1" ht="15">
      <c r="A21" s="2794" t="s">
        <v>811</v>
      </c>
      <c r="B21" s="2795" t="s">
        <v>2883</v>
      </c>
      <c r="C21" s="933">
        <f>IF(B21="容积率修正",IF(G3&lt;=10,D22,J22),C23)</f>
        <v>0</v>
      </c>
      <c r="D21" s="2796"/>
      <c r="E21" s="2796"/>
      <c r="F21" s="2796"/>
      <c r="G21" s="2796"/>
      <c r="H21" s="2796"/>
      <c r="I21" s="2796"/>
      <c r="J21" s="2797"/>
      <c r="K21" s="1372"/>
      <c r="N21" s="2798" t="s">
        <v>2884</v>
      </c>
      <c r="O21" s="1556"/>
      <c r="P21" s="1557">
        <f>SUMPRODUCT((地价!A3:A22=YEAR(G19)&amp;"-"&amp;ROUNDUP(MONTH(G19)/3,0))*(地价!AD2:AH2=N21)*(地价!AD3:AH22))</f>
        <v>1.46E-2</v>
      </c>
      <c r="R21" s="1371"/>
      <c r="S21" s="1371"/>
      <c r="T21" s="1366"/>
      <c r="U21" s="1366"/>
      <c r="V21" s="1366"/>
      <c r="W21" s="1365"/>
      <c r="X21" s="1365"/>
      <c r="Y21" s="1365"/>
      <c r="Z21" s="1372"/>
      <c r="AA21" s="1373"/>
      <c r="AB21" s="1373"/>
      <c r="AC21" s="1373"/>
      <c r="AD21" s="1373"/>
      <c r="AE21" s="1373"/>
      <c r="AF21" s="1373"/>
    </row>
    <row r="22" spans="1:37" s="2721" customFormat="1" ht="14.25">
      <c r="A22" s="2648" t="s">
        <v>2885</v>
      </c>
      <c r="B22" s="2799" t="s">
        <v>2886</v>
      </c>
      <c r="C22" s="1803" t="s">
        <v>2887</v>
      </c>
      <c r="D22" s="1803">
        <f>IF(E22=G22,F22,IF(G3&lt;=10,ROUND(F22+(H22-F22)*(G3-E22)/(G22-E22),4),"——"))</f>
        <v>0</v>
      </c>
      <c r="E22" s="909">
        <f>ROUNDDOWN(G3,1)</f>
        <v>0.2</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0.30000000000000004</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4" t="str">
        <f>IF(G3&gt;10,D113,"——")</f>
        <v>——</v>
      </c>
      <c r="K22" s="1372"/>
      <c r="N22" s="2798" t="s">
        <v>2888</v>
      </c>
      <c r="O22" s="1556"/>
      <c r="P22" s="1557">
        <f>SUMPRODUCT((地价!A3:A22=YEAR(G19)&amp;"-"&amp;ROUNDUP(MONTH(G19)/3,0))*(地价!AD2:AH2=N22)*(地价!AD3:AH22))</f>
        <v>1.46E-2</v>
      </c>
      <c r="R22" s="1371"/>
      <c r="S22" s="1371"/>
      <c r="T22" s="1366"/>
      <c r="U22" s="1366"/>
      <c r="V22" s="1366"/>
      <c r="W22" s="1365"/>
      <c r="X22" s="1365"/>
      <c r="Y22" s="1365"/>
      <c r="Z22" s="1372"/>
      <c r="AA22" s="1373"/>
      <c r="AB22" s="1373"/>
      <c r="AC22" s="1373"/>
      <c r="AD22" s="1373"/>
      <c r="AE22" s="1373"/>
      <c r="AF22" s="1373"/>
    </row>
    <row r="23" spans="1:37" ht="27.75" thickBot="1">
      <c r="A23" s="2648" t="s">
        <v>2889</v>
      </c>
      <c r="B23" s="2800" t="s">
        <v>2890</v>
      </c>
      <c r="C23" s="1009">
        <f>ROUND(IF(G3&gt;1,IF(I3&lt;7,SUMPRODUCT((B93:B98=I3)*(C92:N92=G2)*(C93:N98)),SUMIF(C92:N92,G2,C100:N100)),IF(I3&lt;7,SUMPRODUCT((B102:B107=I3)*(C92:N92=G2)*(C102:N107)),SUMIF(C92:N92,G2,C109:N109))),4)</f>
        <v>0</v>
      </c>
      <c r="D23" s="2756"/>
      <c r="E23" s="2756"/>
      <c r="F23" s="2801"/>
      <c r="G23" s="2802"/>
      <c r="H23" s="2803"/>
      <c r="I23" s="2804"/>
      <c r="J23" s="2805"/>
      <c r="K23" s="1365"/>
      <c r="N23" s="2798" t="s">
        <v>2891</v>
      </c>
      <c r="O23" s="1556"/>
      <c r="P23" s="1557">
        <f>SUMPRODUCT((地价!A3:A22=YEAR(G19)&amp;"-"&amp;ROUNDUP(MONTH(G19)/3,0))*(地价!AD2:AH2=N23)*(地价!AD3:AH22))</f>
        <v>2.41E-2</v>
      </c>
      <c r="R23" s="1371"/>
      <c r="S23" s="1371"/>
      <c r="T23" s="1366"/>
      <c r="U23" s="1366"/>
      <c r="V23" s="1366"/>
      <c r="W23" s="1365"/>
      <c r="X23" s="1365"/>
      <c r="Y23" s="1365"/>
      <c r="Z23" s="1372"/>
      <c r="AA23" s="1373"/>
      <c r="AB23" s="1373"/>
      <c r="AC23" s="1373"/>
      <c r="AD23" s="1373"/>
      <c r="AK23" s="2779"/>
    </row>
    <row r="24" spans="1:37" s="2721" customFormat="1" ht="15.75" thickBot="1">
      <c r="A24" s="2787" t="s">
        <v>812</v>
      </c>
      <c r="B24" s="2773" t="s">
        <v>2892</v>
      </c>
      <c r="C24" s="920">
        <f>SUMIF(A45:A88,E2,B45:B88)</f>
        <v>0</v>
      </c>
      <c r="D24" s="2776"/>
      <c r="E24" s="2806"/>
      <c r="F24" s="2806"/>
      <c r="G24" s="2806"/>
      <c r="H24" s="2806"/>
      <c r="I24" s="2806"/>
      <c r="J24" s="2807"/>
      <c r="K24" s="1372"/>
      <c r="N24" s="2808" t="s">
        <v>2893</v>
      </c>
      <c r="O24" s="1558"/>
      <c r="P24" s="1559">
        <f>SUMPRODUCT((地价!A3:A22=YEAR(G19)&amp;"-"&amp;ROUNDUP(MONTH(G19)/3,0))*(地价!AD2:AH2=N24)*(地价!AD3:AH22))</f>
        <v>1.24E-2</v>
      </c>
      <c r="R24" s="1371"/>
      <c r="S24" s="1371"/>
      <c r="T24" s="1366"/>
      <c r="U24" s="1366"/>
      <c r="V24" s="1366"/>
      <c r="W24" s="1365"/>
      <c r="X24" s="1365"/>
      <c r="Y24" s="1365"/>
      <c r="Z24" s="1372"/>
      <c r="AA24" s="1373"/>
      <c r="AB24" s="1373"/>
      <c r="AC24" s="1373"/>
      <c r="AD24" s="1373"/>
      <c r="AE24" s="1373"/>
      <c r="AF24" s="1373"/>
    </row>
    <row r="25" spans="1:37" ht="15.75" thickBot="1">
      <c r="A25" s="2787" t="s">
        <v>813</v>
      </c>
      <c r="B25" s="2809" t="s">
        <v>2894</v>
      </c>
      <c r="C25" s="926"/>
      <c r="D25" s="2731"/>
      <c r="E25" s="2731"/>
      <c r="F25" s="2810"/>
      <c r="G25" s="2731"/>
      <c r="H25" s="2731"/>
      <c r="I25" s="2731"/>
      <c r="J25" s="2732"/>
      <c r="K25" s="1365"/>
      <c r="N25" s="2811" t="s">
        <v>2895</v>
      </c>
      <c r="O25" s="1560"/>
      <c r="P25" s="1559">
        <f>SUMPRODUCT((地价!A3:A22=YEAR(G19)&amp;"-"&amp;ROUNDUP(MONTH(G19)/3,0))*(地价!AD2:AH2=N25)*(地价!AD3:AH22))</f>
        <v>2.1700000000000001E-2</v>
      </c>
      <c r="R25" s="1371"/>
      <c r="S25" s="1371"/>
      <c r="T25" s="1366"/>
      <c r="U25" s="1366"/>
      <c r="V25" s="1366"/>
      <c r="W25" s="1365"/>
      <c r="X25" s="1365"/>
      <c r="Y25" s="1365"/>
      <c r="Z25" s="1372"/>
      <c r="AA25" s="1373"/>
      <c r="AB25" s="1373"/>
      <c r="AC25" s="1373"/>
      <c r="AD25" s="1373"/>
    </row>
    <row r="26" spans="1:37" ht="15">
      <c r="A26" s="2812"/>
      <c r="B26" s="2799" t="s">
        <v>2896</v>
      </c>
      <c r="C26" s="205" t="e">
        <f>E29+SUM(E33:E39)</f>
        <v>#DIV/0!</v>
      </c>
      <c r="D26" s="2813"/>
      <c r="E26" s="2756"/>
      <c r="F26" s="2814"/>
      <c r="G26" s="2756"/>
      <c r="H26" s="2756"/>
      <c r="I26" s="2756"/>
      <c r="J26" s="2815"/>
      <c r="K26" s="1365"/>
      <c r="R26" s="1371"/>
      <c r="S26" s="1371"/>
      <c r="T26" s="1366"/>
      <c r="U26" s="1366"/>
      <c r="V26" s="1366"/>
      <c r="W26" s="1365"/>
      <c r="X26" s="1365"/>
      <c r="Y26" s="1365"/>
      <c r="Z26" s="1372"/>
      <c r="AA26" s="1373"/>
      <c r="AB26" s="1373"/>
      <c r="AC26" s="1373"/>
      <c r="AD26" s="1373"/>
    </row>
    <row r="27" spans="1:37" ht="15.75" thickBot="1">
      <c r="A27" s="2812"/>
      <c r="B27" s="2816" t="s">
        <v>2897</v>
      </c>
      <c r="C27" s="927" t="e">
        <f>E30+SUM(I33:I39)</f>
        <v>#DIV/0!</v>
      </c>
      <c r="D27" s="2817"/>
      <c r="E27" s="2818"/>
      <c r="F27" s="2819"/>
      <c r="G27" s="2818"/>
      <c r="H27" s="2818"/>
      <c r="I27" s="2818"/>
      <c r="J27" s="2820"/>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1"/>
      <c r="B28" s="2822" t="s">
        <v>2898</v>
      </c>
      <c r="C28" s="2823" t="s">
        <v>2899</v>
      </c>
      <c r="D28" s="2823" t="s">
        <v>2900</v>
      </c>
      <c r="E28" s="2824" t="s">
        <v>2901</v>
      </c>
      <c r="F28" s="2825"/>
      <c r="G28" s="2744"/>
      <c r="H28" s="2744"/>
      <c r="I28" s="2744"/>
      <c r="J28" s="2745"/>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26"/>
      <c r="B29" s="2827" t="s">
        <v>2902</v>
      </c>
      <c r="C29" s="205" t="e">
        <f>ROUND(C5*C18*C19*C20*C21*C24,0)</f>
        <v>#DIV/0!</v>
      </c>
      <c r="D29" s="2828"/>
      <c r="E29" s="938" t="e">
        <f>ROUND(C29*D29/10000,0)</f>
        <v>#DIV/0!</v>
      </c>
      <c r="F29" s="2829" t="s">
        <v>2903</v>
      </c>
      <c r="G29" s="2830"/>
      <c r="H29" s="2830"/>
      <c r="I29" s="2830"/>
      <c r="J29" s="2831"/>
      <c r="K29" s="1365"/>
      <c r="L29" s="1365"/>
      <c r="M29" s="1365"/>
      <c r="N29" s="1365"/>
      <c r="O29" s="1370"/>
      <c r="P29" s="1370"/>
      <c r="Q29" s="1371"/>
      <c r="R29" s="1371"/>
      <c r="S29" s="1371"/>
      <c r="T29" s="1366"/>
      <c r="U29" s="1366"/>
      <c r="V29" s="1366"/>
      <c r="W29" s="1365"/>
      <c r="X29" s="1365"/>
      <c r="Y29" s="1365"/>
      <c r="Z29" s="1372"/>
      <c r="AA29" s="1373"/>
      <c r="AB29" s="1373"/>
      <c r="AC29" s="1373"/>
      <c r="AD29" s="1373"/>
      <c r="AE29" s="2771"/>
      <c r="AF29" s="2771"/>
      <c r="AG29" s="2703"/>
      <c r="AH29" s="2703"/>
      <c r="AI29" s="2703"/>
      <c r="AJ29" s="2703"/>
    </row>
    <row r="30" spans="1:37" ht="25.5" thickBot="1">
      <c r="A30" s="2832"/>
      <c r="B30" s="2833" t="s">
        <v>2904</v>
      </c>
      <c r="C30" s="228" t="e">
        <f>ROUND(IF(E2="工业",C29*M39,C29*M38),0)</f>
        <v>#DIV/0!</v>
      </c>
      <c r="D30" s="2834"/>
      <c r="E30" s="938" t="e">
        <f>ROUND(C30*D30/10000,0)</f>
        <v>#DIV/0!</v>
      </c>
      <c r="F30" s="2835" t="s">
        <v>2905</v>
      </c>
      <c r="G30" s="2836"/>
      <c r="H30" s="2836"/>
      <c r="I30" s="2836"/>
      <c r="J30" s="2837"/>
      <c r="K30" s="1365"/>
      <c r="L30" s="1365"/>
      <c r="M30" s="1365"/>
      <c r="N30" s="1365"/>
      <c r="O30" s="1370"/>
      <c r="P30" s="1370"/>
      <c r="Q30" s="1371"/>
      <c r="R30" s="1371"/>
      <c r="S30" s="1371"/>
      <c r="T30" s="1366"/>
      <c r="U30" s="1366"/>
      <c r="V30" s="1366"/>
      <c r="W30" s="1365"/>
      <c r="X30" s="1365"/>
      <c r="Y30" s="1365"/>
      <c r="Z30" s="1372"/>
      <c r="AA30" s="1373"/>
      <c r="AB30" s="1373"/>
      <c r="AC30" s="1373"/>
      <c r="AD30" s="1373"/>
      <c r="AE30" s="2771"/>
      <c r="AF30" s="2771"/>
      <c r="AG30" s="2703"/>
      <c r="AH30" s="2703"/>
      <c r="AI30" s="2703"/>
      <c r="AJ30" s="2703"/>
    </row>
    <row r="31" spans="1:37" ht="14.25">
      <c r="A31" s="2838"/>
      <c r="B31" s="2839" t="s">
        <v>2906</v>
      </c>
      <c r="C31" s="2840" t="s">
        <v>2907</v>
      </c>
      <c r="D31" s="2744"/>
      <c r="E31" s="2840"/>
      <c r="F31" s="2840"/>
      <c r="G31" s="2742" t="s">
        <v>2908</v>
      </c>
      <c r="H31" s="2744"/>
      <c r="I31" s="2841"/>
      <c r="J31" s="2745"/>
      <c r="K31" s="1365"/>
      <c r="L31" s="1365"/>
      <c r="M31" s="1365"/>
      <c r="N31" s="1365"/>
      <c r="O31" s="1370"/>
      <c r="P31" s="1370"/>
      <c r="Q31" s="1371"/>
      <c r="R31" s="1371"/>
      <c r="S31" s="1371"/>
      <c r="T31" s="1366"/>
      <c r="U31" s="1366"/>
      <c r="V31" s="1366"/>
      <c r="W31" s="1365"/>
      <c r="X31" s="1365"/>
      <c r="Y31" s="1365"/>
      <c r="Z31" s="1372"/>
      <c r="AA31" s="1373"/>
      <c r="AB31" s="1373"/>
      <c r="AC31" s="1373"/>
      <c r="AD31" s="1373"/>
      <c r="AE31" s="2771"/>
      <c r="AF31" s="2771"/>
      <c r="AG31" s="2703"/>
      <c r="AH31" s="2703"/>
      <c r="AI31" s="2703"/>
      <c r="AJ31" s="2703"/>
    </row>
    <row r="32" spans="1:37" ht="24">
      <c r="A32" s="2826"/>
      <c r="B32" s="2842"/>
      <c r="C32" s="500" t="s">
        <v>2899</v>
      </c>
      <c r="D32" s="497" t="s">
        <v>2900</v>
      </c>
      <c r="E32" s="497" t="s">
        <v>2901</v>
      </c>
      <c r="F32" s="387" t="s">
        <v>2909</v>
      </c>
      <c r="G32" s="2843" t="s">
        <v>2899</v>
      </c>
      <c r="H32" s="2843" t="s">
        <v>2900</v>
      </c>
      <c r="I32" s="2843" t="s">
        <v>2901</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71"/>
      <c r="AF32" s="2771"/>
      <c r="AG32" s="2703"/>
      <c r="AH32" s="2703"/>
      <c r="AI32" s="2703"/>
      <c r="AJ32" s="2703"/>
    </row>
    <row r="33" spans="1:37" ht="36" customHeight="1">
      <c r="A33" s="3317" t="s">
        <v>2910</v>
      </c>
      <c r="B33" s="2844" t="s">
        <v>2911</v>
      </c>
      <c r="C33" s="205" t="e">
        <f>ROUND(D5*C19*C20*C24*F33,0)</f>
        <v>#DIV/0!</v>
      </c>
      <c r="D33" s="2828"/>
      <c r="E33" s="199" t="e">
        <f>ROUND(C33*D33/10000,0)</f>
        <v>#DIV/0!</v>
      </c>
      <c r="F33" s="199">
        <f>SUMIF(修正!A45:A56,G2,修正!B45:B56)</f>
        <v>0</v>
      </c>
      <c r="G33" s="199" t="e">
        <f t="shared" ref="G33:G39" si="6">ROUND(IF(E2="工业",C33*$M$39,C33*$M$38),0)</f>
        <v>#DIV/0!</v>
      </c>
      <c r="H33" s="199">
        <f>D33</f>
        <v>0</v>
      </c>
      <c r="I33" s="199" t="e">
        <f>ROUND(G33*H33/10000,0)</f>
        <v>#DIV/0!</v>
      </c>
      <c r="J33" s="2845"/>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18"/>
      <c r="B34" s="2748" t="s">
        <v>2912</v>
      </c>
      <c r="C34" s="205" t="e">
        <f>ROUND(D5*C19*C20*C24*F34,0)</f>
        <v>#DIV/0!</v>
      </c>
      <c r="D34" s="2828"/>
      <c r="E34" s="199" t="e">
        <f t="shared" ref="E34:E39" si="7">ROUND(C34*D34/10000,0)</f>
        <v>#DIV/0!</v>
      </c>
      <c r="F34" s="199">
        <f>SUMIF(修正!A45:A56,G2,修正!C45:C56)</f>
        <v>0</v>
      </c>
      <c r="G34" s="199" t="e">
        <f t="shared" si="6"/>
        <v>#DIV/0!</v>
      </c>
      <c r="H34" s="199">
        <f t="shared" ref="H34:H39" si="8">D34</f>
        <v>0</v>
      </c>
      <c r="I34" s="199" t="e">
        <f t="shared" ref="I34:I39" si="9">ROUND(G34*H34/10000,0)</f>
        <v>#DIV/0!</v>
      </c>
      <c r="J34" s="2845"/>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18"/>
      <c r="B35" s="2748" t="s">
        <v>2913</v>
      </c>
      <c r="C35" s="205" t="e">
        <f>ROUND(D5*C19*C20*C24*F35,0)</f>
        <v>#DIV/0!</v>
      </c>
      <c r="D35" s="2828"/>
      <c r="E35" s="199" t="e">
        <f t="shared" si="7"/>
        <v>#DIV/0!</v>
      </c>
      <c r="F35" s="199">
        <f>SUMIF(修正!A45:A56,G2,修正!D45:D56)</f>
        <v>0</v>
      </c>
      <c r="G35" s="199" t="e">
        <f t="shared" si="6"/>
        <v>#DIV/0!</v>
      </c>
      <c r="H35" s="199">
        <f t="shared" si="8"/>
        <v>0</v>
      </c>
      <c r="I35" s="199" t="e">
        <f t="shared" si="9"/>
        <v>#DIV/0!</v>
      </c>
      <c r="J35" s="2845"/>
      <c r="K35" s="1365"/>
      <c r="L35" s="1365"/>
      <c r="M35" s="1365"/>
      <c r="N35" s="1365"/>
      <c r="O35" s="1365"/>
      <c r="P35" s="1365"/>
      <c r="Q35" s="1365"/>
      <c r="R35" s="1365"/>
      <c r="S35" s="1365"/>
      <c r="T35" s="1365"/>
      <c r="U35" s="1365"/>
      <c r="V35" s="1365"/>
      <c r="W35" s="1365"/>
      <c r="X35" s="1365"/>
      <c r="Y35" s="1365"/>
      <c r="Z35" s="1366"/>
    </row>
    <row r="36" spans="1:37" ht="13.5" thickBot="1">
      <c r="A36" s="3319"/>
      <c r="B36" s="2748" t="s">
        <v>2914</v>
      </c>
      <c r="C36" s="205" t="e">
        <f>ROUND(D5*C19*C20*C24*F36,0)</f>
        <v>#DIV/0!</v>
      </c>
      <c r="D36" s="2828"/>
      <c r="E36" s="199" t="e">
        <f t="shared" si="7"/>
        <v>#DIV/0!</v>
      </c>
      <c r="F36" s="199">
        <f>SUMIF(修正!A45:A56,G2,修正!E45:E56)</f>
        <v>0</v>
      </c>
      <c r="G36" s="199" t="e">
        <f t="shared" si="6"/>
        <v>#DIV/0!</v>
      </c>
      <c r="H36" s="199">
        <f t="shared" si="8"/>
        <v>0</v>
      </c>
      <c r="I36" s="199" t="e">
        <f t="shared" si="9"/>
        <v>#DIV/0!</v>
      </c>
      <c r="J36" s="2845"/>
      <c r="K36" s="1365"/>
      <c r="L36" s="2702"/>
      <c r="M36" s="2702"/>
      <c r="N36" s="1365"/>
      <c r="O36" s="1365"/>
      <c r="P36" s="1365"/>
      <c r="Q36" s="1365"/>
      <c r="R36" s="1365"/>
      <c r="S36" s="1365"/>
      <c r="T36" s="1365"/>
      <c r="U36" s="1365"/>
      <c r="V36" s="1365"/>
      <c r="W36" s="1365"/>
      <c r="X36" s="1365"/>
      <c r="Y36" s="1365"/>
      <c r="Z36" s="1366"/>
    </row>
    <row r="37" spans="1:37">
      <c r="A37" s="2846"/>
      <c r="B37" s="2748" t="s">
        <v>2915</v>
      </c>
      <c r="C37" s="199" t="e">
        <f>ROUND(C5*C19*C20*C24*F37,0)</f>
        <v>#DIV/0!</v>
      </c>
      <c r="D37" s="2828"/>
      <c r="E37" s="199" t="e">
        <f t="shared" si="7"/>
        <v>#DIV/0!</v>
      </c>
      <c r="F37" s="205">
        <f>SUMIF(修正!A45:A56,G2,修正!F45:F56)</f>
        <v>0</v>
      </c>
      <c r="G37" s="199" t="e">
        <f t="shared" si="6"/>
        <v>#DIV/0!</v>
      </c>
      <c r="H37" s="199">
        <f t="shared" si="8"/>
        <v>0</v>
      </c>
      <c r="I37" s="199" t="e">
        <f t="shared" si="9"/>
        <v>#DIV/0!</v>
      </c>
      <c r="J37" s="2845"/>
      <c r="K37" s="1365"/>
      <c r="L37" s="2847" t="s">
        <v>2916</v>
      </c>
      <c r="M37" s="2848"/>
      <c r="N37" s="1365"/>
      <c r="O37" s="1365"/>
      <c r="P37" s="1365"/>
      <c r="Q37" s="1365"/>
      <c r="R37" s="1365"/>
      <c r="S37" s="1365"/>
      <c r="T37" s="1365"/>
      <c r="U37" s="1365"/>
      <c r="V37" s="1365"/>
      <c r="W37" s="1365"/>
      <c r="X37" s="1365"/>
      <c r="Y37" s="1365"/>
      <c r="Z37" s="1366"/>
    </row>
    <row r="38" spans="1:37">
      <c r="A38" s="2846"/>
      <c r="B38" s="2748" t="s">
        <v>2917</v>
      </c>
      <c r="C38" s="199" t="e">
        <f>ROUND(C5*C19*C20*C24*F38,0)</f>
        <v>#DIV/0!</v>
      </c>
      <c r="D38" s="2828"/>
      <c r="E38" s="199" t="e">
        <f t="shared" si="7"/>
        <v>#DIV/0!</v>
      </c>
      <c r="F38" s="205">
        <f>SUMIF(修正!A45:A56,G2,修正!G45:G56)</f>
        <v>0</v>
      </c>
      <c r="G38" s="199" t="e">
        <f t="shared" si="6"/>
        <v>#DIV/0!</v>
      </c>
      <c r="H38" s="199">
        <f t="shared" si="8"/>
        <v>0</v>
      </c>
      <c r="I38" s="199" t="e">
        <f t="shared" si="9"/>
        <v>#DIV/0!</v>
      </c>
      <c r="J38" s="2845"/>
      <c r="K38" s="1365"/>
      <c r="L38" s="1880" t="s">
        <v>2918</v>
      </c>
      <c r="M38" s="2849">
        <v>0.25</v>
      </c>
      <c r="N38" s="1365"/>
      <c r="O38" s="1365"/>
      <c r="P38" s="1365"/>
      <c r="Q38" s="1365"/>
      <c r="R38" s="1365"/>
      <c r="S38" s="1365"/>
      <c r="T38" s="1365"/>
      <c r="U38" s="1365"/>
      <c r="V38" s="1365"/>
      <c r="W38" s="1365"/>
      <c r="X38" s="1365"/>
      <c r="Y38" s="1365"/>
      <c r="Z38" s="1366"/>
    </row>
    <row r="39" spans="1:37" ht="13.5" thickBot="1">
      <c r="A39" s="2832"/>
      <c r="B39" s="2850" t="s">
        <v>2919</v>
      </c>
      <c r="C39" s="228" t="e">
        <f>ROUND(C5*C19*C20*C24*F39,0)</f>
        <v>#DIV/0!</v>
      </c>
      <c r="D39" s="2834"/>
      <c r="E39" s="228" t="e">
        <f t="shared" si="7"/>
        <v>#DIV/0!</v>
      </c>
      <c r="F39" s="928">
        <f>SUMIF(修正!A45:A56,G2,修正!H45:H56)</f>
        <v>0</v>
      </c>
      <c r="G39" s="228" t="e">
        <f t="shared" si="6"/>
        <v>#DIV/0!</v>
      </c>
      <c r="H39" s="228">
        <f t="shared" si="8"/>
        <v>0</v>
      </c>
      <c r="I39" s="228" t="e">
        <f t="shared" si="9"/>
        <v>#DIV/0!</v>
      </c>
      <c r="J39" s="2851"/>
      <c r="K39" s="1365"/>
      <c r="L39" s="2852" t="s">
        <v>2860</v>
      </c>
      <c r="M39" s="2853">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54"/>
      <c r="Z41" s="1366"/>
      <c r="AA41" s="1366"/>
      <c r="AB41" s="1366"/>
      <c r="AC41" s="1366"/>
      <c r="AD41" s="1366"/>
      <c r="AE41" s="1366"/>
      <c r="AF41" s="1366"/>
      <c r="AG41" s="1366"/>
      <c r="AH41" s="1366"/>
      <c r="AI41" s="1366"/>
      <c r="AJ41" s="1366"/>
    </row>
    <row r="42" spans="1:37" s="1365" customFormat="1">
      <c r="A42" s="1366"/>
      <c r="B42" s="2854"/>
      <c r="Z42" s="1366"/>
      <c r="AA42" s="1366"/>
      <c r="AB42" s="1366"/>
      <c r="AC42" s="1366"/>
      <c r="AD42" s="1366"/>
      <c r="AE42" s="1366"/>
      <c r="AF42" s="1366"/>
      <c r="AG42" s="1366"/>
      <c r="AH42" s="1366"/>
      <c r="AI42" s="1366"/>
      <c r="AJ42" s="1366"/>
    </row>
    <row r="43" spans="1:37" s="1365" customFormat="1">
      <c r="A43" s="1366"/>
      <c r="B43" s="2854"/>
      <c r="Z43" s="1366"/>
      <c r="AA43" s="1366"/>
      <c r="AB43" s="1366"/>
      <c r="AC43" s="1366"/>
      <c r="AD43" s="1366"/>
      <c r="AE43" s="1366"/>
      <c r="AF43" s="1366"/>
      <c r="AG43" s="1366"/>
      <c r="AH43" s="1366"/>
      <c r="AI43" s="1366"/>
      <c r="AJ43" s="1366"/>
    </row>
    <row r="44" spans="1:37" s="1365" customFormat="1">
      <c r="A44" s="1366"/>
      <c r="B44" s="2854"/>
      <c r="Z44" s="1366"/>
      <c r="AA44" s="1366"/>
      <c r="AB44" s="1366"/>
      <c r="AC44" s="1366"/>
      <c r="AD44" s="1366"/>
      <c r="AE44" s="1366"/>
      <c r="AF44" s="1366"/>
      <c r="AG44" s="1366"/>
      <c r="AH44" s="1366"/>
      <c r="AI44" s="1366"/>
      <c r="AJ44" s="1366"/>
    </row>
    <row r="45" spans="1:37" s="1365" customFormat="1" ht="15.75" thickBot="1">
      <c r="A45" s="2855" t="s">
        <v>2920</v>
      </c>
      <c r="B45" s="2856"/>
      <c r="C45" s="7"/>
      <c r="D45" s="7"/>
      <c r="E45" s="7"/>
      <c r="F45" s="6"/>
      <c r="G45" s="6"/>
      <c r="H45" s="6"/>
      <c r="I45" s="7"/>
      <c r="J45" s="7"/>
      <c r="K45" s="7"/>
      <c r="L45" s="7"/>
      <c r="M45" s="7"/>
      <c r="N45" s="2771"/>
      <c r="Z45" s="1366"/>
      <c r="AA45" s="1366"/>
      <c r="AB45" s="1366"/>
      <c r="AC45" s="1366"/>
      <c r="AD45" s="1366"/>
      <c r="AE45" s="1366"/>
      <c r="AF45" s="1366"/>
      <c r="AG45" s="1366"/>
      <c r="AH45" s="1366"/>
      <c r="AI45" s="1366"/>
      <c r="AJ45" s="1366"/>
    </row>
    <row r="46" spans="1:37" s="1365" customFormat="1" ht="15">
      <c r="A46" s="2857" t="s">
        <v>2921</v>
      </c>
      <c r="B46" s="2858">
        <f>1+E48</f>
        <v>1</v>
      </c>
      <c r="C46" s="2859"/>
      <c r="D46" s="807"/>
      <c r="E46" s="808"/>
      <c r="F46" s="2860"/>
      <c r="G46" s="6"/>
      <c r="H46" s="7"/>
      <c r="I46" s="7"/>
      <c r="J46" s="7"/>
      <c r="K46" s="7"/>
      <c r="L46" s="7"/>
      <c r="M46" s="7"/>
      <c r="N46" s="2771"/>
      <c r="Z46" s="1366"/>
      <c r="AA46" s="1366"/>
      <c r="AB46" s="1366"/>
      <c r="AC46" s="1366"/>
      <c r="AD46" s="1366"/>
      <c r="AE46" s="1366"/>
      <c r="AF46" s="1366"/>
      <c r="AG46" s="1366"/>
      <c r="AH46" s="1366"/>
      <c r="AI46" s="1366"/>
      <c r="AJ46" s="1366"/>
    </row>
    <row r="47" spans="1:37" s="1365" customFormat="1" ht="24.75">
      <c r="A47" s="2861" t="s">
        <v>2922</v>
      </c>
      <c r="B47" s="1802" t="s">
        <v>2923</v>
      </c>
      <c r="C47" s="1802" t="s">
        <v>2924</v>
      </c>
      <c r="D47" s="1802" t="s">
        <v>2925</v>
      </c>
      <c r="E47" s="812" t="s">
        <v>2926</v>
      </c>
      <c r="F47" s="2862" t="s">
        <v>2927</v>
      </c>
      <c r="G47" s="1802" t="s">
        <v>754</v>
      </c>
      <c r="H47" s="2863" t="s">
        <v>2928</v>
      </c>
      <c r="I47" s="1802" t="s">
        <v>2929</v>
      </c>
      <c r="J47" s="602" t="s">
        <v>2577</v>
      </c>
      <c r="K47" s="602" t="s">
        <v>2578</v>
      </c>
      <c r="L47" s="602" t="s">
        <v>2579</v>
      </c>
      <c r="M47" s="602" t="s">
        <v>2580</v>
      </c>
      <c r="N47" s="602" t="s">
        <v>2581</v>
      </c>
      <c r="AA47" s="1366"/>
      <c r="AB47" s="1366"/>
      <c r="AC47" s="1366"/>
      <c r="AD47" s="1366"/>
      <c r="AE47" s="1366"/>
      <c r="AF47" s="1366"/>
      <c r="AG47" s="1366"/>
      <c r="AH47" s="1366"/>
      <c r="AI47" s="1366"/>
      <c r="AJ47" s="1366"/>
      <c r="AK47" s="1366"/>
    </row>
    <row r="48" spans="1:37" s="1365" customFormat="1" ht="24.75">
      <c r="A48" s="2861" t="s">
        <v>2930</v>
      </c>
      <c r="B48" s="2864">
        <f>估价对象房地状况!C4</f>
        <v>0</v>
      </c>
      <c r="C48" s="2753"/>
      <c r="D48" s="1281">
        <f t="shared" ref="D48:D56" si="10">SUMIF($J$47:$N$47,C48,J48:N48)</f>
        <v>0</v>
      </c>
      <c r="E48" s="814">
        <f>ROUND(SUM(D48:D56),4)</f>
        <v>0</v>
      </c>
      <c r="F48" s="2485" t="str">
        <f>IF(E2="商业",SUMIF(L1:L12,G2,N1:N12),"——")</f>
        <v>——</v>
      </c>
      <c r="G48" s="1279"/>
      <c r="H48" s="1283" t="str">
        <f t="shared" ref="H48:H56" si="11">IFERROR(ROUNDDOWN($F$48*I48/2,4),"——")</f>
        <v>——</v>
      </c>
      <c r="I48" s="813">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14.25">
      <c r="A49" s="2861" t="s">
        <v>2931</v>
      </c>
      <c r="B49" s="2865">
        <f>估价对象房地状况!C18</f>
        <v>0</v>
      </c>
      <c r="C49" s="2753"/>
      <c r="D49" s="1281">
        <f t="shared" si="10"/>
        <v>0</v>
      </c>
      <c r="E49" s="815"/>
      <c r="F49" s="2485"/>
      <c r="G49" s="1279"/>
      <c r="H49" s="1283" t="str">
        <f t="shared" si="11"/>
        <v>——</v>
      </c>
      <c r="I49" s="813">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1" t="s">
        <v>2932</v>
      </c>
      <c r="B50" s="2865" t="str">
        <f>估价对象房地状况!C19</f>
        <v>较好</v>
      </c>
      <c r="C50" s="2753"/>
      <c r="D50" s="1281">
        <f t="shared" si="10"/>
        <v>0</v>
      </c>
      <c r="E50" s="815"/>
      <c r="F50" s="2485"/>
      <c r="G50" s="1279"/>
      <c r="H50" s="1283" t="str">
        <f t="shared" si="11"/>
        <v>——</v>
      </c>
      <c r="I50" s="813">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1" t="s">
        <v>2933</v>
      </c>
      <c r="B51" s="2866" t="s">
        <v>2934</v>
      </c>
      <c r="C51" s="2753"/>
      <c r="D51" s="1281">
        <f t="shared" si="10"/>
        <v>0</v>
      </c>
      <c r="E51" s="815"/>
      <c r="F51" s="2485"/>
      <c r="G51" s="1279"/>
      <c r="H51" s="1283" t="str">
        <f t="shared" si="11"/>
        <v>——</v>
      </c>
      <c r="I51" s="813">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1" t="s">
        <v>2935</v>
      </c>
      <c r="B52" s="2865">
        <f>估价对象房地状况!C24</f>
        <v>0</v>
      </c>
      <c r="C52" s="2753"/>
      <c r="D52" s="1281">
        <f t="shared" si="10"/>
        <v>0</v>
      </c>
      <c r="E52" s="815"/>
      <c r="F52" s="2485"/>
      <c r="G52" s="1279"/>
      <c r="H52" s="1283" t="str">
        <f t="shared" si="11"/>
        <v>——</v>
      </c>
      <c r="I52" s="813">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1" t="s">
        <v>2936</v>
      </c>
      <c r="B53" s="2867" t="s">
        <v>2937</v>
      </c>
      <c r="C53" s="2753"/>
      <c r="D53" s="1281">
        <f t="shared" si="10"/>
        <v>0</v>
      </c>
      <c r="E53" s="815"/>
      <c r="F53" s="2485"/>
      <c r="G53" s="1279"/>
      <c r="H53" s="1283" t="str">
        <f t="shared" si="11"/>
        <v>——</v>
      </c>
      <c r="I53" s="813">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4">
      <c r="A54" s="2868" t="s">
        <v>2938</v>
      </c>
      <c r="B54" s="1718">
        <f>估价对象房地状况!C21</f>
        <v>0</v>
      </c>
      <c r="C54" s="2753"/>
      <c r="D54" s="1281">
        <f t="shared" si="10"/>
        <v>0</v>
      </c>
      <c r="E54" s="815"/>
      <c r="F54" s="2485"/>
      <c r="G54" s="1279"/>
      <c r="H54" s="1283" t="str">
        <f t="shared" si="11"/>
        <v>——</v>
      </c>
      <c r="I54" s="813">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68" t="s">
        <v>2939</v>
      </c>
      <c r="B55" s="2865">
        <f>估价对象房地状况!C22</f>
        <v>0</v>
      </c>
      <c r="C55" s="2753"/>
      <c r="D55" s="1281">
        <f t="shared" si="10"/>
        <v>0</v>
      </c>
      <c r="E55" s="815"/>
      <c r="F55" s="2485"/>
      <c r="G55" s="1279"/>
      <c r="H55" s="1283" t="str">
        <f t="shared" si="11"/>
        <v>——</v>
      </c>
      <c r="I55" s="813">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4.75" thickBot="1">
      <c r="A56" s="2869" t="s">
        <v>2940</v>
      </c>
      <c r="B56" s="2870">
        <f>估价对象房地状况!C20</f>
        <v>0</v>
      </c>
      <c r="C56" s="2753"/>
      <c r="D56" s="1281">
        <f t="shared" si="10"/>
        <v>0</v>
      </c>
      <c r="E56" s="818"/>
      <c r="F56" s="2485"/>
      <c r="G56" s="1279"/>
      <c r="H56" s="1283" t="str">
        <f t="shared" si="11"/>
        <v>——</v>
      </c>
      <c r="I56" s="817">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57" t="s">
        <v>2941</v>
      </c>
      <c r="B57" s="2858">
        <f>1+E59</f>
        <v>1</v>
      </c>
      <c r="C57" s="807"/>
      <c r="D57" s="807"/>
      <c r="E57" s="808"/>
      <c r="F57" s="2860"/>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1" t="s">
        <v>2922</v>
      </c>
      <c r="B58" s="1802"/>
      <c r="C58" s="1802" t="s">
        <v>2924</v>
      </c>
      <c r="D58" s="1802" t="s">
        <v>2925</v>
      </c>
      <c r="E58" s="812" t="s">
        <v>2926</v>
      </c>
      <c r="F58" s="2862" t="s">
        <v>2942</v>
      </c>
      <c r="G58" s="1802" t="s">
        <v>754</v>
      </c>
      <c r="H58" s="2863" t="s">
        <v>2928</v>
      </c>
      <c r="I58" s="1802" t="s">
        <v>2929</v>
      </c>
      <c r="J58" s="602" t="s">
        <v>2577</v>
      </c>
      <c r="K58" s="602" t="s">
        <v>2578</v>
      </c>
      <c r="L58" s="602" t="s">
        <v>2579</v>
      </c>
      <c r="M58" s="602" t="s">
        <v>2580</v>
      </c>
      <c r="N58" s="602" t="s">
        <v>2581</v>
      </c>
      <c r="AA58" s="1366"/>
      <c r="AB58" s="1366"/>
      <c r="AC58" s="1366"/>
      <c r="AD58" s="1366"/>
      <c r="AE58" s="1366"/>
      <c r="AF58" s="1366"/>
      <c r="AG58" s="1366"/>
      <c r="AH58" s="1366"/>
      <c r="AI58" s="1366"/>
      <c r="AJ58" s="1366"/>
      <c r="AK58" s="1366"/>
    </row>
    <row r="59" spans="1:37" s="1365" customFormat="1" ht="24">
      <c r="A59" s="2861" t="s">
        <v>2943</v>
      </c>
      <c r="B59" s="2864">
        <f>估价对象房地状况!C17</f>
        <v>0</v>
      </c>
      <c r="C59" s="2753"/>
      <c r="D59" s="1281">
        <f t="shared" ref="D59:D67" si="15">SUMIF($J$58:$N$58,C59,J59:N59)</f>
        <v>0</v>
      </c>
      <c r="E59" s="814">
        <f>ROUND(SUM(D59:D67),4)</f>
        <v>0</v>
      </c>
      <c r="F59" s="2485" t="str">
        <f>IF(E2="办公",SUMIF(L1:L12,G2,N1:N12),"——")</f>
        <v>——</v>
      </c>
      <c r="G59" s="1279"/>
      <c r="H59" s="1283" t="str">
        <f t="shared" ref="H59:H67" si="16">IFERROR(ROUNDDOWN($F$59*I59/2,4),"——")</f>
        <v>——</v>
      </c>
      <c r="I59" s="813">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14.25">
      <c r="A60" s="2861" t="s">
        <v>2931</v>
      </c>
      <c r="B60" s="2865">
        <f>估价对象房地状况!C18</f>
        <v>0</v>
      </c>
      <c r="C60" s="2753"/>
      <c r="D60" s="1281">
        <f t="shared" si="15"/>
        <v>0</v>
      </c>
      <c r="E60" s="815"/>
      <c r="F60" s="2485"/>
      <c r="G60" s="1279"/>
      <c r="H60" s="1283" t="str">
        <f t="shared" si="16"/>
        <v>——</v>
      </c>
      <c r="I60" s="813">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1" t="s">
        <v>2932</v>
      </c>
      <c r="B61" s="2865" t="str">
        <f>估价对象房地状况!C19</f>
        <v>较好</v>
      </c>
      <c r="C61" s="2753"/>
      <c r="D61" s="1281">
        <f t="shared" si="15"/>
        <v>0</v>
      </c>
      <c r="E61" s="815"/>
      <c r="F61" s="2485"/>
      <c r="G61" s="1279"/>
      <c r="H61" s="1283" t="str">
        <f t="shared" si="16"/>
        <v>——</v>
      </c>
      <c r="I61" s="813">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1" t="s">
        <v>2933</v>
      </c>
      <c r="B62" s="2866" t="s">
        <v>2934</v>
      </c>
      <c r="C62" s="2753"/>
      <c r="D62" s="1281">
        <f t="shared" si="15"/>
        <v>0</v>
      </c>
      <c r="E62" s="815"/>
      <c r="F62" s="2485"/>
      <c r="G62" s="1279"/>
      <c r="H62" s="1283" t="str">
        <f t="shared" si="16"/>
        <v>——</v>
      </c>
      <c r="I62" s="813">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1" t="s">
        <v>2935</v>
      </c>
      <c r="B63" s="2865">
        <f>估价对象房地状况!C24</f>
        <v>0</v>
      </c>
      <c r="C63" s="2753"/>
      <c r="D63" s="1281">
        <f t="shared" si="15"/>
        <v>0</v>
      </c>
      <c r="E63" s="815"/>
      <c r="F63" s="2485"/>
      <c r="G63" s="1279"/>
      <c r="H63" s="1283" t="str">
        <f t="shared" si="16"/>
        <v>——</v>
      </c>
      <c r="I63" s="813">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1" t="s">
        <v>2936</v>
      </c>
      <c r="B64" s="2867" t="s">
        <v>2937</v>
      </c>
      <c r="C64" s="2753"/>
      <c r="D64" s="1281">
        <f t="shared" si="15"/>
        <v>0</v>
      </c>
      <c r="E64" s="815"/>
      <c r="F64" s="2485"/>
      <c r="G64" s="1279"/>
      <c r="H64" s="1283" t="str">
        <f t="shared" si="16"/>
        <v>——</v>
      </c>
      <c r="I64" s="813">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4">
      <c r="A65" s="2861" t="s">
        <v>2938</v>
      </c>
      <c r="B65" s="1718">
        <f>估价对象房地状况!C21</f>
        <v>0</v>
      </c>
      <c r="C65" s="2753"/>
      <c r="D65" s="1281">
        <f t="shared" si="15"/>
        <v>0</v>
      </c>
      <c r="E65" s="815"/>
      <c r="F65" s="2485"/>
      <c r="G65" s="1279"/>
      <c r="H65" s="1283" t="str">
        <f t="shared" si="16"/>
        <v>——</v>
      </c>
      <c r="I65" s="813">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61" t="s">
        <v>2939</v>
      </c>
      <c r="B66" s="1718">
        <f>估价对象房地状况!C22</f>
        <v>0</v>
      </c>
      <c r="C66" s="2753"/>
      <c r="D66" s="1281">
        <f t="shared" si="15"/>
        <v>0</v>
      </c>
      <c r="E66" s="815"/>
      <c r="F66" s="2485"/>
      <c r="G66" s="1279"/>
      <c r="H66" s="1283" t="str">
        <f t="shared" si="16"/>
        <v>——</v>
      </c>
      <c r="I66" s="813">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4.75" thickBot="1">
      <c r="A67" s="2869" t="s">
        <v>2940</v>
      </c>
      <c r="B67" s="2871">
        <f>估价对象房地状况!C20</f>
        <v>0</v>
      </c>
      <c r="C67" s="2753"/>
      <c r="D67" s="1281">
        <f t="shared" si="15"/>
        <v>0</v>
      </c>
      <c r="E67" s="818"/>
      <c r="F67" s="2485"/>
      <c r="G67" s="1279"/>
      <c r="H67" s="1283" t="str">
        <f t="shared" si="16"/>
        <v>——</v>
      </c>
      <c r="I67" s="817">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57" t="s">
        <v>2944</v>
      </c>
      <c r="B68" s="2858">
        <f>1+E70</f>
        <v>1</v>
      </c>
      <c r="C68" s="807"/>
      <c r="D68" s="807"/>
      <c r="E68" s="808"/>
      <c r="F68" s="2860"/>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1" t="s">
        <v>2922</v>
      </c>
      <c r="B69" s="1802"/>
      <c r="C69" s="1802" t="s">
        <v>2924</v>
      </c>
      <c r="D69" s="1802" t="s">
        <v>2925</v>
      </c>
      <c r="E69" s="812" t="s">
        <v>2926</v>
      </c>
      <c r="F69" s="2862" t="s">
        <v>2942</v>
      </c>
      <c r="G69" s="1802" t="s">
        <v>754</v>
      </c>
      <c r="H69" s="2863" t="s">
        <v>2928</v>
      </c>
      <c r="I69" s="1802" t="s">
        <v>2929</v>
      </c>
      <c r="J69" s="602" t="s">
        <v>2577</v>
      </c>
      <c r="K69" s="602" t="s">
        <v>2578</v>
      </c>
      <c r="L69" s="602" t="s">
        <v>2579</v>
      </c>
      <c r="M69" s="602" t="s">
        <v>2580</v>
      </c>
      <c r="N69" s="602" t="s">
        <v>2581</v>
      </c>
      <c r="AA69" s="1366"/>
      <c r="AB69" s="1366"/>
      <c r="AC69" s="1366"/>
      <c r="AD69" s="1366"/>
      <c r="AE69" s="1366"/>
      <c r="AF69" s="1366"/>
      <c r="AG69" s="1366"/>
      <c r="AH69" s="1366"/>
      <c r="AI69" s="1366"/>
      <c r="AJ69" s="1366"/>
      <c r="AK69" s="1366"/>
    </row>
    <row r="70" spans="1:37" s="1365" customFormat="1" ht="24">
      <c r="A70" s="2861" t="s">
        <v>2945</v>
      </c>
      <c r="B70" s="2864">
        <f>估价对象房地状况!C15</f>
        <v>0</v>
      </c>
      <c r="C70" s="2753"/>
      <c r="D70" s="1281">
        <f t="shared" ref="D70:D78" si="20">SUMIF($J$69:$N$69,C70,J70:N70)</f>
        <v>0</v>
      </c>
      <c r="E70" s="814">
        <f>ROUND(SUM(D70:D78),4)</f>
        <v>0</v>
      </c>
      <c r="F70" s="2485"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14.25">
      <c r="A71" s="2861" t="s">
        <v>2931</v>
      </c>
      <c r="B71" s="2865">
        <f>估价对象房地状况!C18</f>
        <v>0</v>
      </c>
      <c r="C71" s="2753"/>
      <c r="D71" s="1281">
        <f t="shared" si="20"/>
        <v>0</v>
      </c>
      <c r="E71" s="819"/>
      <c r="F71" s="2485"/>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1" t="s">
        <v>2932</v>
      </c>
      <c r="B72" s="2865" t="str">
        <f>估价对象房地状况!C19</f>
        <v>较好</v>
      </c>
      <c r="C72" s="2753"/>
      <c r="D72" s="1281">
        <f t="shared" si="20"/>
        <v>0</v>
      </c>
      <c r="E72" s="819"/>
      <c r="F72" s="2485"/>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1" t="s">
        <v>2946</v>
      </c>
      <c r="B73" s="2865">
        <f>估价对象房地状况!C24</f>
        <v>0</v>
      </c>
      <c r="C73" s="2753"/>
      <c r="D73" s="1281">
        <f t="shared" si="20"/>
        <v>0</v>
      </c>
      <c r="E73" s="819"/>
      <c r="F73" s="2485"/>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4">
      <c r="A74" s="2861" t="s">
        <v>2938</v>
      </c>
      <c r="B74" s="1718">
        <f>估价对象房地状况!C21</f>
        <v>0</v>
      </c>
      <c r="C74" s="2753"/>
      <c r="D74" s="1281">
        <f t="shared" si="20"/>
        <v>0</v>
      </c>
      <c r="E74" s="819"/>
      <c r="F74" s="2485"/>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61" t="s">
        <v>2939</v>
      </c>
      <c r="B75" s="1718">
        <f>估价对象房地状况!C22</f>
        <v>0</v>
      </c>
      <c r="C75" s="2753"/>
      <c r="D75" s="1281">
        <f t="shared" si="20"/>
        <v>0</v>
      </c>
      <c r="E75" s="819"/>
      <c r="F75" s="2485"/>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02" customFormat="1" ht="24">
      <c r="A76" s="2861" t="s">
        <v>2936</v>
      </c>
      <c r="B76" s="2867" t="s">
        <v>2937</v>
      </c>
      <c r="C76" s="2753"/>
      <c r="D76" s="1281">
        <f t="shared" si="20"/>
        <v>0</v>
      </c>
      <c r="E76" s="819"/>
      <c r="F76" s="2485"/>
      <c r="G76" s="1279"/>
      <c r="H76" s="1283" t="str">
        <f t="shared" si="21"/>
        <v>——</v>
      </c>
      <c r="I76" s="813">
        <v>0.05</v>
      </c>
      <c r="J76" s="1280">
        <f t="shared" si="22"/>
        <v>0</v>
      </c>
      <c r="K76" s="1280">
        <f t="shared" si="23"/>
        <v>0</v>
      </c>
      <c r="L76" s="1280">
        <v>0</v>
      </c>
      <c r="M76" s="1280">
        <f t="shared" si="24"/>
        <v>0</v>
      </c>
      <c r="N76" s="1280">
        <f t="shared" si="24"/>
        <v>0</v>
      </c>
      <c r="AA76" s="2872"/>
      <c r="AB76" s="1366"/>
      <c r="AC76" s="1366"/>
      <c r="AD76" s="1366"/>
      <c r="AE76" s="1366"/>
      <c r="AF76" s="1366"/>
      <c r="AG76" s="1366"/>
      <c r="AH76" s="2872"/>
      <c r="AI76" s="2872"/>
      <c r="AJ76" s="2872"/>
      <c r="AK76" s="2872"/>
    </row>
    <row r="77" spans="1:37" ht="24">
      <c r="A77" s="2861" t="s">
        <v>2940</v>
      </c>
      <c r="B77" s="2864">
        <f>估价对象房地状况!C20</f>
        <v>0</v>
      </c>
      <c r="C77" s="2753"/>
      <c r="D77" s="1281">
        <f t="shared" si="20"/>
        <v>0</v>
      </c>
      <c r="E77" s="819"/>
      <c r="F77" s="2485"/>
      <c r="G77" s="1279"/>
      <c r="H77" s="1283" t="str">
        <f t="shared" si="21"/>
        <v>——</v>
      </c>
      <c r="I77" s="813">
        <v>0.15</v>
      </c>
      <c r="J77" s="1280">
        <f t="shared" si="22"/>
        <v>0</v>
      </c>
      <c r="K77" s="1280">
        <f t="shared" si="23"/>
        <v>0</v>
      </c>
      <c r="L77" s="1280">
        <v>0</v>
      </c>
      <c r="M77" s="1280">
        <f t="shared" si="24"/>
        <v>0</v>
      </c>
      <c r="N77" s="1280">
        <f t="shared" si="24"/>
        <v>0</v>
      </c>
      <c r="Z77" s="2703"/>
      <c r="AA77" s="2779"/>
      <c r="AG77" s="1367"/>
      <c r="AK77" s="2779"/>
    </row>
    <row r="78" spans="1:37" ht="24.75" thickBot="1">
      <c r="A78" s="2869" t="s">
        <v>2947</v>
      </c>
      <c r="B78" s="2873"/>
      <c r="C78" s="2753"/>
      <c r="D78" s="1281">
        <f t="shared" si="20"/>
        <v>0</v>
      </c>
      <c r="E78" s="820"/>
      <c r="F78" s="2485"/>
      <c r="G78" s="1279"/>
      <c r="H78" s="1283" t="str">
        <f t="shared" si="21"/>
        <v>——</v>
      </c>
      <c r="I78" s="817">
        <v>0.04</v>
      </c>
      <c r="J78" s="1280">
        <f t="shared" si="22"/>
        <v>0</v>
      </c>
      <c r="K78" s="1280">
        <f t="shared" si="23"/>
        <v>0</v>
      </c>
      <c r="L78" s="1280">
        <v>0</v>
      </c>
      <c r="M78" s="1280">
        <f t="shared" si="24"/>
        <v>0</v>
      </c>
      <c r="N78" s="1280">
        <f t="shared" si="24"/>
        <v>0</v>
      </c>
      <c r="Z78" s="2703"/>
      <c r="AA78" s="2779"/>
      <c r="AG78" s="1367"/>
      <c r="AK78" s="2779"/>
    </row>
    <row r="79" spans="1:37" ht="15">
      <c r="A79" s="2857" t="s">
        <v>2948</v>
      </c>
      <c r="B79" s="2858">
        <f>1+E81</f>
        <v>1</v>
      </c>
      <c r="C79" s="807"/>
      <c r="D79" s="807"/>
      <c r="E79" s="808"/>
      <c r="F79" s="2860"/>
      <c r="G79" s="6"/>
      <c r="H79" s="6"/>
      <c r="I79" s="6"/>
      <c r="J79" s="7"/>
      <c r="K79" s="7"/>
      <c r="L79" s="7"/>
      <c r="M79" s="7"/>
      <c r="N79" s="7"/>
      <c r="Z79" s="2703"/>
      <c r="AA79" s="2779"/>
      <c r="AG79" s="1367"/>
      <c r="AK79" s="2779"/>
    </row>
    <row r="80" spans="1:37" ht="24.75">
      <c r="A80" s="2861" t="s">
        <v>2922</v>
      </c>
      <c r="B80" s="1802"/>
      <c r="C80" s="1802" t="s">
        <v>2924</v>
      </c>
      <c r="D80" s="1802" t="s">
        <v>2925</v>
      </c>
      <c r="E80" s="812" t="s">
        <v>2926</v>
      </c>
      <c r="F80" s="2862" t="s">
        <v>2942</v>
      </c>
      <c r="G80" s="1802" t="s">
        <v>754</v>
      </c>
      <c r="H80" s="2863" t="s">
        <v>2928</v>
      </c>
      <c r="I80" s="1802" t="s">
        <v>2929</v>
      </c>
      <c r="J80" s="602" t="s">
        <v>2577</v>
      </c>
      <c r="K80" s="602" t="s">
        <v>2578</v>
      </c>
      <c r="L80" s="602" t="s">
        <v>2579</v>
      </c>
      <c r="M80" s="602" t="s">
        <v>2580</v>
      </c>
      <c r="N80" s="602" t="s">
        <v>2581</v>
      </c>
      <c r="Z80" s="2703"/>
      <c r="AA80" s="2779"/>
      <c r="AG80" s="1367"/>
      <c r="AK80" s="2779"/>
    </row>
    <row r="81" spans="1:37" ht="24">
      <c r="A81" s="2861" t="s">
        <v>2949</v>
      </c>
      <c r="B81" s="2865" t="str">
        <f>估价对象房地状况!G15</f>
        <v>较好</v>
      </c>
      <c r="C81" s="2753"/>
      <c r="D81" s="1281">
        <f t="shared" ref="D81:D88" si="25">SUMIF($J$80:$N$80,C81,J81:N81)</f>
        <v>0</v>
      </c>
      <c r="E81" s="814">
        <f>ROUND(SUM(D81:D88),4)</f>
        <v>0</v>
      </c>
      <c r="F81" s="2485"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03"/>
      <c r="AA81" s="2779"/>
      <c r="AG81" s="1367"/>
      <c r="AK81" s="2779"/>
    </row>
    <row r="82" spans="1:37" ht="14.25">
      <c r="A82" s="2861" t="s">
        <v>2931</v>
      </c>
      <c r="B82" s="2865" t="str">
        <f>估价对象房地状况!G16</f>
        <v>一般</v>
      </c>
      <c r="C82" s="2753"/>
      <c r="D82" s="1281">
        <f t="shared" si="25"/>
        <v>0</v>
      </c>
      <c r="E82" s="819"/>
      <c r="F82" s="2485"/>
      <c r="G82" s="1279"/>
      <c r="H82" s="1283" t="str">
        <f t="shared" si="26"/>
        <v>——</v>
      </c>
      <c r="I82" s="813">
        <v>0.33</v>
      </c>
      <c r="J82" s="1280">
        <f t="shared" si="27"/>
        <v>0</v>
      </c>
      <c r="K82" s="1280">
        <f t="shared" si="28"/>
        <v>0</v>
      </c>
      <c r="L82" s="1280">
        <v>0</v>
      </c>
      <c r="M82" s="1280">
        <f t="shared" si="29"/>
        <v>0</v>
      </c>
      <c r="N82" s="1280">
        <f t="shared" si="29"/>
        <v>0</v>
      </c>
      <c r="Z82" s="2703"/>
      <c r="AA82" s="2779"/>
      <c r="AG82" s="1367"/>
      <c r="AK82" s="2779"/>
    </row>
    <row r="83" spans="1:37" ht="24">
      <c r="A83" s="2861" t="s">
        <v>2932</v>
      </c>
      <c r="B83" s="2865" t="str">
        <f>估价对象房地状况!G17</f>
        <v>较好</v>
      </c>
      <c r="C83" s="2753"/>
      <c r="D83" s="1281">
        <f t="shared" si="25"/>
        <v>0</v>
      </c>
      <c r="E83" s="819"/>
      <c r="F83" s="2485"/>
      <c r="G83" s="1279"/>
      <c r="H83" s="1283" t="str">
        <f t="shared" si="26"/>
        <v>——</v>
      </c>
      <c r="I83" s="813">
        <v>0.05</v>
      </c>
      <c r="J83" s="1280">
        <f t="shared" si="27"/>
        <v>0</v>
      </c>
      <c r="K83" s="1280">
        <f t="shared" si="28"/>
        <v>0</v>
      </c>
      <c r="L83" s="1280">
        <v>0</v>
      </c>
      <c r="M83" s="1280">
        <f t="shared" si="29"/>
        <v>0</v>
      </c>
      <c r="N83" s="1280">
        <f t="shared" si="29"/>
        <v>0</v>
      </c>
      <c r="Z83" s="2703"/>
      <c r="AA83" s="2779"/>
      <c r="AG83" s="1367"/>
      <c r="AK83" s="2779"/>
    </row>
    <row r="84" spans="1:37" ht="14.25">
      <c r="A84" s="2861" t="s">
        <v>2946</v>
      </c>
      <c r="B84" s="2865" t="str">
        <f>估价对象房地状况!G22</f>
        <v>支路</v>
      </c>
      <c r="C84" s="2753"/>
      <c r="D84" s="1281">
        <f t="shared" si="25"/>
        <v>0</v>
      </c>
      <c r="E84" s="819"/>
      <c r="F84" s="2485"/>
      <c r="G84" s="1279"/>
      <c r="H84" s="1283" t="str">
        <f t="shared" si="26"/>
        <v>——</v>
      </c>
      <c r="I84" s="813">
        <v>0.04</v>
      </c>
      <c r="J84" s="1280">
        <f t="shared" si="27"/>
        <v>0</v>
      </c>
      <c r="K84" s="1280">
        <f t="shared" si="28"/>
        <v>0</v>
      </c>
      <c r="L84" s="1280">
        <v>0</v>
      </c>
      <c r="M84" s="1280">
        <f t="shared" si="29"/>
        <v>0</v>
      </c>
      <c r="N84" s="1280">
        <f t="shared" si="29"/>
        <v>0</v>
      </c>
      <c r="Z84" s="2703"/>
      <c r="AA84" s="2779"/>
      <c r="AG84" s="1367"/>
      <c r="AK84" s="2779"/>
    </row>
    <row r="85" spans="1:37" ht="24">
      <c r="A85" s="2861" t="s">
        <v>2938</v>
      </c>
      <c r="B85" s="1718" t="str">
        <f>估价对象房地状况!G19</f>
        <v>一般</v>
      </c>
      <c r="C85" s="2753"/>
      <c r="D85" s="1281">
        <f t="shared" si="25"/>
        <v>0</v>
      </c>
      <c r="E85" s="819"/>
      <c r="F85" s="2485"/>
      <c r="G85" s="1279"/>
      <c r="H85" s="1283" t="str">
        <f t="shared" si="26"/>
        <v>——</v>
      </c>
      <c r="I85" s="813">
        <v>0.06</v>
      </c>
      <c r="J85" s="1280">
        <f t="shared" si="27"/>
        <v>0</v>
      </c>
      <c r="K85" s="1280">
        <f t="shared" si="28"/>
        <v>0</v>
      </c>
      <c r="L85" s="1280">
        <v>0</v>
      </c>
      <c r="M85" s="1280">
        <f t="shared" si="29"/>
        <v>0</v>
      </c>
      <c r="N85" s="1280">
        <f t="shared" si="29"/>
        <v>0</v>
      </c>
      <c r="Z85" s="2703"/>
      <c r="AA85" s="2779"/>
      <c r="AG85" s="1367"/>
      <c r="AK85" s="2779"/>
    </row>
    <row r="86" spans="1:37" ht="24">
      <c r="A86" s="2861" t="s">
        <v>2939</v>
      </c>
      <c r="B86" s="1718" t="str">
        <f>估价对象房地状况!G20</f>
        <v>七通</v>
      </c>
      <c r="C86" s="2753"/>
      <c r="D86" s="1281">
        <f t="shared" si="25"/>
        <v>0</v>
      </c>
      <c r="E86" s="819"/>
      <c r="F86" s="2485"/>
      <c r="G86" s="1279"/>
      <c r="H86" s="1283" t="str">
        <f t="shared" si="26"/>
        <v>——</v>
      </c>
      <c r="I86" s="813">
        <v>0.15</v>
      </c>
      <c r="J86" s="1280">
        <f t="shared" si="27"/>
        <v>0</v>
      </c>
      <c r="K86" s="1280">
        <f t="shared" si="28"/>
        <v>0</v>
      </c>
      <c r="L86" s="1280">
        <v>0</v>
      </c>
      <c r="M86" s="1280">
        <f t="shared" si="29"/>
        <v>0</v>
      </c>
      <c r="N86" s="1280">
        <f t="shared" si="29"/>
        <v>0</v>
      </c>
      <c r="Z86" s="2703"/>
      <c r="AA86" s="2779"/>
      <c r="AG86" s="1367"/>
      <c r="AK86" s="2779"/>
    </row>
    <row r="87" spans="1:37" ht="24">
      <c r="A87" s="2861" t="s">
        <v>2936</v>
      </c>
      <c r="B87" s="2867" t="s">
        <v>2950</v>
      </c>
      <c r="C87" s="2753"/>
      <c r="D87" s="1281">
        <f t="shared" si="25"/>
        <v>0</v>
      </c>
      <c r="E87" s="819"/>
      <c r="F87" s="2485"/>
      <c r="G87" s="1279"/>
      <c r="H87" s="1283" t="str">
        <f t="shared" si="26"/>
        <v>——</v>
      </c>
      <c r="I87" s="813">
        <v>0.05</v>
      </c>
      <c r="J87" s="1280">
        <f t="shared" si="27"/>
        <v>0</v>
      </c>
      <c r="K87" s="1280">
        <f t="shared" si="28"/>
        <v>0</v>
      </c>
      <c r="L87" s="1280">
        <v>0</v>
      </c>
      <c r="M87" s="1280">
        <f t="shared" si="29"/>
        <v>0</v>
      </c>
      <c r="N87" s="1280">
        <f t="shared" si="29"/>
        <v>0</v>
      </c>
      <c r="Z87" s="2703"/>
      <c r="AA87" s="2779"/>
      <c r="AG87" s="1367"/>
      <c r="AK87" s="2779"/>
    </row>
    <row r="88" spans="1:37" ht="15" thickBot="1">
      <c r="A88" s="2869" t="s">
        <v>2951</v>
      </c>
      <c r="B88" s="2874" t="str">
        <f>估价对象房地状况!G18</f>
        <v>一般</v>
      </c>
      <c r="C88" s="2753"/>
      <c r="D88" s="1281">
        <f t="shared" si="25"/>
        <v>0</v>
      </c>
      <c r="E88" s="820"/>
      <c r="F88" s="2485"/>
      <c r="G88" s="1279"/>
      <c r="H88" s="1283" t="str">
        <f t="shared" si="26"/>
        <v>——</v>
      </c>
      <c r="I88" s="817">
        <v>0.06</v>
      </c>
      <c r="J88" s="1280">
        <f t="shared" si="27"/>
        <v>0</v>
      </c>
      <c r="K88" s="1280">
        <f t="shared" si="28"/>
        <v>0</v>
      </c>
      <c r="L88" s="1280">
        <v>0</v>
      </c>
      <c r="M88" s="1280">
        <f t="shared" si="29"/>
        <v>0</v>
      </c>
      <c r="N88" s="1280">
        <f t="shared" si="29"/>
        <v>0</v>
      </c>
      <c r="Z88" s="2703"/>
      <c r="AA88" s="2779"/>
      <c r="AG88" s="1367"/>
      <c r="AK88" s="2779"/>
    </row>
    <row r="90" spans="1:37">
      <c r="A90" s="3311" t="s">
        <v>2952</v>
      </c>
      <c r="B90" s="3311"/>
      <c r="C90" s="3311"/>
      <c r="D90" s="3311"/>
      <c r="E90" s="3311"/>
      <c r="F90" s="3311"/>
      <c r="G90" s="3311"/>
      <c r="H90" s="3311"/>
      <c r="I90" s="3311"/>
      <c r="J90" s="3311"/>
      <c r="K90" s="2875"/>
      <c r="L90" s="2875"/>
      <c r="M90" s="2875"/>
      <c r="N90" s="2875"/>
    </row>
    <row r="91" spans="1:37">
      <c r="A91" s="3313" t="s">
        <v>2953</v>
      </c>
      <c r="B91" s="3313" t="s">
        <v>2954</v>
      </c>
      <c r="C91" s="2829" t="s">
        <v>2955</v>
      </c>
      <c r="D91" s="2830"/>
      <c r="E91" s="2830"/>
      <c r="F91" s="2830"/>
      <c r="G91" s="2830"/>
      <c r="H91" s="2830"/>
      <c r="I91" s="2830"/>
      <c r="J91" s="2876"/>
      <c r="K91" s="2877"/>
      <c r="L91" s="2877"/>
      <c r="M91" s="2877"/>
      <c r="N91" s="2877"/>
    </row>
    <row r="92" spans="1:37">
      <c r="A92" s="3313"/>
      <c r="B92" s="3313"/>
      <c r="C92" s="938" t="s">
        <v>2819</v>
      </c>
      <c r="D92" s="938" t="s">
        <v>2820</v>
      </c>
      <c r="E92" s="938" t="s">
        <v>2821</v>
      </c>
      <c r="F92" s="938" t="s">
        <v>2822</v>
      </c>
      <c r="G92" s="938" t="s">
        <v>2823</v>
      </c>
      <c r="H92" s="938" t="s">
        <v>2824</v>
      </c>
      <c r="I92" s="938" t="s">
        <v>2825</v>
      </c>
      <c r="J92" s="938" t="s">
        <v>2826</v>
      </c>
      <c r="K92" s="938" t="s">
        <v>2827</v>
      </c>
      <c r="L92" s="938" t="s">
        <v>2828</v>
      </c>
      <c r="M92" s="938" t="s">
        <v>2829</v>
      </c>
      <c r="N92" s="938" t="s">
        <v>2830</v>
      </c>
    </row>
    <row r="93" spans="1:37">
      <c r="A93" s="3314" t="s">
        <v>2956</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15"/>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15"/>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15"/>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15"/>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15"/>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15"/>
      <c r="B99" s="2878" t="s">
        <v>2835</v>
      </c>
      <c r="C99" s="2880">
        <f>$I$3</f>
        <v>0</v>
      </c>
      <c r="D99" s="2880">
        <f t="shared" ref="D99:M99" si="30">$I$3</f>
        <v>0</v>
      </c>
      <c r="E99" s="2880">
        <f t="shared" si="30"/>
        <v>0</v>
      </c>
      <c r="F99" s="2880">
        <f t="shared" si="30"/>
        <v>0</v>
      </c>
      <c r="G99" s="2880">
        <f t="shared" si="30"/>
        <v>0</v>
      </c>
      <c r="H99" s="2880">
        <f t="shared" si="30"/>
        <v>0</v>
      </c>
      <c r="I99" s="2880">
        <f t="shared" si="30"/>
        <v>0</v>
      </c>
      <c r="J99" s="2880">
        <f t="shared" si="30"/>
        <v>0</v>
      </c>
      <c r="K99" s="2880">
        <f t="shared" si="30"/>
        <v>0</v>
      </c>
      <c r="L99" s="2880">
        <f t="shared" si="30"/>
        <v>0</v>
      </c>
      <c r="M99" s="2880">
        <f t="shared" si="30"/>
        <v>0</v>
      </c>
      <c r="N99" s="2880">
        <f>$I$3</f>
        <v>0</v>
      </c>
    </row>
    <row r="100" spans="1:14">
      <c r="A100" s="3316"/>
      <c r="B100" s="2878">
        <v>7</v>
      </c>
      <c r="C100" s="2881">
        <f>(-0.163*(C99^2)-0.59*C99+7617)*(10^(-4))</f>
        <v>0.76170000000000004</v>
      </c>
      <c r="D100" s="2881">
        <f>(-0.163*(D99^2)-0.59*D99+7617)*(10^(-4))</f>
        <v>0.76170000000000004</v>
      </c>
      <c r="E100" s="2881">
        <f>(-0.161*(E99^2)-7.509*E99+6533)*(10^(-4))</f>
        <v>0.65329999999999999</v>
      </c>
      <c r="F100" s="2881">
        <f>(-0.161*(F99^2)-7.509*F99+6533)*(10^(-4))</f>
        <v>0.65329999999999999</v>
      </c>
      <c r="G100" s="2881">
        <f>(-0.161*(G99^2)-7.509*G99+6533)*(10^(-4))</f>
        <v>0.65329999999999999</v>
      </c>
      <c r="H100" s="2881">
        <f>(-0.161*(H99^2)-7.509*H99+6533)*(10^(-4))</f>
        <v>0.65329999999999999</v>
      </c>
      <c r="I100" s="2881">
        <f>(-0.161*(I99^2)-7.509*I99+6533)*(10^(-4))</f>
        <v>0.65329999999999999</v>
      </c>
      <c r="J100" s="2881">
        <f>(-0.214*(J99^2)-21.991*J99+4665)*(10^(-4))</f>
        <v>0.46650000000000003</v>
      </c>
      <c r="K100" s="2881">
        <f>(-0.214*(K99^2)-21.991*K99+4665)*(10^(-4))</f>
        <v>0.46650000000000003</v>
      </c>
      <c r="L100" s="2881">
        <f>(-0.214*(L99^2)-21.991*L99+4665)*(10^(-4))</f>
        <v>0.46650000000000003</v>
      </c>
      <c r="M100" s="2881">
        <f>(-0.214*(M99^2)-21.991*M99+4665)*(10^(-4))</f>
        <v>0.46650000000000003</v>
      </c>
      <c r="N100" s="2881">
        <f>(-0.214*(N99^2)-21.991*N99+4665)*(10^(-4))</f>
        <v>0.46650000000000003</v>
      </c>
    </row>
    <row r="101" spans="1:14">
      <c r="A101" s="3314" t="s">
        <v>2957</v>
      </c>
      <c r="B101" s="2882" t="s">
        <v>2958</v>
      </c>
      <c r="C101" s="2883">
        <f>$G$3</f>
        <v>0.21</v>
      </c>
      <c r="D101" s="2883">
        <f t="shared" ref="D101:N101" si="31">$G$3</f>
        <v>0.21</v>
      </c>
      <c r="E101" s="2883">
        <f t="shared" si="31"/>
        <v>0.21</v>
      </c>
      <c r="F101" s="2883">
        <f t="shared" si="31"/>
        <v>0.21</v>
      </c>
      <c r="G101" s="2883">
        <f t="shared" si="31"/>
        <v>0.21</v>
      </c>
      <c r="H101" s="2883">
        <f t="shared" si="31"/>
        <v>0.21</v>
      </c>
      <c r="I101" s="2883">
        <f t="shared" si="31"/>
        <v>0.21</v>
      </c>
      <c r="J101" s="2883">
        <f t="shared" si="31"/>
        <v>0.21</v>
      </c>
      <c r="K101" s="2883">
        <f t="shared" si="31"/>
        <v>0.21</v>
      </c>
      <c r="L101" s="2883">
        <f t="shared" si="31"/>
        <v>0.21</v>
      </c>
      <c r="M101" s="2883">
        <f t="shared" si="31"/>
        <v>0.21</v>
      </c>
      <c r="N101" s="2883">
        <f t="shared" si="31"/>
        <v>0.21</v>
      </c>
    </row>
    <row r="102" spans="1:14">
      <c r="A102" s="3315"/>
      <c r="B102" s="2878">
        <v>1</v>
      </c>
      <c r="C102" s="2879">
        <f>1.9362/C101</f>
        <v>9.2200000000000006</v>
      </c>
      <c r="D102" s="2879">
        <f>1.9362/D101</f>
        <v>9.2200000000000006</v>
      </c>
      <c r="E102" s="2879">
        <f>1.8629/E101</f>
        <v>8.8709523809523816</v>
      </c>
      <c r="F102" s="2879">
        <f>1.8629/F101</f>
        <v>8.8709523809523816</v>
      </c>
      <c r="G102" s="2879">
        <f>1.8629/G101</f>
        <v>8.8709523809523816</v>
      </c>
      <c r="H102" s="2879">
        <f>1.8629/H101</f>
        <v>8.8709523809523816</v>
      </c>
      <c r="I102" s="2879">
        <f>1.8629/I101</f>
        <v>8.8709523809523816</v>
      </c>
      <c r="J102" s="2879">
        <f>1.942/J101</f>
        <v>9.2476190476190485</v>
      </c>
      <c r="K102" s="2879">
        <f>1.942/K101</f>
        <v>9.2476190476190485</v>
      </c>
      <c r="L102" s="2879">
        <f>1.942/L101</f>
        <v>9.2476190476190485</v>
      </c>
      <c r="M102" s="2879">
        <f>1.942/M101</f>
        <v>9.2476190476190485</v>
      </c>
      <c r="N102" s="2879">
        <f>1.942/N101</f>
        <v>9.2476190476190485</v>
      </c>
    </row>
    <row r="103" spans="1:14">
      <c r="A103" s="3315"/>
      <c r="B103" s="2878">
        <v>2</v>
      </c>
      <c r="C103" s="2879">
        <f>1.4198/C101</f>
        <v>6.7609523809523813</v>
      </c>
      <c r="D103" s="2879">
        <f>1.4198/D101</f>
        <v>6.7609523809523813</v>
      </c>
      <c r="E103" s="2879">
        <f>1.3372/E101</f>
        <v>6.3676190476190477</v>
      </c>
      <c r="F103" s="2879">
        <f>1.3372/F101</f>
        <v>6.3676190476190477</v>
      </c>
      <c r="G103" s="2879">
        <f>1.3372/G101</f>
        <v>6.3676190476190477</v>
      </c>
      <c r="H103" s="2879">
        <f>1.3372/H101</f>
        <v>6.3676190476190477</v>
      </c>
      <c r="I103" s="2879">
        <f>1.3372/I101</f>
        <v>6.3676190476190477</v>
      </c>
      <c r="J103" s="2879">
        <f>1.2799/J101</f>
        <v>6.0947619047619055</v>
      </c>
      <c r="K103" s="2879">
        <f>1.2799/K101</f>
        <v>6.0947619047619055</v>
      </c>
      <c r="L103" s="2879">
        <f>1.2799/L101</f>
        <v>6.0947619047619055</v>
      </c>
      <c r="M103" s="2879">
        <f>1.2799/M101</f>
        <v>6.0947619047619055</v>
      </c>
      <c r="N103" s="2879">
        <f>1.2799/N101</f>
        <v>6.0947619047619055</v>
      </c>
    </row>
    <row r="104" spans="1:14">
      <c r="A104" s="3315"/>
      <c r="B104" s="2878">
        <v>3</v>
      </c>
      <c r="C104" s="2879">
        <f>1.1594/C101</f>
        <v>5.5209523809523811</v>
      </c>
      <c r="D104" s="2879">
        <f>1.1594/D101</f>
        <v>5.5209523809523811</v>
      </c>
      <c r="E104" s="2879">
        <f>1.0788/E101</f>
        <v>5.137142857142857</v>
      </c>
      <c r="F104" s="2879">
        <f>1.0788/F101</f>
        <v>5.137142857142857</v>
      </c>
      <c r="G104" s="2879">
        <f>1.0788/G101</f>
        <v>5.137142857142857</v>
      </c>
      <c r="H104" s="2879">
        <f>1.0788/H101</f>
        <v>5.137142857142857</v>
      </c>
      <c r="I104" s="2879">
        <f>1.0788/I101</f>
        <v>5.137142857142857</v>
      </c>
      <c r="J104" s="2879">
        <f>1.0072/J101</f>
        <v>4.7961904761904766</v>
      </c>
      <c r="K104" s="2879">
        <f>1.0072/K101</f>
        <v>4.7961904761904766</v>
      </c>
      <c r="L104" s="2879">
        <f>1.0072/L101</f>
        <v>4.7961904761904766</v>
      </c>
      <c r="M104" s="2879">
        <f>1.0072/M101</f>
        <v>4.7961904761904766</v>
      </c>
      <c r="N104" s="2879">
        <f>1.0072/N101</f>
        <v>4.7961904761904766</v>
      </c>
    </row>
    <row r="105" spans="1:14">
      <c r="A105" s="3315"/>
      <c r="B105" s="2878">
        <v>4</v>
      </c>
      <c r="C105" s="2879">
        <f>0.9622/C101</f>
        <v>4.5819047619047621</v>
      </c>
      <c r="D105" s="2879">
        <f>0.9622/D101</f>
        <v>4.5819047619047621</v>
      </c>
      <c r="E105" s="2879">
        <f>0.8656/E101</f>
        <v>4.1219047619047622</v>
      </c>
      <c r="F105" s="2879">
        <f>0.8656/F101</f>
        <v>4.1219047619047622</v>
      </c>
      <c r="G105" s="2879">
        <f>0.8656/G101</f>
        <v>4.1219047619047622</v>
      </c>
      <c r="H105" s="2879">
        <f>0.8656/H101</f>
        <v>4.1219047619047622</v>
      </c>
      <c r="I105" s="2879">
        <f>0.8656/I101</f>
        <v>4.1219047619047622</v>
      </c>
      <c r="J105" s="2879">
        <f>0.7525/J101</f>
        <v>3.583333333333333</v>
      </c>
      <c r="K105" s="2879">
        <f>0.7525/K101</f>
        <v>3.583333333333333</v>
      </c>
      <c r="L105" s="2879">
        <f>0.7525/L101</f>
        <v>3.583333333333333</v>
      </c>
      <c r="M105" s="2879">
        <f>0.7525/M101</f>
        <v>3.583333333333333</v>
      </c>
      <c r="N105" s="2879">
        <f>0.7525/N101</f>
        <v>3.583333333333333</v>
      </c>
    </row>
    <row r="106" spans="1:14">
      <c r="A106" s="3315"/>
      <c r="B106" s="2878">
        <v>5</v>
      </c>
      <c r="C106" s="2879">
        <f>0.8417/C101</f>
        <v>4.0080952380952386</v>
      </c>
      <c r="D106" s="2879">
        <f>0.8417/D101</f>
        <v>4.0080952380952386</v>
      </c>
      <c r="E106" s="2879">
        <f>0.7371/E101</f>
        <v>3.5100000000000002</v>
      </c>
      <c r="F106" s="2879">
        <f>0.7371/F101</f>
        <v>3.5100000000000002</v>
      </c>
      <c r="G106" s="2879">
        <f>0.7371/G101</f>
        <v>3.5100000000000002</v>
      </c>
      <c r="H106" s="2879">
        <f>0.7371/H101</f>
        <v>3.5100000000000002</v>
      </c>
      <c r="I106" s="2879">
        <f>0.7371/I101</f>
        <v>3.5100000000000002</v>
      </c>
      <c r="J106" s="2879">
        <f>0.5659/J101</f>
        <v>2.6947619047619047</v>
      </c>
      <c r="K106" s="2879">
        <f>0.5659/K101</f>
        <v>2.6947619047619047</v>
      </c>
      <c r="L106" s="2879">
        <f>0.5659/L101</f>
        <v>2.6947619047619047</v>
      </c>
      <c r="M106" s="2879">
        <f>0.5659/M101</f>
        <v>2.6947619047619047</v>
      </c>
      <c r="N106" s="2879">
        <f>0.5659/N101</f>
        <v>2.6947619047619047</v>
      </c>
    </row>
    <row r="107" spans="1:14">
      <c r="A107" s="3315"/>
      <c r="B107" s="2878">
        <v>6</v>
      </c>
      <c r="C107" s="2879">
        <f>0.7608/C101</f>
        <v>3.6228571428571432</v>
      </c>
      <c r="D107" s="2879">
        <f>0.7608/D101</f>
        <v>3.6228571428571432</v>
      </c>
      <c r="E107" s="2879">
        <f>0.6482/E101</f>
        <v>3.0866666666666669</v>
      </c>
      <c r="F107" s="2879">
        <f>0.6482/F101</f>
        <v>3.0866666666666669</v>
      </c>
      <c r="G107" s="2879">
        <f>0.6482/G101</f>
        <v>3.0866666666666669</v>
      </c>
      <c r="H107" s="2879">
        <f>0.6482/H101</f>
        <v>3.0866666666666669</v>
      </c>
      <c r="I107" s="2879">
        <f>0.6482/I101</f>
        <v>3.0866666666666669</v>
      </c>
      <c r="J107" s="2879">
        <f>0.4525/J101</f>
        <v>2.1547619047619051</v>
      </c>
      <c r="K107" s="2879">
        <f>0.4525/K101</f>
        <v>2.1547619047619051</v>
      </c>
      <c r="L107" s="2879">
        <f>0.4525/L101</f>
        <v>2.1547619047619051</v>
      </c>
      <c r="M107" s="2879">
        <f>0.4525/M101</f>
        <v>2.1547619047619051</v>
      </c>
      <c r="N107" s="2879">
        <f>0.4525/N101</f>
        <v>2.1547619047619051</v>
      </c>
    </row>
    <row r="108" spans="1:14">
      <c r="A108" s="3315"/>
      <c r="B108" s="3171" t="s">
        <v>2959</v>
      </c>
      <c r="C108" s="2880">
        <f>C99</f>
        <v>0</v>
      </c>
      <c r="D108" s="2880">
        <f t="shared" ref="D108:N108" si="32">D99</f>
        <v>0</v>
      </c>
      <c r="E108" s="2880">
        <f t="shared" si="32"/>
        <v>0</v>
      </c>
      <c r="F108" s="2880">
        <f t="shared" si="32"/>
        <v>0</v>
      </c>
      <c r="G108" s="2880">
        <f t="shared" si="32"/>
        <v>0</v>
      </c>
      <c r="H108" s="2880">
        <f t="shared" si="32"/>
        <v>0</v>
      </c>
      <c r="I108" s="2880">
        <f t="shared" si="32"/>
        <v>0</v>
      </c>
      <c r="J108" s="2880">
        <f t="shared" si="32"/>
        <v>0</v>
      </c>
      <c r="K108" s="2880">
        <f t="shared" si="32"/>
        <v>0</v>
      </c>
      <c r="L108" s="2880">
        <f t="shared" si="32"/>
        <v>0</v>
      </c>
      <c r="M108" s="2880">
        <f t="shared" si="32"/>
        <v>0</v>
      </c>
      <c r="N108" s="2880">
        <f t="shared" si="32"/>
        <v>0</v>
      </c>
    </row>
    <row r="109" spans="1:14">
      <c r="A109" s="3316"/>
      <c r="B109" s="3172"/>
      <c r="C109" s="2881">
        <f>(-0.163*(C108^2)-0.59*C108+7617)*(10^(-4))/C101</f>
        <v>3.6271428571428577</v>
      </c>
      <c r="D109" s="2881">
        <f>(-0.163*(D108^2)-0.59*D108+7617)*(10^(-4))/D101</f>
        <v>3.6271428571428577</v>
      </c>
      <c r="E109" s="2881">
        <f>(-0.161*(E108^2)-7.509*E108+6533)*(10^(-4))/E101</f>
        <v>3.1109523809523809</v>
      </c>
      <c r="F109" s="2881">
        <f>(-0.161*(F108^2)-7.509*F108+6533)*(10^(-4))/F101</f>
        <v>3.1109523809523809</v>
      </c>
      <c r="G109" s="2881">
        <f>(-0.161*(G108^2)-7.509*G108+6533)*(10^(-4))/G101</f>
        <v>3.1109523809523809</v>
      </c>
      <c r="H109" s="2881">
        <f>(-0.161*(H108^2)-7.509*H108+6533)*(10^(-4))/H101</f>
        <v>3.1109523809523809</v>
      </c>
      <c r="I109" s="2881">
        <f>(-0.161*(I108^2)-7.509*I108+6533)*(10^(-4))/I101</f>
        <v>3.1109523809523809</v>
      </c>
      <c r="J109" s="2881">
        <f>(-0.214*(J108^2)-21.991*J108+4665)*(10^(-4))/J101</f>
        <v>2.2214285714285715</v>
      </c>
      <c r="K109" s="2881">
        <f>(-0.214*(K108^2)-21.991*K108+4665)*(10^(-4))/K101</f>
        <v>2.2214285714285715</v>
      </c>
      <c r="L109" s="2881">
        <f>(-0.214*(L108^2)-21.991*L108+4665)*(10^(-4))/L101</f>
        <v>2.2214285714285715</v>
      </c>
      <c r="M109" s="2881">
        <f>(-0.214*(M108^2)-21.991*M108+4665)*(10^(-4))/M101</f>
        <v>2.2214285714285715</v>
      </c>
      <c r="N109" s="2881">
        <f>(-0.214*(N108^2)-21.991*N108+4665)*(10^(-4))/N101</f>
        <v>2.2214285714285715</v>
      </c>
    </row>
    <row r="110" spans="1:14">
      <c r="A110" s="3312" t="s">
        <v>2960</v>
      </c>
      <c r="B110" s="3312"/>
      <c r="C110" s="3312"/>
      <c r="D110" s="3312"/>
      <c r="E110" s="3312"/>
      <c r="F110" s="3312"/>
      <c r="G110" s="3312"/>
      <c r="H110" s="3312"/>
      <c r="I110" s="3312"/>
      <c r="J110" s="3312"/>
      <c r="K110" s="2884"/>
      <c r="L110" s="2884"/>
      <c r="M110" s="2884"/>
      <c r="N110" s="2884"/>
    </row>
    <row r="112" spans="1:14" ht="13.5" thickBot="1"/>
    <row r="113" spans="1:13" ht="25.5" thickBot="1">
      <c r="A113" s="896" t="s">
        <v>2961</v>
      </c>
      <c r="B113" s="1282">
        <f>G3</f>
        <v>0.21</v>
      </c>
      <c r="C113" s="897" t="s">
        <v>2962</v>
      </c>
      <c r="D113" s="898">
        <f>SUMPRODUCT((A115:A118=F113)*(B114:M114=H113)*B115:M118)</f>
        <v>0</v>
      </c>
      <c r="E113" s="2707" t="s">
        <v>2792</v>
      </c>
      <c r="F113" s="2886">
        <f>E2</f>
        <v>0</v>
      </c>
      <c r="G113" s="2707" t="s">
        <v>2793</v>
      </c>
      <c r="H113" s="2886">
        <f>G2</f>
        <v>0</v>
      </c>
      <c r="I113" s="2707"/>
      <c r="J113" s="2887"/>
      <c r="K113" s="2887"/>
      <c r="L113" s="2887"/>
      <c r="M113" s="2887"/>
    </row>
    <row r="114" spans="1:13">
      <c r="A114" s="901"/>
      <c r="B114" s="2888" t="s">
        <v>2963</v>
      </c>
      <c r="C114" s="2888" t="s">
        <v>2964</v>
      </c>
      <c r="D114" s="2888" t="s">
        <v>2965</v>
      </c>
      <c r="E114" s="2889" t="s">
        <v>2966</v>
      </c>
      <c r="F114" s="2889" t="s">
        <v>2967</v>
      </c>
      <c r="G114" s="2889" t="s">
        <v>2968</v>
      </c>
      <c r="H114" s="2890" t="s">
        <v>2969</v>
      </c>
      <c r="I114" s="2890" t="s">
        <v>2970</v>
      </c>
      <c r="J114" s="2891" t="s">
        <v>2971</v>
      </c>
      <c r="K114" s="2891" t="s">
        <v>2972</v>
      </c>
      <c r="L114" s="2891" t="s">
        <v>2973</v>
      </c>
      <c r="M114" s="2892" t="s">
        <v>2974</v>
      </c>
    </row>
    <row r="115" spans="1:13">
      <c r="A115" s="902" t="s">
        <v>2857</v>
      </c>
      <c r="B115" s="903">
        <f>ROUND(0.9335-0.0094*B113,4)</f>
        <v>0.93149999999999999</v>
      </c>
      <c r="C115" s="903">
        <f>B115</f>
        <v>0.93149999999999999</v>
      </c>
      <c r="D115" s="903">
        <f>ROUND(0.8331-0.0109*B113,4)</f>
        <v>0.83079999999999998</v>
      </c>
      <c r="E115" s="903">
        <f>D115</f>
        <v>0.83079999999999998</v>
      </c>
      <c r="F115" s="903">
        <f>E115</f>
        <v>0.83079999999999998</v>
      </c>
      <c r="G115" s="903">
        <f>F115</f>
        <v>0.83079999999999998</v>
      </c>
      <c r="H115" s="903">
        <f>G115</f>
        <v>0.83079999999999998</v>
      </c>
      <c r="I115" s="903">
        <f>ROUND(0.689-0.0155*B113,4)</f>
        <v>0.68569999999999998</v>
      </c>
      <c r="J115" s="903">
        <f t="shared" ref="J115:M118" si="33">I115</f>
        <v>0.68569999999999998</v>
      </c>
      <c r="K115" s="903">
        <f t="shared" si="33"/>
        <v>0.68569999999999998</v>
      </c>
      <c r="L115" s="903">
        <f t="shared" si="33"/>
        <v>0.68569999999999998</v>
      </c>
      <c r="M115" s="904">
        <f t="shared" si="33"/>
        <v>0.68569999999999998</v>
      </c>
    </row>
    <row r="116" spans="1:13">
      <c r="A116" s="902" t="s">
        <v>2858</v>
      </c>
      <c r="B116" s="903">
        <f>ROUND(0.949-0.012*B113,4)</f>
        <v>0.94650000000000001</v>
      </c>
      <c r="C116" s="903">
        <f>B116</f>
        <v>0.94650000000000001</v>
      </c>
      <c r="D116" s="903">
        <f>ROUND(0.8567-0.013*B113,4)</f>
        <v>0.85399999999999998</v>
      </c>
      <c r="E116" s="903">
        <f t="shared" ref="E116:H117" si="34">D116</f>
        <v>0.85399999999999998</v>
      </c>
      <c r="F116" s="903">
        <f t="shared" si="34"/>
        <v>0.85399999999999998</v>
      </c>
      <c r="G116" s="903">
        <f t="shared" si="34"/>
        <v>0.85399999999999998</v>
      </c>
      <c r="H116" s="903">
        <f t="shared" si="34"/>
        <v>0.85399999999999998</v>
      </c>
      <c r="I116" s="903">
        <f>ROUND(0.7694-0.014*B113,4)</f>
        <v>0.76649999999999996</v>
      </c>
      <c r="J116" s="903">
        <f t="shared" si="33"/>
        <v>0.76649999999999996</v>
      </c>
      <c r="K116" s="903">
        <f t="shared" si="33"/>
        <v>0.76649999999999996</v>
      </c>
      <c r="L116" s="903">
        <f t="shared" si="33"/>
        <v>0.76649999999999996</v>
      </c>
      <c r="M116" s="904">
        <f t="shared" si="33"/>
        <v>0.76649999999999996</v>
      </c>
    </row>
    <row r="117" spans="1:13">
      <c r="A117" s="902" t="s">
        <v>2859</v>
      </c>
      <c r="B117" s="903">
        <f>ROUND(0.8808-0.006*B113,4)</f>
        <v>0.87949999999999995</v>
      </c>
      <c r="C117" s="903">
        <f>B117</f>
        <v>0.87949999999999995</v>
      </c>
      <c r="D117" s="903">
        <f>ROUND(0.8748-0.008*B113,4)</f>
        <v>0.87309999999999999</v>
      </c>
      <c r="E117" s="903">
        <f t="shared" si="34"/>
        <v>0.87309999999999999</v>
      </c>
      <c r="F117" s="903">
        <f t="shared" si="34"/>
        <v>0.87309999999999999</v>
      </c>
      <c r="G117" s="903">
        <f t="shared" si="34"/>
        <v>0.87309999999999999</v>
      </c>
      <c r="H117" s="903">
        <f t="shared" si="34"/>
        <v>0.87309999999999999</v>
      </c>
      <c r="I117" s="903">
        <f>ROUND(0.7412-0.0095*B113,4)</f>
        <v>0.73919999999999997</v>
      </c>
      <c r="J117" s="903">
        <f t="shared" si="33"/>
        <v>0.73919999999999997</v>
      </c>
      <c r="K117" s="903">
        <f t="shared" si="33"/>
        <v>0.73919999999999997</v>
      </c>
      <c r="L117" s="903">
        <f t="shared" si="33"/>
        <v>0.73919999999999997</v>
      </c>
      <c r="M117" s="904">
        <f t="shared" si="33"/>
        <v>0.73919999999999997</v>
      </c>
    </row>
    <row r="118" spans="1:13" ht="13.5" thickBot="1">
      <c r="A118" s="712" t="s">
        <v>2860</v>
      </c>
      <c r="B118" s="905">
        <f>ROUND(0.7275-0.01*B113,4)</f>
        <v>0.72540000000000004</v>
      </c>
      <c r="C118" s="905">
        <f>B118</f>
        <v>0.72540000000000004</v>
      </c>
      <c r="D118" s="905">
        <f>ROUND(0.7043-0.012*B113,4)</f>
        <v>0.70179999999999998</v>
      </c>
      <c r="E118" s="905">
        <f>D118</f>
        <v>0.70179999999999998</v>
      </c>
      <c r="F118" s="905">
        <f>E118</f>
        <v>0.70179999999999998</v>
      </c>
      <c r="G118" s="905">
        <f>ROUND(0.6299-0.0122*B113,4)</f>
        <v>0.62729999999999997</v>
      </c>
      <c r="H118" s="905">
        <f>G118</f>
        <v>0.62729999999999997</v>
      </c>
      <c r="I118" s="905">
        <f>ROUND(0.5667-0.0136*B113,4)</f>
        <v>0.56379999999999997</v>
      </c>
      <c r="J118" s="905">
        <f t="shared" si="33"/>
        <v>0.56379999999999997</v>
      </c>
      <c r="K118" s="905">
        <f t="shared" si="33"/>
        <v>0.56379999999999997</v>
      </c>
      <c r="L118" s="905">
        <f t="shared" si="33"/>
        <v>0.56379999999999997</v>
      </c>
      <c r="M118" s="906">
        <f t="shared" si="33"/>
        <v>0.56379999999999997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35" priority="5" stopIfTrue="1" operator="notEqual">
      <formula>"——"</formula>
    </cfRule>
  </conditionalFormatting>
  <conditionalFormatting sqref="F59">
    <cfRule type="cellIs" dxfId="34" priority="4" stopIfTrue="1" operator="notEqual">
      <formula>"——"</formula>
    </cfRule>
  </conditionalFormatting>
  <conditionalFormatting sqref="F70">
    <cfRule type="cellIs" dxfId="33" priority="3" stopIfTrue="1" operator="notEqual">
      <formula>"——"</formula>
    </cfRule>
  </conditionalFormatting>
  <conditionalFormatting sqref="F81">
    <cfRule type="cellIs" dxfId="32" priority="2" stopIfTrue="1" operator="notEqual">
      <formula>"——"</formula>
    </cfRule>
  </conditionalFormatting>
  <conditionalFormatting sqref="H48:H56 H59:H67 H70:H78 H81:H88">
    <cfRule type="cellIs" dxfId="3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20" t="s">
        <v>183</v>
      </c>
      <c r="B18" s="875" t="s">
        <v>560</v>
      </c>
      <c r="C18" s="876" t="s">
        <v>561</v>
      </c>
      <c r="D18" s="877"/>
      <c r="E18" s="875">
        <v>1</v>
      </c>
      <c r="F18" s="878" t="s">
        <v>562</v>
      </c>
      <c r="G18" s="879"/>
      <c r="H18" s="871"/>
      <c r="I18" s="871"/>
    </row>
    <row r="19" spans="1:9" s="880" customFormat="1" ht="19.5" customHeight="1">
      <c r="A19" s="3320"/>
      <c r="B19" s="3320" t="s">
        <v>563</v>
      </c>
      <c r="C19" s="876" t="s">
        <v>564</v>
      </c>
      <c r="D19" s="877"/>
      <c r="E19" s="875">
        <v>0.9</v>
      </c>
      <c r="F19" s="878" t="s">
        <v>565</v>
      </c>
      <c r="G19" s="879"/>
      <c r="H19" s="871"/>
      <c r="I19" s="871"/>
    </row>
    <row r="20" spans="1:9" s="880" customFormat="1" ht="19.5" customHeight="1">
      <c r="A20" s="3320"/>
      <c r="B20" s="3320"/>
      <c r="C20" s="876" t="s">
        <v>566</v>
      </c>
      <c r="D20" s="877"/>
      <c r="E20" s="875">
        <v>1.1000000000000001</v>
      </c>
      <c r="F20" s="878" t="s">
        <v>567</v>
      </c>
      <c r="G20" s="879"/>
      <c r="H20" s="871"/>
      <c r="I20" s="871"/>
    </row>
    <row r="21" spans="1:9" s="880" customFormat="1" ht="19.5" customHeight="1">
      <c r="A21" s="3320"/>
      <c r="B21" s="3320"/>
      <c r="C21" s="876" t="s">
        <v>568</v>
      </c>
      <c r="D21" s="877"/>
      <c r="E21" s="875">
        <v>0.8</v>
      </c>
      <c r="F21" s="878" t="s">
        <v>569</v>
      </c>
      <c r="G21" s="879"/>
      <c r="H21" s="871"/>
      <c r="I21" s="871"/>
    </row>
    <row r="22" spans="1:9" s="880" customFormat="1" ht="19.5" customHeight="1">
      <c r="A22" s="3320"/>
      <c r="B22" s="3320"/>
      <c r="C22" s="876" t="s">
        <v>570</v>
      </c>
      <c r="D22" s="877"/>
      <c r="E22" s="875">
        <v>0.5</v>
      </c>
      <c r="F22" s="878"/>
      <c r="G22" s="879"/>
      <c r="H22" s="871"/>
      <c r="I22" s="871"/>
    </row>
    <row r="23" spans="1:9" s="880" customFormat="1" ht="19.5" customHeight="1">
      <c r="A23" s="3320" t="s">
        <v>184</v>
      </c>
      <c r="B23" s="875" t="s">
        <v>560</v>
      </c>
      <c r="C23" s="876" t="s">
        <v>571</v>
      </c>
      <c r="D23" s="877"/>
      <c r="E23" s="875">
        <v>1</v>
      </c>
      <c r="F23" s="878" t="s">
        <v>572</v>
      </c>
      <c r="G23" s="879"/>
      <c r="H23" s="871"/>
      <c r="I23" s="871"/>
    </row>
    <row r="24" spans="1:9" s="880" customFormat="1" ht="19.5" customHeight="1">
      <c r="A24" s="3320"/>
      <c r="B24" s="3320" t="s">
        <v>563</v>
      </c>
      <c r="C24" s="876" t="s">
        <v>573</v>
      </c>
      <c r="D24" s="877"/>
      <c r="E24" s="875">
        <v>0.5</v>
      </c>
      <c r="F24" s="878"/>
      <c r="G24" s="879"/>
      <c r="H24" s="871"/>
      <c r="I24" s="871"/>
    </row>
    <row r="25" spans="1:9" s="880" customFormat="1" ht="19.5" customHeight="1">
      <c r="A25" s="3320"/>
      <c r="B25" s="3320"/>
      <c r="C25" s="876" t="s">
        <v>574</v>
      </c>
      <c r="D25" s="877"/>
      <c r="E25" s="875">
        <v>1.1000000000000001</v>
      </c>
      <c r="F25" s="878"/>
      <c r="G25" s="879"/>
      <c r="H25" s="871"/>
      <c r="I25" s="871"/>
    </row>
    <row r="26" spans="1:9" s="880" customFormat="1" ht="19.5" customHeight="1">
      <c r="A26" s="3320"/>
      <c r="B26" s="3320"/>
      <c r="C26" s="876" t="s">
        <v>575</v>
      </c>
      <c r="D26" s="877"/>
      <c r="E26" s="875">
        <v>1.1000000000000001</v>
      </c>
      <c r="F26" s="878"/>
      <c r="G26" s="879"/>
      <c r="H26" s="871"/>
      <c r="I26" s="871"/>
    </row>
    <row r="27" spans="1:9" s="880" customFormat="1" ht="19.5" customHeight="1">
      <c r="A27" s="3320"/>
      <c r="B27" s="3320"/>
      <c r="C27" s="876" t="s">
        <v>576</v>
      </c>
      <c r="D27" s="877"/>
      <c r="E27" s="875">
        <v>0.9</v>
      </c>
      <c r="F27" s="878" t="s">
        <v>577</v>
      </c>
      <c r="G27" s="879"/>
      <c r="H27" s="871"/>
      <c r="I27" s="871"/>
    </row>
    <row r="28" spans="1:9" s="880" customFormat="1" ht="19.5" customHeight="1">
      <c r="A28" s="3320"/>
      <c r="B28" s="3320"/>
      <c r="C28" s="876" t="s">
        <v>578</v>
      </c>
      <c r="D28" s="877"/>
      <c r="E28" s="875">
        <v>0.9</v>
      </c>
      <c r="F28" s="878" t="s">
        <v>579</v>
      </c>
      <c r="G28" s="879"/>
      <c r="H28" s="871"/>
      <c r="I28" s="871"/>
    </row>
    <row r="29" spans="1:9" s="880" customFormat="1" ht="19.5" customHeight="1">
      <c r="A29" s="3320"/>
      <c r="B29" s="3320"/>
      <c r="C29" s="876" t="s">
        <v>580</v>
      </c>
      <c r="D29" s="877"/>
      <c r="E29" s="875">
        <v>0.9</v>
      </c>
      <c r="F29" s="878" t="s">
        <v>581</v>
      </c>
      <c r="G29" s="879"/>
      <c r="H29" s="871"/>
      <c r="I29" s="871"/>
    </row>
    <row r="30" spans="1:9" s="880" customFormat="1" ht="19.5" customHeight="1">
      <c r="A30" s="3320"/>
      <c r="B30" s="3320"/>
      <c r="C30" s="876" t="s">
        <v>582</v>
      </c>
      <c r="D30" s="877"/>
      <c r="E30" s="875">
        <v>0.9</v>
      </c>
      <c r="F30" s="878" t="s">
        <v>583</v>
      </c>
      <c r="G30" s="879"/>
      <c r="H30" s="871"/>
      <c r="I30" s="871"/>
    </row>
    <row r="31" spans="1:9" s="880" customFormat="1" ht="19.5" customHeight="1">
      <c r="A31" s="3320"/>
      <c r="B31" s="3320"/>
      <c r="C31" s="876" t="s">
        <v>584</v>
      </c>
      <c r="D31" s="877"/>
      <c r="E31" s="875">
        <v>0.8</v>
      </c>
      <c r="F31" s="878" t="s">
        <v>585</v>
      </c>
      <c r="G31" s="879"/>
      <c r="H31" s="871"/>
      <c r="I31" s="871"/>
    </row>
    <row r="32" spans="1:9" s="880" customFormat="1" ht="19.5" customHeight="1">
      <c r="A32" s="3320"/>
      <c r="B32" s="3320"/>
      <c r="C32" s="876" t="s">
        <v>586</v>
      </c>
      <c r="D32" s="877"/>
      <c r="E32" s="875">
        <v>0.8</v>
      </c>
      <c r="F32" s="878" t="s">
        <v>587</v>
      </c>
      <c r="G32" s="879"/>
      <c r="H32" s="871"/>
      <c r="I32" s="871"/>
    </row>
    <row r="33" spans="1:9" s="880" customFormat="1" ht="19.5" customHeight="1">
      <c r="A33" s="3320" t="s">
        <v>185</v>
      </c>
      <c r="B33" s="875" t="s">
        <v>560</v>
      </c>
      <c r="C33" s="876" t="s">
        <v>588</v>
      </c>
      <c r="D33" s="877"/>
      <c r="E33" s="875">
        <v>1</v>
      </c>
      <c r="F33" s="878" t="s">
        <v>589</v>
      </c>
      <c r="G33" s="879"/>
      <c r="H33" s="871"/>
      <c r="I33" s="871"/>
    </row>
    <row r="34" spans="1:9" s="880" customFormat="1" ht="19.5" customHeight="1">
      <c r="A34" s="3320"/>
      <c r="B34" s="875" t="s">
        <v>563</v>
      </c>
      <c r="C34" s="876" t="s">
        <v>590</v>
      </c>
      <c r="D34" s="877"/>
      <c r="E34" s="875">
        <v>1.5</v>
      </c>
      <c r="F34" s="878" t="s">
        <v>591</v>
      </c>
      <c r="G34" s="879"/>
      <c r="H34" s="871"/>
      <c r="I34" s="871"/>
    </row>
    <row r="35" spans="1:9" s="880" customFormat="1" ht="19.5" customHeight="1">
      <c r="A35" s="3320" t="s">
        <v>186</v>
      </c>
      <c r="B35" s="875" t="s">
        <v>560</v>
      </c>
      <c r="C35" s="876" t="s">
        <v>592</v>
      </c>
      <c r="D35" s="877"/>
      <c r="E35" s="875">
        <v>1</v>
      </c>
      <c r="F35" s="878" t="s">
        <v>593</v>
      </c>
      <c r="G35" s="879"/>
      <c r="H35" s="871"/>
      <c r="I35" s="871"/>
    </row>
    <row r="36" spans="1:9" s="880" customFormat="1" ht="19.5" customHeight="1">
      <c r="A36" s="3320"/>
      <c r="B36" s="3320" t="s">
        <v>563</v>
      </c>
      <c r="C36" s="876" t="s">
        <v>594</v>
      </c>
      <c r="D36" s="877"/>
      <c r="E36" s="875">
        <v>1</v>
      </c>
      <c r="F36" s="878" t="s">
        <v>595</v>
      </c>
      <c r="G36" s="879"/>
      <c r="H36" s="871"/>
      <c r="I36" s="871"/>
    </row>
    <row r="37" spans="1:9" s="880" customFormat="1" ht="19.5" customHeight="1">
      <c r="A37" s="3320"/>
      <c r="B37" s="3320"/>
      <c r="C37" s="876" t="s">
        <v>596</v>
      </c>
      <c r="D37" s="877"/>
      <c r="E37" s="875">
        <v>1.5</v>
      </c>
      <c r="F37" s="878" t="s">
        <v>597</v>
      </c>
      <c r="G37" s="879"/>
      <c r="H37" s="871"/>
      <c r="I37" s="871"/>
    </row>
    <row r="38" spans="1:9" s="880" customFormat="1" ht="19.5" customHeight="1">
      <c r="A38" s="3320"/>
      <c r="B38" s="3320"/>
      <c r="C38" s="876" t="s">
        <v>598</v>
      </c>
      <c r="D38" s="877"/>
      <c r="E38" s="875">
        <v>1</v>
      </c>
      <c r="F38" s="878" t="s">
        <v>599</v>
      </c>
      <c r="G38" s="879"/>
      <c r="H38" s="871"/>
      <c r="I38" s="871"/>
    </row>
    <row r="39" spans="1:9" s="880" customFormat="1" ht="19.5" customHeight="1">
      <c r="A39" s="3320"/>
      <c r="B39" s="3320"/>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20" t="s">
        <v>614</v>
      </c>
      <c r="C61" s="811" t="s">
        <v>615</v>
      </c>
      <c r="D61" s="811" t="s">
        <v>616</v>
      </c>
      <c r="E61" s="888">
        <v>0.5</v>
      </c>
      <c r="F61" s="875">
        <v>80</v>
      </c>
    </row>
    <row r="62" spans="1:8" s="871" customFormat="1" ht="24">
      <c r="A62" s="875">
        <v>2</v>
      </c>
      <c r="B62" s="3320"/>
      <c r="C62" s="811" t="s">
        <v>617</v>
      </c>
      <c r="D62" s="811" t="s">
        <v>618</v>
      </c>
      <c r="E62" s="888">
        <v>0.5</v>
      </c>
      <c r="F62" s="875">
        <v>80</v>
      </c>
    </row>
    <row r="63" spans="1:8" s="871" customFormat="1" ht="36">
      <c r="A63" s="875">
        <v>3</v>
      </c>
      <c r="B63" s="3320"/>
      <c r="C63" s="811" t="s">
        <v>619</v>
      </c>
      <c r="D63" s="811" t="s">
        <v>620</v>
      </c>
      <c r="E63" s="888">
        <v>0.5</v>
      </c>
      <c r="F63" s="875">
        <v>80</v>
      </c>
    </row>
    <row r="64" spans="1:8" s="871" customFormat="1" ht="36">
      <c r="A64" s="875">
        <v>4</v>
      </c>
      <c r="B64" s="3320"/>
      <c r="C64" s="811" t="s">
        <v>621</v>
      </c>
      <c r="D64" s="811" t="s">
        <v>622</v>
      </c>
      <c r="E64" s="888">
        <v>0.4</v>
      </c>
      <c r="F64" s="875">
        <v>60</v>
      </c>
    </row>
    <row r="65" spans="1:6" s="871" customFormat="1" ht="36">
      <c r="A65" s="875">
        <v>5</v>
      </c>
      <c r="B65" s="3320"/>
      <c r="C65" s="811" t="s">
        <v>623</v>
      </c>
      <c r="D65" s="811" t="s">
        <v>624</v>
      </c>
      <c r="E65" s="888">
        <v>0.2</v>
      </c>
      <c r="F65" s="875">
        <v>30</v>
      </c>
    </row>
    <row r="66" spans="1:6" s="871" customFormat="1" ht="36">
      <c r="A66" s="875">
        <v>6</v>
      </c>
      <c r="B66" s="3320"/>
      <c r="C66" s="811" t="s">
        <v>625</v>
      </c>
      <c r="D66" s="811" t="s">
        <v>626</v>
      </c>
      <c r="E66" s="888">
        <v>0.3</v>
      </c>
      <c r="F66" s="875">
        <v>50</v>
      </c>
    </row>
    <row r="67" spans="1:6" s="871" customFormat="1" ht="36">
      <c r="A67" s="875">
        <v>7</v>
      </c>
      <c r="B67" s="3320"/>
      <c r="C67" s="811" t="s">
        <v>627</v>
      </c>
      <c r="D67" s="811" t="s">
        <v>628</v>
      </c>
      <c r="E67" s="888">
        <v>0.2</v>
      </c>
      <c r="F67" s="875">
        <v>30</v>
      </c>
    </row>
    <row r="68" spans="1:6" s="871" customFormat="1" ht="36">
      <c r="A68" s="875">
        <v>8</v>
      </c>
      <c r="B68" s="3320"/>
      <c r="C68" s="811" t="s">
        <v>629</v>
      </c>
      <c r="D68" s="811" t="s">
        <v>630</v>
      </c>
      <c r="E68" s="888">
        <v>0.2</v>
      </c>
      <c r="F68" s="875">
        <v>30</v>
      </c>
    </row>
    <row r="69" spans="1:6" s="871" customFormat="1" ht="36">
      <c r="A69" s="875">
        <v>9</v>
      </c>
      <c r="B69" s="3320"/>
      <c r="C69" s="811" t="s">
        <v>631</v>
      </c>
      <c r="D69" s="811" t="s">
        <v>632</v>
      </c>
      <c r="E69" s="888">
        <v>0.2</v>
      </c>
      <c r="F69" s="875">
        <v>30</v>
      </c>
    </row>
    <row r="70" spans="1:6" s="871" customFormat="1" ht="48">
      <c r="A70" s="875">
        <v>10</v>
      </c>
      <c r="B70" s="3320"/>
      <c r="C70" s="811" t="s">
        <v>633</v>
      </c>
      <c r="D70" s="811" t="s">
        <v>634</v>
      </c>
      <c r="E70" s="888">
        <v>0.2</v>
      </c>
      <c r="F70" s="875">
        <v>30</v>
      </c>
    </row>
    <row r="71" spans="1:6" s="871" customFormat="1" ht="48">
      <c r="A71" s="875">
        <v>11</v>
      </c>
      <c r="B71" s="3320"/>
      <c r="C71" s="811" t="s">
        <v>635</v>
      </c>
      <c r="D71" s="811" t="s">
        <v>636</v>
      </c>
      <c r="E71" s="888">
        <v>0.2</v>
      </c>
      <c r="F71" s="875">
        <v>30</v>
      </c>
    </row>
    <row r="72" spans="1:6" s="871" customFormat="1" ht="36">
      <c r="A72" s="875">
        <v>12</v>
      </c>
      <c r="B72" s="3320"/>
      <c r="C72" s="811" t="s">
        <v>637</v>
      </c>
      <c r="D72" s="811" t="s">
        <v>638</v>
      </c>
      <c r="E72" s="888">
        <v>0.5</v>
      </c>
      <c r="F72" s="875">
        <v>80</v>
      </c>
    </row>
    <row r="73" spans="1:6" s="871" customFormat="1" ht="24">
      <c r="A73" s="875">
        <v>13</v>
      </c>
      <c r="B73" s="3320"/>
      <c r="C73" s="811" t="s">
        <v>639</v>
      </c>
      <c r="D73" s="811" t="s">
        <v>640</v>
      </c>
      <c r="E73" s="888">
        <v>0.4</v>
      </c>
      <c r="F73" s="875">
        <v>60</v>
      </c>
    </row>
    <row r="74" spans="1:6" s="871" customFormat="1" ht="24">
      <c r="A74" s="875">
        <v>14</v>
      </c>
      <c r="B74" s="3320"/>
      <c r="C74" s="811" t="s">
        <v>641</v>
      </c>
      <c r="D74" s="811" t="s">
        <v>642</v>
      </c>
      <c r="E74" s="888">
        <v>0.2</v>
      </c>
      <c r="F74" s="875">
        <v>30</v>
      </c>
    </row>
    <row r="75" spans="1:6" s="871" customFormat="1" ht="24">
      <c r="A75" s="875">
        <v>15</v>
      </c>
      <c r="B75" s="3320"/>
      <c r="C75" s="811" t="s">
        <v>643</v>
      </c>
      <c r="D75" s="811" t="s">
        <v>644</v>
      </c>
      <c r="E75" s="888">
        <v>0.2</v>
      </c>
      <c r="F75" s="875">
        <v>30</v>
      </c>
    </row>
    <row r="76" spans="1:6" s="871" customFormat="1" ht="24">
      <c r="A76" s="875">
        <v>16</v>
      </c>
      <c r="B76" s="3320" t="s">
        <v>645</v>
      </c>
      <c r="C76" s="811" t="s">
        <v>646</v>
      </c>
      <c r="D76" s="811" t="s">
        <v>647</v>
      </c>
      <c r="E76" s="888">
        <v>0.5</v>
      </c>
      <c r="F76" s="875">
        <v>80</v>
      </c>
    </row>
    <row r="77" spans="1:6" s="871" customFormat="1" ht="24">
      <c r="A77" s="875">
        <v>17</v>
      </c>
      <c r="B77" s="3320"/>
      <c r="C77" s="811" t="s">
        <v>648</v>
      </c>
      <c r="D77" s="811" t="s">
        <v>649</v>
      </c>
      <c r="E77" s="888">
        <v>0.5</v>
      </c>
      <c r="F77" s="875">
        <v>80</v>
      </c>
    </row>
    <row r="78" spans="1:6" s="871" customFormat="1" ht="24">
      <c r="A78" s="875">
        <v>18</v>
      </c>
      <c r="B78" s="3320"/>
      <c r="C78" s="811" t="s">
        <v>650</v>
      </c>
      <c r="D78" s="811" t="s">
        <v>651</v>
      </c>
      <c r="E78" s="888">
        <v>0.2</v>
      </c>
      <c r="F78" s="875">
        <v>30</v>
      </c>
    </row>
    <row r="79" spans="1:6" s="871" customFormat="1" ht="24">
      <c r="A79" s="875">
        <v>19</v>
      </c>
      <c r="B79" s="3320"/>
      <c r="C79" s="811" t="s">
        <v>652</v>
      </c>
      <c r="D79" s="811" t="s">
        <v>653</v>
      </c>
      <c r="E79" s="888">
        <v>0.5</v>
      </c>
      <c r="F79" s="875">
        <v>80</v>
      </c>
    </row>
    <row r="80" spans="1:6" s="871" customFormat="1" ht="36">
      <c r="A80" s="875">
        <v>20</v>
      </c>
      <c r="B80" s="3320"/>
      <c r="C80" s="811" t="s">
        <v>654</v>
      </c>
      <c r="D80" s="811" t="s">
        <v>655</v>
      </c>
      <c r="E80" s="888">
        <v>0.2</v>
      </c>
      <c r="F80" s="875">
        <v>30</v>
      </c>
    </row>
    <row r="81" spans="1:6" s="871" customFormat="1" ht="36">
      <c r="A81" s="875">
        <v>21</v>
      </c>
      <c r="B81" s="3320"/>
      <c r="C81" s="811" t="s">
        <v>656</v>
      </c>
      <c r="D81" s="811" t="s">
        <v>657</v>
      </c>
      <c r="E81" s="888">
        <v>0.2</v>
      </c>
      <c r="F81" s="875">
        <v>30</v>
      </c>
    </row>
    <row r="82" spans="1:6" s="871" customFormat="1" ht="48">
      <c r="A82" s="875">
        <v>22</v>
      </c>
      <c r="B82" s="3320"/>
      <c r="C82" s="811" t="s">
        <v>658</v>
      </c>
      <c r="D82" s="811" t="s">
        <v>659</v>
      </c>
      <c r="E82" s="888">
        <v>0.2</v>
      </c>
      <c r="F82" s="875">
        <v>30</v>
      </c>
    </row>
    <row r="83" spans="1:6" s="871" customFormat="1" ht="48">
      <c r="A83" s="875">
        <v>23</v>
      </c>
      <c r="B83" s="3320"/>
      <c r="C83" s="811" t="s">
        <v>660</v>
      </c>
      <c r="D83" s="811" t="s">
        <v>661</v>
      </c>
      <c r="E83" s="888">
        <v>0.2</v>
      </c>
      <c r="F83" s="875">
        <v>30</v>
      </c>
    </row>
    <row r="84" spans="1:6" s="871" customFormat="1" ht="36">
      <c r="A84" s="875">
        <v>24</v>
      </c>
      <c r="B84" s="3320"/>
      <c r="C84" s="811" t="s">
        <v>662</v>
      </c>
      <c r="D84" s="811" t="s">
        <v>663</v>
      </c>
      <c r="E84" s="888">
        <v>0.2</v>
      </c>
      <c r="F84" s="875">
        <v>30</v>
      </c>
    </row>
    <row r="85" spans="1:6" s="871" customFormat="1" ht="36">
      <c r="A85" s="875">
        <v>25</v>
      </c>
      <c r="B85" s="3320"/>
      <c r="C85" s="811" t="s">
        <v>664</v>
      </c>
      <c r="D85" s="811" t="s">
        <v>665</v>
      </c>
      <c r="E85" s="888">
        <v>0.5</v>
      </c>
      <c r="F85" s="875">
        <v>80</v>
      </c>
    </row>
    <row r="86" spans="1:6" s="871" customFormat="1" ht="36">
      <c r="A86" s="875">
        <v>26</v>
      </c>
      <c r="B86" s="3320"/>
      <c r="C86" s="811" t="s">
        <v>666</v>
      </c>
      <c r="D86" s="811" t="s">
        <v>667</v>
      </c>
      <c r="E86" s="888">
        <v>0.2</v>
      </c>
      <c r="F86" s="875">
        <v>30</v>
      </c>
    </row>
    <row r="87" spans="1:6" s="871" customFormat="1" ht="36">
      <c r="A87" s="875">
        <v>27</v>
      </c>
      <c r="B87" s="3320"/>
      <c r="C87" s="811" t="s">
        <v>668</v>
      </c>
      <c r="D87" s="811" t="s">
        <v>669</v>
      </c>
      <c r="E87" s="888">
        <v>0.2</v>
      </c>
      <c r="F87" s="875">
        <v>30</v>
      </c>
    </row>
    <row r="88" spans="1:6" s="871" customFormat="1" ht="36">
      <c r="A88" s="875">
        <v>28</v>
      </c>
      <c r="B88" s="3320"/>
      <c r="C88" s="811" t="s">
        <v>670</v>
      </c>
      <c r="D88" s="811" t="s">
        <v>671</v>
      </c>
      <c r="E88" s="888">
        <v>0.2</v>
      </c>
      <c r="F88" s="875">
        <v>30</v>
      </c>
    </row>
    <row r="89" spans="1:6" s="871" customFormat="1" ht="24">
      <c r="A89" s="875">
        <v>29</v>
      </c>
      <c r="B89" s="3320"/>
      <c r="C89" s="811" t="s">
        <v>672</v>
      </c>
      <c r="D89" s="811" t="s">
        <v>673</v>
      </c>
      <c r="E89" s="888">
        <v>0.2</v>
      </c>
      <c r="F89" s="875">
        <v>30</v>
      </c>
    </row>
    <row r="90" spans="1:6" s="871" customFormat="1" ht="24">
      <c r="A90" s="875">
        <v>30</v>
      </c>
      <c r="B90" s="3320"/>
      <c r="C90" s="811" t="s">
        <v>674</v>
      </c>
      <c r="D90" s="811" t="s">
        <v>675</v>
      </c>
      <c r="E90" s="888">
        <v>0.2</v>
      </c>
      <c r="F90" s="875">
        <v>30</v>
      </c>
    </row>
    <row r="91" spans="1:6" s="871" customFormat="1" ht="36">
      <c r="A91" s="875">
        <v>31</v>
      </c>
      <c r="B91" s="3320"/>
      <c r="C91" s="811" t="s">
        <v>676</v>
      </c>
      <c r="D91" s="811" t="s">
        <v>677</v>
      </c>
      <c r="E91" s="888">
        <v>0.2</v>
      </c>
      <c r="F91" s="875">
        <v>30</v>
      </c>
    </row>
    <row r="92" spans="1:6" s="871" customFormat="1" ht="24">
      <c r="A92" s="875">
        <v>32</v>
      </c>
      <c r="B92" s="3320" t="s">
        <v>678</v>
      </c>
      <c r="C92" s="875" t="s">
        <v>679</v>
      </c>
      <c r="D92" s="811" t="s">
        <v>680</v>
      </c>
      <c r="E92" s="888">
        <v>0.2</v>
      </c>
      <c r="F92" s="875">
        <v>30</v>
      </c>
    </row>
    <row r="93" spans="1:6" s="871" customFormat="1" ht="36">
      <c r="A93" s="875">
        <v>33</v>
      </c>
      <c r="B93" s="3320"/>
      <c r="C93" s="875" t="s">
        <v>681</v>
      </c>
      <c r="D93" s="811" t="s">
        <v>682</v>
      </c>
      <c r="E93" s="888">
        <v>0.2</v>
      </c>
      <c r="F93" s="875">
        <v>30</v>
      </c>
    </row>
    <row r="94" spans="1:6" s="871" customFormat="1" ht="48">
      <c r="A94" s="875">
        <v>34</v>
      </c>
      <c r="B94" s="3320"/>
      <c r="C94" s="875" t="s">
        <v>683</v>
      </c>
      <c r="D94" s="811" t="s">
        <v>684</v>
      </c>
      <c r="E94" s="888">
        <v>0.2</v>
      </c>
      <c r="F94" s="875">
        <v>30</v>
      </c>
    </row>
    <row r="95" spans="1:6" s="871" customFormat="1" ht="36">
      <c r="A95" s="875">
        <v>35</v>
      </c>
      <c r="B95" s="3320"/>
      <c r="C95" s="875" t="s">
        <v>685</v>
      </c>
      <c r="D95" s="811" t="s">
        <v>686</v>
      </c>
      <c r="E95" s="888">
        <v>0.2</v>
      </c>
      <c r="F95" s="875">
        <v>30</v>
      </c>
    </row>
    <row r="96" spans="1:6" s="871" customFormat="1" ht="48">
      <c r="A96" s="875">
        <v>36</v>
      </c>
      <c r="B96" s="3320"/>
      <c r="C96" s="811" t="s">
        <v>687</v>
      </c>
      <c r="D96" s="811" t="s">
        <v>688</v>
      </c>
      <c r="E96" s="888">
        <v>0.2</v>
      </c>
      <c r="F96" s="875">
        <v>30</v>
      </c>
    </row>
    <row r="97" spans="1:6" s="871" customFormat="1" ht="36">
      <c r="A97" s="875">
        <v>37</v>
      </c>
      <c r="B97" s="3320"/>
      <c r="C97" s="875" t="s">
        <v>689</v>
      </c>
      <c r="D97" s="811" t="s">
        <v>690</v>
      </c>
      <c r="E97" s="888">
        <v>0.2</v>
      </c>
      <c r="F97" s="875">
        <v>30</v>
      </c>
    </row>
    <row r="98" spans="1:6" s="871" customFormat="1" ht="36">
      <c r="A98" s="875">
        <v>38</v>
      </c>
      <c r="B98" s="3320"/>
      <c r="C98" s="875" t="s">
        <v>691</v>
      </c>
      <c r="D98" s="811" t="s">
        <v>692</v>
      </c>
      <c r="E98" s="888">
        <v>0.2</v>
      </c>
      <c r="F98" s="875">
        <v>30</v>
      </c>
    </row>
    <row r="99" spans="1:6" s="871" customFormat="1" ht="36">
      <c r="A99" s="875">
        <v>39</v>
      </c>
      <c r="B99" s="3320" t="s">
        <v>693</v>
      </c>
      <c r="C99" s="875" t="s">
        <v>694</v>
      </c>
      <c r="D99" s="811" t="s">
        <v>695</v>
      </c>
      <c r="E99" s="888">
        <v>0.3</v>
      </c>
      <c r="F99" s="875">
        <v>50</v>
      </c>
    </row>
    <row r="100" spans="1:6" s="871" customFormat="1" ht="24">
      <c r="A100" s="875">
        <v>40</v>
      </c>
      <c r="B100" s="3320"/>
      <c r="C100" s="875" t="s">
        <v>696</v>
      </c>
      <c r="D100" s="811" t="s">
        <v>697</v>
      </c>
      <c r="E100" s="888">
        <v>0.2</v>
      </c>
      <c r="F100" s="875">
        <v>30</v>
      </c>
    </row>
    <row r="101" spans="1:6" s="871" customFormat="1" ht="36">
      <c r="A101" s="875">
        <v>41</v>
      </c>
      <c r="B101" s="3320"/>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20" t="s">
        <v>708</v>
      </c>
      <c r="C105" s="875" t="s">
        <v>709</v>
      </c>
      <c r="D105" s="811" t="s">
        <v>710</v>
      </c>
      <c r="E105" s="888">
        <v>0.2</v>
      </c>
      <c r="F105" s="875">
        <v>30</v>
      </c>
    </row>
    <row r="106" spans="1:6" s="871" customFormat="1" ht="36">
      <c r="A106" s="875">
        <v>46</v>
      </c>
      <c r="B106" s="3320"/>
      <c r="C106" s="875" t="s">
        <v>711</v>
      </c>
      <c r="D106" s="811" t="s">
        <v>712</v>
      </c>
      <c r="E106" s="888">
        <v>0.2</v>
      </c>
      <c r="F106" s="875">
        <v>30</v>
      </c>
    </row>
    <row r="107" spans="1:6" s="871" customFormat="1" ht="36">
      <c r="A107" s="875">
        <v>47</v>
      </c>
      <c r="B107" s="3320" t="s">
        <v>713</v>
      </c>
      <c r="C107" s="875" t="s">
        <v>714</v>
      </c>
      <c r="D107" s="811" t="s">
        <v>715</v>
      </c>
      <c r="E107" s="888">
        <v>0.3</v>
      </c>
      <c r="F107" s="875">
        <v>50</v>
      </c>
    </row>
    <row r="108" spans="1:6" s="871" customFormat="1" ht="36">
      <c r="A108" s="875">
        <v>48</v>
      </c>
      <c r="B108" s="3320"/>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20" t="s">
        <v>724</v>
      </c>
      <c r="C111" s="875" t="s">
        <v>725</v>
      </c>
      <c r="D111" s="811" t="s">
        <v>726</v>
      </c>
      <c r="E111" s="888">
        <v>0.2</v>
      </c>
      <c r="F111" s="875">
        <v>30</v>
      </c>
    </row>
    <row r="112" spans="1:6" s="871" customFormat="1" ht="24">
      <c r="A112" s="875">
        <v>52</v>
      </c>
      <c r="B112" s="3320"/>
      <c r="C112" s="875" t="s">
        <v>727</v>
      </c>
      <c r="D112" s="811" t="s">
        <v>728</v>
      </c>
      <c r="E112" s="888">
        <v>0.2</v>
      </c>
      <c r="F112" s="875">
        <v>30</v>
      </c>
    </row>
    <row r="113" spans="1:6" s="871" customFormat="1" ht="24">
      <c r="A113" s="875">
        <v>53</v>
      </c>
      <c r="B113" s="3320"/>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20" t="s">
        <v>737</v>
      </c>
      <c r="C116" s="875" t="s">
        <v>738</v>
      </c>
      <c r="D116" s="811" t="s">
        <v>739</v>
      </c>
      <c r="E116" s="888">
        <v>0.2</v>
      </c>
      <c r="F116" s="875">
        <v>30</v>
      </c>
    </row>
    <row r="117" spans="1:6" ht="36">
      <c r="A117" s="875">
        <v>57</v>
      </c>
      <c r="B117" s="3320"/>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45" t="s">
        <v>2983</v>
      </c>
    </row>
    <row r="2" spans="1:5" ht="15.75">
      <c r="A2" s="2893" t="s">
        <v>2975</v>
      </c>
      <c r="B2" s="2894" t="e">
        <f ca="1">SUMIF(B6:B13,"&lt;&gt;#ref!",B6:B13)</f>
        <v>#DIV/0!</v>
      </c>
      <c r="C2" s="2893" t="s">
        <v>2976</v>
      </c>
      <c r="D2" s="2893" t="s">
        <v>2977</v>
      </c>
      <c r="E2" s="2894" t="e">
        <f ca="1">SUM(E6:E13)</f>
        <v>#REF!</v>
      </c>
    </row>
    <row r="3" spans="1:5" ht="15.75">
      <c r="A3" s="2893" t="s">
        <v>2978</v>
      </c>
      <c r="B3" s="2894" t="e">
        <f ca="1">ROUND(B2*10000/E2,0)</f>
        <v>#DIV/0!</v>
      </c>
      <c r="C3" s="2893" t="s">
        <v>2984</v>
      </c>
      <c r="D3" s="2895"/>
      <c r="E3" s="2895"/>
    </row>
    <row r="4" spans="1:5" ht="15.75">
      <c r="A4" s="2896"/>
      <c r="B4" s="2895"/>
      <c r="C4" s="2895"/>
      <c r="D4" s="2895"/>
      <c r="E4" s="2895"/>
    </row>
    <row r="5" spans="1:5" ht="28.5">
      <c r="A5" s="2897" t="s">
        <v>2979</v>
      </c>
      <c r="B5" s="2893" t="s">
        <v>2980</v>
      </c>
      <c r="C5" s="2894"/>
      <c r="D5" s="2895"/>
      <c r="E5" s="2893" t="s">
        <v>2981</v>
      </c>
    </row>
    <row r="6" spans="1:5" ht="15.75">
      <c r="A6" s="2898" t="s">
        <v>2982</v>
      </c>
      <c r="B6" s="2894" t="e">
        <f ca="1">SUMIF(INDIRECT("'"&amp;A6&amp;"'"&amp;"!A:A"),"总价",INDIRECT("'"&amp;A6&amp;"'"&amp;"!B:B"))</f>
        <v>#DIV/0!</v>
      </c>
      <c r="C6" s="2893" t="s">
        <v>2976</v>
      </c>
      <c r="D6" s="2895"/>
      <c r="E6" s="2559">
        <f ca="1">SUMIF(INDIRECT("'"&amp;A6&amp;"'"&amp;"!C:C"),"建筑面积",INDIRECT("'"&amp;A6&amp;"'"&amp;"!D:D"))</f>
        <v>0</v>
      </c>
    </row>
    <row r="7" spans="1:5" ht="15.75">
      <c r="A7" s="2898"/>
      <c r="B7" s="2894" t="e">
        <f ca="1">SUMIF(INDIRECT("'"&amp;A7&amp;"'"&amp;"!A:A"),"总价",INDIRECT("'"&amp;A7&amp;"'"&amp;"!B:B"))</f>
        <v>#REF!</v>
      </c>
      <c r="C7" s="2893" t="s">
        <v>2976</v>
      </c>
      <c r="D7" s="2895"/>
      <c r="E7" s="2559" t="e">
        <f t="shared" ref="E7:E13" ca="1" si="0">SUMIF(INDIRECT("'"&amp;A7&amp;"'"&amp;"!C:C"),"建筑面积",INDIRECT("'"&amp;A7&amp;"'"&amp;"!D:D"))</f>
        <v>#REF!</v>
      </c>
    </row>
    <row r="8" spans="1:5" ht="15.75">
      <c r="A8" s="2898"/>
      <c r="B8" s="2894" t="e">
        <f t="shared" ref="B8:B13" ca="1" si="1">SUMIF(INDIRECT("'"&amp;A8&amp;"'"&amp;"!A:A"),"总价",INDIRECT("'"&amp;A8&amp;"'"&amp;"!B:B"))</f>
        <v>#REF!</v>
      </c>
      <c r="C8" s="2893" t="s">
        <v>2976</v>
      </c>
      <c r="D8" s="2895"/>
      <c r="E8" s="2559" t="e">
        <f t="shared" ca="1" si="0"/>
        <v>#REF!</v>
      </c>
    </row>
    <row r="9" spans="1:5" ht="15.75">
      <c r="A9" s="2898"/>
      <c r="B9" s="2894" t="e">
        <f t="shared" ca="1" si="1"/>
        <v>#REF!</v>
      </c>
      <c r="C9" s="2893" t="s">
        <v>2976</v>
      </c>
      <c r="D9" s="2895"/>
      <c r="E9" s="2559" t="e">
        <f t="shared" ca="1" si="0"/>
        <v>#REF!</v>
      </c>
    </row>
    <row r="10" spans="1:5" ht="15.75">
      <c r="A10" s="2898"/>
      <c r="B10" s="2894" t="e">
        <f t="shared" ca="1" si="1"/>
        <v>#REF!</v>
      </c>
      <c r="C10" s="2893" t="s">
        <v>2976</v>
      </c>
      <c r="D10" s="2895"/>
      <c r="E10" s="2559" t="e">
        <f t="shared" ca="1" si="0"/>
        <v>#REF!</v>
      </c>
    </row>
    <row r="11" spans="1:5" ht="15.75">
      <c r="A11" s="2898"/>
      <c r="B11" s="2894" t="e">
        <f t="shared" ca="1" si="1"/>
        <v>#REF!</v>
      </c>
      <c r="C11" s="2893" t="s">
        <v>2976</v>
      </c>
      <c r="D11" s="2895"/>
      <c r="E11" s="2559" t="e">
        <f t="shared" ca="1" si="0"/>
        <v>#REF!</v>
      </c>
    </row>
    <row r="12" spans="1:5" ht="15.75">
      <c r="A12" s="2898"/>
      <c r="B12" s="2894" t="e">
        <f t="shared" ca="1" si="1"/>
        <v>#REF!</v>
      </c>
      <c r="C12" s="2893" t="s">
        <v>2976</v>
      </c>
      <c r="D12" s="2895"/>
      <c r="E12" s="2559" t="e">
        <f t="shared" ca="1" si="0"/>
        <v>#REF!</v>
      </c>
    </row>
    <row r="13" spans="1:5" ht="15.75">
      <c r="A13" s="2898"/>
      <c r="B13" s="2894" t="e">
        <f t="shared" ca="1" si="1"/>
        <v>#REF!</v>
      </c>
      <c r="C13" s="2893" t="s">
        <v>2976</v>
      </c>
      <c r="D13" s="2895"/>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26" t="s">
        <v>1150</v>
      </c>
      <c r="C1" s="3326"/>
      <c r="D1" s="3326"/>
      <c r="E1" s="3326"/>
      <c r="F1" s="3326"/>
      <c r="G1" s="3325" t="s">
        <v>1151</v>
      </c>
      <c r="H1" s="3325"/>
      <c r="I1" s="3325"/>
      <c r="J1" s="3325"/>
      <c r="K1" s="3325"/>
      <c r="L1" s="3325"/>
      <c r="N1" s="3325" t="s">
        <v>1152</v>
      </c>
      <c r="O1" s="3325"/>
      <c r="P1" s="3325"/>
      <c r="Q1" s="3325"/>
      <c r="R1" s="1441"/>
      <c r="S1" s="3325" t="s">
        <v>1153</v>
      </c>
      <c r="T1" s="3325"/>
      <c r="U1" s="3325"/>
      <c r="V1" s="3325"/>
      <c r="X1" s="3324" t="s">
        <v>1154</v>
      </c>
      <c r="Y1" s="3325"/>
      <c r="Z1" s="3325"/>
      <c r="AA1" s="3325"/>
      <c r="AB1" s="3325"/>
      <c r="AD1" s="3324" t="s">
        <v>1155</v>
      </c>
      <c r="AE1" s="3325"/>
      <c r="AF1" s="3325"/>
      <c r="AG1" s="3325"/>
      <c r="AH1" s="3325"/>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12" customFormat="1" ht="14.25">
      <c r="A3" s="2921" t="s">
        <v>3018</v>
      </c>
      <c r="B3" s="2913"/>
      <c r="C3" s="2913"/>
      <c r="D3" s="2914"/>
      <c r="E3" s="2914"/>
      <c r="F3" s="2913"/>
      <c r="G3" s="2915"/>
      <c r="H3" s="2916"/>
      <c r="I3" s="2917">
        <f>ROUND(AVERAGE($I7:$I22),2)</f>
        <v>2.4500000000000002</v>
      </c>
      <c r="J3" s="2917">
        <f>ROUND(AVERAGE($J7:$J22),2)</f>
        <v>1.65</v>
      </c>
      <c r="K3" s="2917">
        <f>ROUND(AVERAGE($K7:$K22),2)</f>
        <v>2.71</v>
      </c>
      <c r="L3" s="2917">
        <f>ROUND(AVERAGE($L7:$L22),2)</f>
        <v>1.39</v>
      </c>
      <c r="N3" s="2915"/>
      <c r="O3" s="2918"/>
      <c r="P3" s="2918"/>
      <c r="Q3" s="2918"/>
      <c r="R3" s="2918"/>
      <c r="S3" s="2915"/>
      <c r="T3" s="2918"/>
      <c r="U3" s="2918"/>
      <c r="V3" s="2918"/>
      <c r="W3" s="2910"/>
      <c r="X3" s="2919">
        <f>ROUND(SUMPRODUCT(PRODUCT(1+N3:N$21)),4)</f>
        <v>1.4274</v>
      </c>
      <c r="Y3" s="2919">
        <f>ROUND(SUMPRODUCT(PRODUCT(1+O3:O$21)),4)</f>
        <v>1.2685</v>
      </c>
      <c r="Z3" s="2919">
        <f t="shared" ref="Z3:Z19" si="0">Y3</f>
        <v>1.2685</v>
      </c>
      <c r="AA3" s="2919">
        <f>ROUND(SUMPRODUCT(PRODUCT(1+P3:P$21)),4)</f>
        <v>1.4825999999999999</v>
      </c>
      <c r="AB3" s="2919">
        <f>ROUND(SUMPRODUCT(PRODUCT(1+Q3:Q$21)),4)</f>
        <v>1.2309000000000001</v>
      </c>
      <c r="AD3" s="2920">
        <f>ROUND(AVERAGE(I3:I$22)/100,4)</f>
        <v>2.1899999999999999E-2</v>
      </c>
      <c r="AE3" s="2920">
        <f>ROUND(AVERAGE(J3:J$22)/100,4)</f>
        <v>1.47E-2</v>
      </c>
      <c r="AF3" s="2920">
        <f t="shared" ref="AF3:AF20" si="1">AE3</f>
        <v>1.47E-2</v>
      </c>
      <c r="AG3" s="2920">
        <f>ROUND(AVERAGE(K3:K$22)/100,4)</f>
        <v>2.4299999999999999E-2</v>
      </c>
      <c r="AH3" s="2920">
        <f>ROUND(AVERAGE(L3:L$22)/100,4)</f>
        <v>1.2500000000000001E-2</v>
      </c>
    </row>
    <row r="4" spans="1:34" s="1448" customFormat="1" ht="14.25">
      <c r="B4" s="1449"/>
      <c r="C4" s="1449"/>
      <c r="D4" s="1450"/>
      <c r="E4" s="1450"/>
      <c r="F4" s="1449"/>
      <c r="G4" s="1451"/>
      <c r="H4" s="1452"/>
      <c r="I4" s="2906"/>
      <c r="J4" s="2906"/>
      <c r="K4" s="2906"/>
      <c r="L4" s="2906"/>
      <c r="N4" s="1451"/>
      <c r="O4" s="1453"/>
      <c r="P4" s="1453"/>
      <c r="Q4" s="1453"/>
      <c r="R4" s="1453"/>
      <c r="S4" s="1451"/>
      <c r="T4" s="1453"/>
      <c r="U4" s="1453"/>
      <c r="V4" s="1453"/>
      <c r="X4" s="1454"/>
      <c r="Y4" s="1454"/>
      <c r="Z4" s="1454"/>
      <c r="AA4" s="1454"/>
      <c r="AB4" s="1454"/>
      <c r="AD4" s="1455"/>
      <c r="AE4" s="1455"/>
      <c r="AF4" s="1455"/>
      <c r="AG4" s="1455"/>
      <c r="AH4" s="1455"/>
    </row>
    <row r="5" spans="1:34" s="1724" customFormat="1">
      <c r="A5" s="1722" t="s">
        <v>3024</v>
      </c>
      <c r="B5" s="1784">
        <f t="shared" ref="B5" si="2">B6*(1+N5)</f>
        <v>439.19121308559727</v>
      </c>
      <c r="C5" s="1784">
        <f t="shared" ref="C5" si="3">C6*(1+O5)</f>
        <v>326.28510789673351</v>
      </c>
      <c r="D5" s="1784">
        <f t="shared" ref="D5" si="4">C5</f>
        <v>326.28510789673351</v>
      </c>
      <c r="E5" s="1784">
        <f t="shared" ref="E5" si="5">E6*(1+P5)</f>
        <v>626.49404043656455</v>
      </c>
      <c r="F5" s="1784">
        <f t="shared" ref="F5" si="6">F6*(1+Q5)</f>
        <v>283.46416215500358</v>
      </c>
      <c r="G5" s="2922">
        <v>2018</v>
      </c>
      <c r="H5" s="1723">
        <v>2</v>
      </c>
      <c r="I5" s="2907">
        <v>0</v>
      </c>
      <c r="J5" s="2907">
        <v>0</v>
      </c>
      <c r="K5" s="2907">
        <v>0</v>
      </c>
      <c r="L5" s="2907">
        <v>0</v>
      </c>
      <c r="N5" s="1462">
        <f t="shared" ref="N5" si="7">I5/100</f>
        <v>0</v>
      </c>
      <c r="O5" s="1462">
        <f t="shared" ref="O5" si="8">J5/100</f>
        <v>0</v>
      </c>
      <c r="P5" s="1462">
        <f t="shared" ref="P5" si="9">K5/100</f>
        <v>0</v>
      </c>
      <c r="Q5" s="1462">
        <f t="shared" ref="Q5" si="10">L5/100</f>
        <v>0</v>
      </c>
      <c r="R5" s="1725"/>
      <c r="S5" s="1726"/>
      <c r="T5" s="1725"/>
      <c r="U5" s="1725"/>
      <c r="V5" s="1725"/>
      <c r="W5" s="2911" t="s">
        <v>3019</v>
      </c>
      <c r="X5" s="1719">
        <f>ROUND(SUMPRODUCT(PRODUCT(1+N5:N$21)),4)</f>
        <v>1.4274</v>
      </c>
      <c r="Y5" s="1719">
        <f>ROUND(SUMPRODUCT(PRODUCT(1+O5:O$21)),4)</f>
        <v>1.2685</v>
      </c>
      <c r="Z5" s="1719">
        <f t="shared" ref="Z5" si="11">Y5</f>
        <v>1.2685</v>
      </c>
      <c r="AA5" s="1719">
        <f>ROUND(SUMPRODUCT(PRODUCT(1+P5:P$21)),4)</f>
        <v>1.4825999999999999</v>
      </c>
      <c r="AB5" s="1719">
        <f>ROUND(SUMPRODUCT(PRODUCT(1+Q5:Q$21)),4)</f>
        <v>1.2309000000000001</v>
      </c>
      <c r="AD5" s="1463">
        <f>ROUND(AVERAGE(I5:I$22)/100,4)</f>
        <v>2.1700000000000001E-2</v>
      </c>
      <c r="AE5" s="1463">
        <f>ROUND(AVERAGE(J5:J$22)/100,4)</f>
        <v>1.46E-2</v>
      </c>
      <c r="AF5" s="1463">
        <f t="shared" ref="AF5" si="12">AE5</f>
        <v>1.46E-2</v>
      </c>
      <c r="AG5" s="1463">
        <f>ROUND(AVERAGE(K5:K$22)/100,4)</f>
        <v>2.41E-2</v>
      </c>
      <c r="AH5" s="1463">
        <f>ROUND(AVERAGE(L5:L$22)/100,4)</f>
        <v>1.24E-2</v>
      </c>
    </row>
    <row r="6" spans="1:34" s="1461" customFormat="1" ht="13.5" thickBot="1">
      <c r="A6" s="1456" t="s">
        <v>3017</v>
      </c>
      <c r="B6" s="1472">
        <f t="shared" ref="B6" si="13">B7*(1+N6)</f>
        <v>439.19121308559727</v>
      </c>
      <c r="C6" s="1472">
        <f t="shared" ref="C6" si="14">C7*(1+O6)</f>
        <v>326.28510789673351</v>
      </c>
      <c r="D6" s="1472">
        <f t="shared" ref="D6" si="15">C6</f>
        <v>326.28510789673351</v>
      </c>
      <c r="E6" s="1472">
        <f t="shared" ref="E6" si="16">E7*(1+P6)</f>
        <v>626.49404043656455</v>
      </c>
      <c r="F6" s="1472">
        <f t="shared" ref="F6" si="17">F7*(1+Q6)</f>
        <v>283.46416215500358</v>
      </c>
      <c r="G6" s="2923">
        <v>2018</v>
      </c>
      <c r="H6" s="1459">
        <v>1</v>
      </c>
      <c r="I6" s="1459">
        <v>0</v>
      </c>
      <c r="J6" s="1459">
        <v>0</v>
      </c>
      <c r="K6" s="1459">
        <v>0</v>
      </c>
      <c r="L6" s="1473">
        <v>0</v>
      </c>
      <c r="M6" s="1466"/>
      <c r="N6" s="1467">
        <f t="shared" ref="N6:N11" si="18">I6/100</f>
        <v>0</v>
      </c>
      <c r="O6" s="1468">
        <f t="shared" ref="O6" si="19">J6/100</f>
        <v>0</v>
      </c>
      <c r="P6" s="1468">
        <f t="shared" ref="P6" si="20">K6/100</f>
        <v>0</v>
      </c>
      <c r="Q6" s="1468">
        <f t="shared" ref="Q6" si="21">L6/100</f>
        <v>0</v>
      </c>
      <c r="R6" s="1469"/>
      <c r="S6" s="1467">
        <f>B6/B7-1</f>
        <v>0</v>
      </c>
      <c r="T6" s="1468">
        <f t="shared" ref="T6" si="22">C6/C7-1</f>
        <v>0</v>
      </c>
      <c r="U6" s="1468">
        <f t="shared" ref="U6" si="23">D6/D7-1</f>
        <v>0</v>
      </c>
      <c r="V6" s="1468">
        <f t="shared" ref="V6" si="24">E6/E7-1</f>
        <v>0</v>
      </c>
      <c r="W6" s="1783"/>
      <c r="X6" s="1781">
        <f>ROUND(SUMPRODUCT(PRODUCT(1+N6:N$21)),4)</f>
        <v>1.4274</v>
      </c>
      <c r="Y6" s="1781">
        <f>ROUND(SUMPRODUCT(PRODUCT(1+O6:O$21)),4)</f>
        <v>1.2685</v>
      </c>
      <c r="Z6" s="1781">
        <f t="shared" ref="Z6" si="25">Y6</f>
        <v>1.2685</v>
      </c>
      <c r="AA6" s="1781">
        <f>ROUND(SUMPRODUCT(PRODUCT(1+P6:P$21)),4)</f>
        <v>1.4825999999999999</v>
      </c>
      <c r="AB6" s="1781">
        <f>ROUND(SUMPRODUCT(PRODUCT(1+Q6:Q$21)),4)</f>
        <v>1.2309000000000001</v>
      </c>
      <c r="AC6" s="1783"/>
      <c r="AD6" s="1782">
        <f>ROUND(AVERAGE(I6:I$22)/100,4)</f>
        <v>2.3E-2</v>
      </c>
      <c r="AE6" s="1782">
        <f>ROUND(AVERAGE(J6:J$22)/100,4)</f>
        <v>1.55E-2</v>
      </c>
      <c r="AF6" s="1782">
        <f t="shared" ref="AF6" si="26">AE6</f>
        <v>1.55E-2</v>
      </c>
      <c r="AG6" s="1782">
        <f>ROUND(AVERAGE(K6:K$22)/100,4)</f>
        <v>2.5499999999999998E-2</v>
      </c>
      <c r="AH6" s="1782">
        <f>ROUND(AVERAGE(L6:L$22)/100,4)</f>
        <v>1.3100000000000001E-2</v>
      </c>
    </row>
    <row r="7" spans="1:34">
      <c r="A7" s="1456" t="s">
        <v>3014</v>
      </c>
      <c r="B7" s="1464">
        <f t="shared" ref="B7" si="27">B8*(1+N7)</f>
        <v>439.19121308559727</v>
      </c>
      <c r="C7" s="1464">
        <f t="shared" ref="C7" si="28">C8*(1+O7)</f>
        <v>326.28510789673351</v>
      </c>
      <c r="D7" s="1464">
        <f t="shared" ref="D7" si="29">C7</f>
        <v>326.28510789673351</v>
      </c>
      <c r="E7" s="1464">
        <f t="shared" ref="E7" si="30">E8*(1+P7)</f>
        <v>626.49404043656455</v>
      </c>
      <c r="F7" s="1465">
        <f t="shared" ref="F7" si="31">F8*(1+Q7)</f>
        <v>283.46416215500358</v>
      </c>
      <c r="G7" s="2909">
        <v>2017</v>
      </c>
      <c r="H7" s="1457">
        <v>4</v>
      </c>
      <c r="I7" s="1457">
        <v>1.71</v>
      </c>
      <c r="J7" s="1457">
        <v>1.78</v>
      </c>
      <c r="K7" s="1457">
        <v>1.71</v>
      </c>
      <c r="L7" s="1458">
        <v>1.43</v>
      </c>
      <c r="N7" s="1467">
        <f t="shared" si="18"/>
        <v>1.7100000000000001E-2</v>
      </c>
      <c r="O7" s="1468">
        <f t="shared" ref="O7" si="32">J7/100</f>
        <v>1.78E-2</v>
      </c>
      <c r="P7" s="1468">
        <f t="shared" ref="P7" si="33">K7/100</f>
        <v>1.7100000000000001E-2</v>
      </c>
      <c r="Q7" s="1468">
        <f t="shared" ref="Q7" si="34">L7/100</f>
        <v>1.43E-2</v>
      </c>
      <c r="R7" s="1469"/>
      <c r="S7" s="1470"/>
      <c r="T7" s="1471"/>
      <c r="U7" s="1471"/>
      <c r="V7" s="1471"/>
      <c r="X7" s="1454">
        <f>ROUND(SUMPRODUCT(PRODUCT(1+N7:N$21)),4)</f>
        <v>1.4274</v>
      </c>
      <c r="Y7" s="1454">
        <f>ROUND(SUMPRODUCT(PRODUCT(1+O7:O$21)),4)</f>
        <v>1.2685</v>
      </c>
      <c r="Z7" s="1454">
        <f t="shared" si="0"/>
        <v>1.2685</v>
      </c>
      <c r="AA7" s="1454">
        <f>ROUND(SUMPRODUCT(PRODUCT(1+P7:P$21)),4)</f>
        <v>1.4825999999999999</v>
      </c>
      <c r="AB7" s="1454">
        <f>ROUND(SUMPRODUCT(PRODUCT(1+Q7:Q$21)),4)</f>
        <v>1.2309000000000001</v>
      </c>
      <c r="AD7" s="1455">
        <f>ROUND(AVERAGE(I7:I$22)/100,4)</f>
        <v>2.4500000000000001E-2</v>
      </c>
      <c r="AE7" s="1455">
        <f>ROUND(AVERAGE(J7:J$22)/100,4)</f>
        <v>1.6500000000000001E-2</v>
      </c>
      <c r="AF7" s="1455">
        <f t="shared" si="1"/>
        <v>1.6500000000000001E-2</v>
      </c>
      <c r="AG7" s="1455">
        <f>ROUND(AVERAGE(K7:K$22)/100,4)</f>
        <v>2.7099999999999999E-2</v>
      </c>
      <c r="AH7" s="1455">
        <f>ROUND(AVERAGE(L7:L$22)/100,4)</f>
        <v>1.3899999999999999E-2</v>
      </c>
    </row>
    <row r="8" spans="1:34" s="1461" customFormat="1" ht="13.5" thickBot="1">
      <c r="A8" s="1456" t="s">
        <v>3015</v>
      </c>
      <c r="B8" s="1472">
        <f t="shared" ref="B8:B9" si="35">B9*(1+N8)</f>
        <v>431.80730811680002</v>
      </c>
      <c r="C8" s="1472">
        <f t="shared" ref="C8:C9" si="36">C9*(1+O8)</f>
        <v>320.57880516480003</v>
      </c>
      <c r="D8" s="1472">
        <f t="shared" ref="D8:D9" si="37">C8</f>
        <v>320.57880516480003</v>
      </c>
      <c r="E8" s="1472">
        <f t="shared" ref="E8:E9" si="38">E9*(1+P8)</f>
        <v>615.96110553196797</v>
      </c>
      <c r="F8" s="1472">
        <f t="shared" ref="F8:F9" si="39">F9*(1+Q8)</f>
        <v>279.46777300108801</v>
      </c>
      <c r="G8" s="2905"/>
      <c r="H8" s="1459">
        <v>3</v>
      </c>
      <c r="I8" s="1459">
        <v>2.98</v>
      </c>
      <c r="J8" s="1459">
        <v>2.11</v>
      </c>
      <c r="K8" s="1459">
        <v>3.24</v>
      </c>
      <c r="L8" s="1473">
        <v>1.72</v>
      </c>
      <c r="M8" s="1466"/>
      <c r="N8" s="1467">
        <f t="shared" si="18"/>
        <v>2.98E-2</v>
      </c>
      <c r="O8" s="1468">
        <f t="shared" ref="O8" si="40">J8/100</f>
        <v>2.1099999999999997E-2</v>
      </c>
      <c r="P8" s="1468">
        <f t="shared" ref="P8" si="41">K8/100</f>
        <v>3.2400000000000005E-2</v>
      </c>
      <c r="Q8" s="1468">
        <f t="shared" ref="Q8" si="42">L8/100</f>
        <v>1.72E-2</v>
      </c>
      <c r="R8" s="1469"/>
      <c r="S8" s="1467"/>
      <c r="T8" s="1468"/>
      <c r="U8" s="1468"/>
      <c r="V8" s="1468"/>
      <c r="W8" s="1783"/>
      <c r="X8" s="1781">
        <f>ROUND(SUMPRODUCT(PRODUCT(1+N8:N$21)),4)</f>
        <v>1.4034</v>
      </c>
      <c r="Y8" s="1781">
        <f>ROUND(SUMPRODUCT(PRODUCT(1+O8:O$21)),4)</f>
        <v>1.2463</v>
      </c>
      <c r="Z8" s="1781">
        <f t="shared" si="0"/>
        <v>1.2463</v>
      </c>
      <c r="AA8" s="1781">
        <f>ROUND(SUMPRODUCT(PRODUCT(1+P8:P$21)),4)</f>
        <v>1.4577</v>
      </c>
      <c r="AB8" s="1781">
        <f>ROUND(SUMPRODUCT(PRODUCT(1+Q8:Q$21)),4)</f>
        <v>1.2136</v>
      </c>
      <c r="AC8" s="1783"/>
      <c r="AD8" s="1782">
        <f>ROUND(AVERAGE(I8:I$22)/100,4)</f>
        <v>2.4899999999999999E-2</v>
      </c>
      <c r="AE8" s="1782">
        <f>ROUND(AVERAGE(J8:J$22)/100,4)</f>
        <v>1.6400000000000001E-2</v>
      </c>
      <c r="AF8" s="1782">
        <f t="shared" si="1"/>
        <v>1.6400000000000001E-2</v>
      </c>
      <c r="AG8" s="1782">
        <f>ROUND(AVERAGE(K8:K$22)/100,4)</f>
        <v>2.7799999999999998E-2</v>
      </c>
      <c r="AH8" s="1782">
        <f>ROUND(AVERAGE(L8:L$22)/100,4)</f>
        <v>1.3899999999999999E-2</v>
      </c>
    </row>
    <row r="9" spans="1:34" s="1724" customFormat="1">
      <c r="A9" s="1456" t="s">
        <v>1386</v>
      </c>
      <c r="B9" s="1472">
        <f t="shared" si="35"/>
        <v>419.31181600000002</v>
      </c>
      <c r="C9" s="1472">
        <f t="shared" si="36"/>
        <v>313.95436800000004</v>
      </c>
      <c r="D9" s="1472">
        <f t="shared" si="37"/>
        <v>313.95436800000004</v>
      </c>
      <c r="E9" s="1472">
        <f t="shared" si="38"/>
        <v>596.63028431999999</v>
      </c>
      <c r="F9" s="1472">
        <f t="shared" si="39"/>
        <v>274.74220703999998</v>
      </c>
      <c r="G9" s="2904"/>
      <c r="H9" s="1460">
        <v>2</v>
      </c>
      <c r="I9" s="1460">
        <v>3.4</v>
      </c>
      <c r="J9" s="1460">
        <v>2</v>
      </c>
      <c r="K9" s="1460">
        <v>3.82</v>
      </c>
      <c r="L9" s="1474">
        <v>1.68</v>
      </c>
      <c r="M9" s="1466"/>
      <c r="N9" s="1467">
        <f t="shared" si="18"/>
        <v>3.4000000000000002E-2</v>
      </c>
      <c r="O9" s="1468">
        <f t="shared" ref="O9" si="43">J9/100</f>
        <v>0.02</v>
      </c>
      <c r="P9" s="1468">
        <f t="shared" ref="P9" si="44">K9/100</f>
        <v>3.8199999999999998E-2</v>
      </c>
      <c r="Q9" s="1468">
        <f t="shared" ref="Q9" si="45">L9/100</f>
        <v>1.6799999999999999E-2</v>
      </c>
      <c r="R9" s="1469"/>
      <c r="S9" s="1470"/>
      <c r="T9" s="1471"/>
      <c r="U9" s="1471"/>
      <c r="V9" s="1471"/>
      <c r="W9" s="1448"/>
      <c r="X9" s="1781">
        <f>ROUND(SUMPRODUCT(PRODUCT(1+N9:N$21)),4)</f>
        <v>1.3628</v>
      </c>
      <c r="Y9" s="1781">
        <f>ROUND(SUMPRODUCT(PRODUCT(1+O9:O$21)),4)</f>
        <v>1.2205999999999999</v>
      </c>
      <c r="Z9" s="1781">
        <f t="shared" si="0"/>
        <v>1.2205999999999999</v>
      </c>
      <c r="AA9" s="1781">
        <f>ROUND(SUMPRODUCT(PRODUCT(1+P9:P$21)),4)</f>
        <v>1.4118999999999999</v>
      </c>
      <c r="AB9" s="1781">
        <f>ROUND(SUMPRODUCT(PRODUCT(1+Q9:Q$21)),4)</f>
        <v>1.1930000000000001</v>
      </c>
      <c r="AC9" s="1448"/>
      <c r="AD9" s="1782">
        <f>ROUND(AVERAGE(I9:I$22)/100,4)</f>
        <v>2.46E-2</v>
      </c>
      <c r="AE9" s="1782">
        <f>ROUND(AVERAGE(J9:J$22)/100,4)</f>
        <v>1.6E-2</v>
      </c>
      <c r="AF9" s="1782">
        <f t="shared" si="1"/>
        <v>1.6E-2</v>
      </c>
      <c r="AG9" s="1782">
        <f>ROUND(AVERAGE(K9:K$22)/100,4)</f>
        <v>2.75E-2</v>
      </c>
      <c r="AH9" s="1782">
        <f>ROUND(AVERAGE(L9:L$22)/100,4)</f>
        <v>1.37E-2</v>
      </c>
    </row>
    <row r="10" spans="1:34" s="1461" customFormat="1" ht="13.5" thickBot="1">
      <c r="A10" s="1456" t="s">
        <v>1161</v>
      </c>
      <c r="B10" s="1472">
        <f>B11*(1+N10)</f>
        <v>405.524</v>
      </c>
      <c r="C10" s="1472">
        <f>C11*(1+O10)</f>
        <v>307.79840000000002</v>
      </c>
      <c r="D10" s="1472">
        <f>C10</f>
        <v>307.79840000000002</v>
      </c>
      <c r="E10" s="1472">
        <f>E11*(1+P10)</f>
        <v>574.67759999999998</v>
      </c>
      <c r="F10" s="1472">
        <f>F11*(1+Q10)</f>
        <v>270.20280000000002</v>
      </c>
      <c r="G10" s="2905"/>
      <c r="H10" s="1459">
        <v>1</v>
      </c>
      <c r="I10" s="1459">
        <v>3.45</v>
      </c>
      <c r="J10" s="1459">
        <v>1.92</v>
      </c>
      <c r="K10" s="1459">
        <v>3.92</v>
      </c>
      <c r="L10" s="1473">
        <v>1.58</v>
      </c>
      <c r="M10" s="1466"/>
      <c r="N10" s="1467">
        <f t="shared" si="18"/>
        <v>3.4500000000000003E-2</v>
      </c>
      <c r="O10" s="1468">
        <f t="shared" ref="O10:Q25" si="46">J10/100</f>
        <v>1.9199999999999998E-2</v>
      </c>
      <c r="P10" s="1468">
        <f t="shared" si="46"/>
        <v>3.9199999999999999E-2</v>
      </c>
      <c r="Q10" s="1468">
        <f t="shared" si="46"/>
        <v>1.5800000000000002E-2</v>
      </c>
      <c r="R10" s="1469"/>
      <c r="S10" s="1467">
        <f>B10/B11-1</f>
        <v>3.4499999999999975E-2</v>
      </c>
      <c r="T10" s="1468">
        <f t="shared" ref="T10:V10" si="47">C10/C11-1</f>
        <v>1.9200000000000106E-2</v>
      </c>
      <c r="U10" s="1468">
        <f t="shared" si="47"/>
        <v>1.9200000000000106E-2</v>
      </c>
      <c r="V10" s="1468">
        <f t="shared" si="47"/>
        <v>3.9199999999999902E-2</v>
      </c>
      <c r="W10" s="1783"/>
      <c r="X10" s="1781">
        <f>ROUND(SUMPRODUCT(PRODUCT(1+N10:N$21)),4)</f>
        <v>1.3180000000000001</v>
      </c>
      <c r="Y10" s="1781">
        <f>ROUND(SUMPRODUCT(PRODUCT(1+O10:O$21)),4)</f>
        <v>1.1966000000000001</v>
      </c>
      <c r="Z10" s="1781">
        <f t="shared" si="0"/>
        <v>1.1966000000000001</v>
      </c>
      <c r="AA10" s="1781">
        <f>ROUND(SUMPRODUCT(PRODUCT(1+P10:P$21)),4)</f>
        <v>1.36</v>
      </c>
      <c r="AB10" s="1781">
        <f>ROUND(SUMPRODUCT(PRODUCT(1+Q10:Q$21)),4)</f>
        <v>1.1733</v>
      </c>
      <c r="AC10" s="1783"/>
      <c r="AD10" s="1782">
        <f>ROUND(AVERAGE(I10:I$22)/100,4)</f>
        <v>2.3900000000000001E-2</v>
      </c>
      <c r="AE10" s="1782">
        <f>ROUND(AVERAGE(J10:J$22)/100,4)</f>
        <v>1.5699999999999999E-2</v>
      </c>
      <c r="AF10" s="1782">
        <f t="shared" si="1"/>
        <v>1.5699999999999999E-2</v>
      </c>
      <c r="AG10" s="1782">
        <f>ROUND(AVERAGE(K10:K$22)/100,4)</f>
        <v>2.6599999999999999E-2</v>
      </c>
      <c r="AH10" s="1782">
        <f>ROUND(AVERAGE(L10:L$22)/100,4)</f>
        <v>1.34E-2</v>
      </c>
    </row>
    <row r="11" spans="1:34">
      <c r="A11" s="1456" t="s">
        <v>154</v>
      </c>
      <c r="B11" s="1464">
        <v>392</v>
      </c>
      <c r="C11" s="1464">
        <v>302</v>
      </c>
      <c r="D11" s="1464">
        <f>C11</f>
        <v>302</v>
      </c>
      <c r="E11" s="1464">
        <v>553</v>
      </c>
      <c r="F11" s="1465">
        <v>266</v>
      </c>
      <c r="G11" s="3327">
        <v>2016</v>
      </c>
      <c r="H11" s="1457">
        <v>4</v>
      </c>
      <c r="I11" s="1457">
        <v>4.5599999999999996</v>
      </c>
      <c r="J11" s="1457">
        <v>2.15</v>
      </c>
      <c r="K11" s="1457">
        <v>5.32</v>
      </c>
      <c r="L11" s="1458">
        <v>1.57</v>
      </c>
      <c r="N11" s="1467">
        <f t="shared" si="18"/>
        <v>4.5599999999999995E-2</v>
      </c>
      <c r="O11" s="1468">
        <f t="shared" si="46"/>
        <v>2.1499999999999998E-2</v>
      </c>
      <c r="P11" s="1468">
        <f t="shared" si="46"/>
        <v>5.3200000000000004E-2</v>
      </c>
      <c r="Q11" s="1468">
        <f t="shared" si="46"/>
        <v>1.5700000000000002E-2</v>
      </c>
      <c r="R11" s="1469"/>
      <c r="S11" s="1470"/>
      <c r="T11" s="1471"/>
      <c r="U11" s="1471"/>
      <c r="V11" s="1471"/>
      <c r="X11" s="1454">
        <f>ROUND(SUMPRODUCT(PRODUCT(1+N11:N$21)),4)</f>
        <v>1.274</v>
      </c>
      <c r="Y11" s="1454">
        <f>ROUND(SUMPRODUCT(PRODUCT(1+O11:O$21)),4)</f>
        <v>1.1740999999999999</v>
      </c>
      <c r="Z11" s="1454">
        <f t="shared" si="0"/>
        <v>1.1740999999999999</v>
      </c>
      <c r="AA11" s="1454">
        <f>ROUND(SUMPRODUCT(PRODUCT(1+P11:P$21)),4)</f>
        <v>1.3087</v>
      </c>
      <c r="AB11" s="1454">
        <f>ROUND(SUMPRODUCT(PRODUCT(1+Q11:Q$21)),4)</f>
        <v>1.1551</v>
      </c>
      <c r="AD11" s="1455">
        <f>ROUND(AVERAGE(I11:I$22)/100,4)</f>
        <v>2.3E-2</v>
      </c>
      <c r="AE11" s="1455">
        <f>ROUND(AVERAGE(J11:J$22)/100,4)</f>
        <v>1.55E-2</v>
      </c>
      <c r="AF11" s="1455">
        <f t="shared" si="1"/>
        <v>1.55E-2</v>
      </c>
      <c r="AG11" s="1455">
        <f>ROUND(AVERAGE(K11:K$22)/100,4)</f>
        <v>2.5600000000000001E-2</v>
      </c>
      <c r="AH11" s="1455">
        <f>ROUND(AVERAGE(L11:L$22)/100,4)</f>
        <v>1.32E-2</v>
      </c>
    </row>
    <row r="12" spans="1:34">
      <c r="A12" s="1456" t="s">
        <v>153</v>
      </c>
      <c r="B12" s="1472">
        <f t="shared" ref="B12:C14" si="48">B11/(1+N11)</f>
        <v>374.90436113236416</v>
      </c>
      <c r="C12" s="1472">
        <f t="shared" si="48"/>
        <v>295.64366128242779</v>
      </c>
      <c r="D12" s="1472">
        <f t="shared" ref="D12:D71" si="49">C12</f>
        <v>295.64366128242779</v>
      </c>
      <c r="E12" s="1472">
        <f t="shared" ref="E12:F14" si="50">E11/(1+P11)</f>
        <v>525.06646410938095</v>
      </c>
      <c r="F12" s="1472">
        <f t="shared" si="50"/>
        <v>261.88835286009646</v>
      </c>
      <c r="G12" s="3322"/>
      <c r="H12" s="1459">
        <v>3</v>
      </c>
      <c r="I12" s="1459">
        <v>4.12</v>
      </c>
      <c r="J12" s="1459">
        <v>2</v>
      </c>
      <c r="K12" s="1459">
        <v>4.79</v>
      </c>
      <c r="L12" s="1473">
        <v>1.97</v>
      </c>
      <c r="N12" s="1467">
        <f t="shared" ref="N12:Q46" si="51">I12/100</f>
        <v>4.1200000000000001E-2</v>
      </c>
      <c r="O12" s="1468">
        <f t="shared" si="46"/>
        <v>0.02</v>
      </c>
      <c r="P12" s="1468">
        <f t="shared" si="46"/>
        <v>4.7899999999999998E-2</v>
      </c>
      <c r="Q12" s="1468">
        <f t="shared" si="46"/>
        <v>1.9699999999999999E-2</v>
      </c>
      <c r="R12" s="1469"/>
      <c r="S12" s="1467"/>
      <c r="T12" s="1468"/>
      <c r="U12" s="1468"/>
      <c r="V12" s="1468"/>
      <c r="X12" s="1454">
        <f>ROUND(SUMPRODUCT(PRODUCT(1+N12:N$21)),4)</f>
        <v>1.2184999999999999</v>
      </c>
      <c r="Y12" s="1454">
        <f>ROUND(SUMPRODUCT(PRODUCT(1+O12:O$21)),4)</f>
        <v>1.1494</v>
      </c>
      <c r="Z12" s="1454">
        <f t="shared" si="0"/>
        <v>1.1494</v>
      </c>
      <c r="AA12" s="1454">
        <f>ROUND(SUMPRODUCT(PRODUCT(1+P12:P$21)),4)</f>
        <v>1.2425999999999999</v>
      </c>
      <c r="AB12" s="1454">
        <f>ROUND(SUMPRODUCT(PRODUCT(1+Q12:Q$21)),4)</f>
        <v>1.1372</v>
      </c>
      <c r="AD12" s="1455">
        <f>ROUND(AVERAGE(I12:I$22)/100,4)</f>
        <v>2.0899999999999998E-2</v>
      </c>
      <c r="AE12" s="1455">
        <f>ROUND(AVERAGE(J12:J$22)/100,4)</f>
        <v>1.49E-2</v>
      </c>
      <c r="AF12" s="1455">
        <f t="shared" si="1"/>
        <v>1.49E-2</v>
      </c>
      <c r="AG12" s="1455">
        <f>ROUND(AVERAGE(K12:K$22)/100,4)</f>
        <v>2.3099999999999999E-2</v>
      </c>
      <c r="AH12" s="1455">
        <f>ROUND(AVERAGE(L12:L$22)/100,4)</f>
        <v>1.2999999999999999E-2</v>
      </c>
    </row>
    <row r="13" spans="1:34">
      <c r="A13" s="1456" t="s">
        <v>143</v>
      </c>
      <c r="B13" s="1472">
        <f t="shared" si="48"/>
        <v>360.06949782209392</v>
      </c>
      <c r="C13" s="1472">
        <f t="shared" si="48"/>
        <v>289.84672674747821</v>
      </c>
      <c r="D13" s="1472">
        <f t="shared" si="49"/>
        <v>289.84672674747821</v>
      </c>
      <c r="E13" s="1472">
        <f t="shared" si="50"/>
        <v>501.06543001181495</v>
      </c>
      <c r="F13" s="1472">
        <f t="shared" si="50"/>
        <v>256.82882500744967</v>
      </c>
      <c r="G13" s="3322"/>
      <c r="H13" s="1460">
        <v>2</v>
      </c>
      <c r="I13" s="1460">
        <v>3.85</v>
      </c>
      <c r="J13" s="1460">
        <v>1.95</v>
      </c>
      <c r="K13" s="1460">
        <v>4.4800000000000004</v>
      </c>
      <c r="L13" s="1474">
        <v>1.41</v>
      </c>
      <c r="N13" s="1467">
        <f t="shared" si="51"/>
        <v>3.85E-2</v>
      </c>
      <c r="O13" s="1468">
        <f t="shared" si="46"/>
        <v>1.95E-2</v>
      </c>
      <c r="P13" s="1468">
        <f t="shared" si="46"/>
        <v>4.4800000000000006E-2</v>
      </c>
      <c r="Q13" s="1468">
        <f t="shared" si="46"/>
        <v>1.41E-2</v>
      </c>
      <c r="R13" s="1469"/>
      <c r="S13" s="1467"/>
      <c r="T13" s="1468"/>
      <c r="U13" s="1468"/>
      <c r="V13" s="1468"/>
      <c r="X13" s="1454">
        <f>ROUND(SUMPRODUCT(PRODUCT(1+N13:N$21)),4)</f>
        <v>1.1702999999999999</v>
      </c>
      <c r="Y13" s="1454">
        <f>ROUND(SUMPRODUCT(PRODUCT(1+O13:O$21)),4)</f>
        <v>1.1269</v>
      </c>
      <c r="Z13" s="1454">
        <f t="shared" si="0"/>
        <v>1.1269</v>
      </c>
      <c r="AA13" s="1454">
        <f>ROUND(SUMPRODUCT(PRODUCT(1+P13:P$21)),4)</f>
        <v>1.1858</v>
      </c>
      <c r="AB13" s="1454">
        <f>ROUND(SUMPRODUCT(PRODUCT(1+Q13:Q$21)),4)</f>
        <v>1.1152</v>
      </c>
      <c r="AD13" s="1455">
        <f>ROUND(AVERAGE(I13:I$22)/100,4)</f>
        <v>1.89E-2</v>
      </c>
      <c r="AE13" s="1455">
        <f>ROUND(AVERAGE(J13:J$22)/100,4)</f>
        <v>1.44E-2</v>
      </c>
      <c r="AF13" s="1455">
        <f t="shared" si="1"/>
        <v>1.44E-2</v>
      </c>
      <c r="AG13" s="1455">
        <f>ROUND(AVERAGE(K13:K$22)/100,4)</f>
        <v>2.06E-2</v>
      </c>
      <c r="AH13" s="1455">
        <f>ROUND(AVERAGE(L13:L$22)/100,4)</f>
        <v>1.23E-2</v>
      </c>
    </row>
    <row r="14" spans="1:34" ht="13.5" thickBot="1">
      <c r="A14" s="1456" t="s">
        <v>152</v>
      </c>
      <c r="B14" s="1472">
        <f t="shared" si="48"/>
        <v>346.720748986128</v>
      </c>
      <c r="C14" s="1472">
        <f t="shared" si="48"/>
        <v>284.30282172386285</v>
      </c>
      <c r="D14" s="1472">
        <f t="shared" si="49"/>
        <v>284.30282172386285</v>
      </c>
      <c r="E14" s="1472">
        <f t="shared" si="50"/>
        <v>479.58023546306947</v>
      </c>
      <c r="F14" s="1472">
        <f t="shared" si="50"/>
        <v>253.25788877571213</v>
      </c>
      <c r="G14" s="3323"/>
      <c r="H14" s="1459">
        <v>1</v>
      </c>
      <c r="I14" s="1459">
        <v>4.09</v>
      </c>
      <c r="J14" s="1459">
        <v>2.93</v>
      </c>
      <c r="K14" s="1459">
        <v>4.54</v>
      </c>
      <c r="L14" s="1473">
        <v>1.48</v>
      </c>
      <c r="N14" s="1467">
        <f t="shared" si="51"/>
        <v>4.0899999999999999E-2</v>
      </c>
      <c r="O14" s="1468">
        <f t="shared" si="46"/>
        <v>2.9300000000000003E-2</v>
      </c>
      <c r="P14" s="1468">
        <f t="shared" si="46"/>
        <v>4.5400000000000003E-2</v>
      </c>
      <c r="Q14" s="1468">
        <f t="shared" si="46"/>
        <v>1.4800000000000001E-2</v>
      </c>
      <c r="R14" s="1469"/>
      <c r="S14" s="1475">
        <f>B14/B15-1</f>
        <v>4.1203450408792808E-2</v>
      </c>
      <c r="T14" s="1476">
        <f>C14/C15-1</f>
        <v>2.6363977342465095E-2</v>
      </c>
      <c r="U14" s="1476">
        <f>E14/E15-1</f>
        <v>4.4837114298626357E-2</v>
      </c>
      <c r="V14" s="1476">
        <f>F14/F15-1</f>
        <v>1.7099954922538574E-2</v>
      </c>
      <c r="X14" s="1454">
        <f>ROUND(SUMPRODUCT(PRODUCT(1+N14:N$21)),4)</f>
        <v>1.1269</v>
      </c>
      <c r="Y14" s="1454">
        <f>ROUND(SUMPRODUCT(PRODUCT(1+O14:O$21)),4)</f>
        <v>1.1052999999999999</v>
      </c>
      <c r="Z14" s="1454">
        <f t="shared" si="0"/>
        <v>1.1052999999999999</v>
      </c>
      <c r="AA14" s="1454">
        <f>ROUND(SUMPRODUCT(PRODUCT(1+P14:P$21)),4)</f>
        <v>1.1349</v>
      </c>
      <c r="AB14" s="1454">
        <f>ROUND(SUMPRODUCT(PRODUCT(1+Q14:Q$21)),4)</f>
        <v>1.0996999999999999</v>
      </c>
      <c r="AD14" s="1455">
        <f>ROUND(AVERAGE(I14:I$22)/100,4)</f>
        <v>1.67E-2</v>
      </c>
      <c r="AE14" s="1455">
        <f>ROUND(AVERAGE(J14:J$22)/100,4)</f>
        <v>1.38E-2</v>
      </c>
      <c r="AF14" s="1455">
        <f t="shared" si="1"/>
        <v>1.38E-2</v>
      </c>
      <c r="AG14" s="1455">
        <f>ROUND(AVERAGE(K14:K$22)/100,4)</f>
        <v>1.7899999999999999E-2</v>
      </c>
      <c r="AH14" s="1455">
        <f>ROUND(AVERAGE(L14:L$22)/100,4)</f>
        <v>1.21E-2</v>
      </c>
    </row>
    <row r="15" spans="1:34" ht="13.5" thickBot="1">
      <c r="A15" s="1456" t="s">
        <v>151</v>
      </c>
      <c r="B15" s="1464">
        <v>333</v>
      </c>
      <c r="C15" s="1464">
        <v>277</v>
      </c>
      <c r="D15" s="1464">
        <f t="shared" si="49"/>
        <v>277</v>
      </c>
      <c r="E15" s="1464">
        <v>459</v>
      </c>
      <c r="F15" s="1465">
        <v>249</v>
      </c>
      <c r="G15" s="3321">
        <v>2015</v>
      </c>
      <c r="H15" s="1477">
        <v>4</v>
      </c>
      <c r="I15" s="1477">
        <v>1.63</v>
      </c>
      <c r="J15" s="1477">
        <v>1.1100000000000001</v>
      </c>
      <c r="K15" s="1477">
        <v>1.77</v>
      </c>
      <c r="L15" s="1478">
        <v>1.89</v>
      </c>
      <c r="N15" s="1479">
        <f t="shared" si="51"/>
        <v>1.6299999999999999E-2</v>
      </c>
      <c r="O15" s="1480">
        <f t="shared" si="46"/>
        <v>1.11E-2</v>
      </c>
      <c r="P15" s="1480">
        <f t="shared" si="46"/>
        <v>1.77E-2</v>
      </c>
      <c r="Q15" s="1480">
        <f t="shared" si="46"/>
        <v>1.89E-2</v>
      </c>
      <c r="R15" s="1469"/>
      <c r="X15" s="1454">
        <f>ROUND(SUMPRODUCT(PRODUCT(1+N15:N$21)),4)</f>
        <v>1.0826</v>
      </c>
      <c r="Y15" s="1454">
        <f>ROUND(SUMPRODUCT(PRODUCT(1+O15:O$21)),4)</f>
        <v>1.0738000000000001</v>
      </c>
      <c r="Z15" s="1454">
        <f t="shared" si="0"/>
        <v>1.0738000000000001</v>
      </c>
      <c r="AA15" s="1454">
        <f>ROUND(SUMPRODUCT(PRODUCT(1+P15:P$21)),4)</f>
        <v>1.0855999999999999</v>
      </c>
      <c r="AB15" s="1454">
        <f>ROUND(SUMPRODUCT(PRODUCT(1+Q15:Q$21)),4)</f>
        <v>1.0837000000000001</v>
      </c>
      <c r="AD15" s="1455">
        <f>ROUND(AVERAGE(I15:I$22)/100,4)</f>
        <v>1.37E-2</v>
      </c>
      <c r="AE15" s="1455">
        <f>ROUND(AVERAGE(J15:J$22)/100,4)</f>
        <v>1.1900000000000001E-2</v>
      </c>
      <c r="AF15" s="1455">
        <f t="shared" si="1"/>
        <v>1.1900000000000001E-2</v>
      </c>
      <c r="AG15" s="1455">
        <f>ROUND(AVERAGE(K15:K$22)/100,4)</f>
        <v>1.4500000000000001E-2</v>
      </c>
      <c r="AH15" s="1455">
        <f>ROUND(AVERAGE(L15:L$22)/100,4)</f>
        <v>1.18E-2</v>
      </c>
    </row>
    <row r="16" spans="1:34">
      <c r="A16" s="1456" t="s">
        <v>150</v>
      </c>
      <c r="B16" s="1472">
        <f t="shared" ref="B16:C18" si="52">B15/(1+N15)</f>
        <v>327.65915576109415</v>
      </c>
      <c r="C16" s="1472">
        <f t="shared" si="52"/>
        <v>273.95905449510434</v>
      </c>
      <c r="D16" s="1472">
        <f t="shared" si="49"/>
        <v>273.95905449510434</v>
      </c>
      <c r="E16" s="1472">
        <f t="shared" ref="E16:F18" si="53">E15/(1+P15)</f>
        <v>451.01699911565294</v>
      </c>
      <c r="F16" s="1472">
        <f t="shared" si="53"/>
        <v>244.38119540681129</v>
      </c>
      <c r="G16" s="3322"/>
      <c r="H16" s="1482">
        <v>3</v>
      </c>
      <c r="I16" s="1482">
        <v>1.65</v>
      </c>
      <c r="J16" s="1482">
        <v>0.92</v>
      </c>
      <c r="K16" s="1482">
        <v>1.88</v>
      </c>
      <c r="L16" s="1483">
        <v>1.26</v>
      </c>
      <c r="N16" s="1467">
        <f t="shared" si="51"/>
        <v>1.6500000000000001E-2</v>
      </c>
      <c r="O16" s="1484">
        <f t="shared" si="46"/>
        <v>9.1999999999999998E-3</v>
      </c>
      <c r="P16" s="1484">
        <f t="shared" si="46"/>
        <v>1.8799999999999997E-2</v>
      </c>
      <c r="Q16" s="1484">
        <f t="shared" si="46"/>
        <v>1.26E-2</v>
      </c>
      <c r="R16" s="1469"/>
      <c r="S16" s="1467"/>
      <c r="T16" s="1468"/>
      <c r="U16" s="1468"/>
      <c r="V16" s="1468"/>
      <c r="X16" s="1454">
        <f>ROUND(SUMPRODUCT(PRODUCT(1+N16:N$21)),4)</f>
        <v>1.0651999999999999</v>
      </c>
      <c r="Y16" s="1454">
        <f>ROUND(SUMPRODUCT(PRODUCT(1+O16:O$21)),4)</f>
        <v>1.0621</v>
      </c>
      <c r="Z16" s="1454">
        <f t="shared" si="0"/>
        <v>1.0621</v>
      </c>
      <c r="AA16" s="1454">
        <f>ROUND(SUMPRODUCT(PRODUCT(1+P16:P$21)),4)</f>
        <v>1.0668</v>
      </c>
      <c r="AB16" s="1454">
        <f>ROUND(SUMPRODUCT(PRODUCT(1+Q16:Q$21)),4)</f>
        <v>1.0636000000000001</v>
      </c>
      <c r="AD16" s="1455">
        <f>ROUND(AVERAGE(I16:I$22)/100,4)</f>
        <v>1.3299999999999999E-2</v>
      </c>
      <c r="AE16" s="1455">
        <f>ROUND(AVERAGE(J16:J$22)/100,4)</f>
        <v>1.2E-2</v>
      </c>
      <c r="AF16" s="1455">
        <f t="shared" si="1"/>
        <v>1.2E-2</v>
      </c>
      <c r="AG16" s="1455">
        <f>ROUND(AVERAGE(K16:K$22)/100,4)</f>
        <v>1.4E-2</v>
      </c>
      <c r="AH16" s="1455">
        <f>ROUND(AVERAGE(L16:L$22)/100,4)</f>
        <v>1.0800000000000001E-2</v>
      </c>
    </row>
    <row r="17" spans="1:34">
      <c r="A17" s="1456" t="s">
        <v>149</v>
      </c>
      <c r="B17" s="1472">
        <f t="shared" si="52"/>
        <v>322.34053690220776</v>
      </c>
      <c r="C17" s="1472">
        <f t="shared" si="52"/>
        <v>271.46160770422546</v>
      </c>
      <c r="D17" s="1472">
        <f t="shared" si="49"/>
        <v>271.46160770422546</v>
      </c>
      <c r="E17" s="1472">
        <f t="shared" si="53"/>
        <v>442.69434542172456</v>
      </c>
      <c r="F17" s="1472">
        <f t="shared" si="53"/>
        <v>241.34030753190925</v>
      </c>
      <c r="G17" s="3322"/>
      <c r="H17" s="1460">
        <v>2</v>
      </c>
      <c r="I17" s="1460">
        <v>0.77</v>
      </c>
      <c r="J17" s="1460">
        <v>0.69</v>
      </c>
      <c r="K17" s="1460">
        <v>0.8</v>
      </c>
      <c r="L17" s="1474">
        <v>0.88</v>
      </c>
      <c r="N17" s="1467">
        <f t="shared" si="51"/>
        <v>7.7000000000000002E-3</v>
      </c>
      <c r="O17" s="1484">
        <f t="shared" si="46"/>
        <v>6.8999999999999999E-3</v>
      </c>
      <c r="P17" s="1484">
        <f t="shared" si="46"/>
        <v>8.0000000000000002E-3</v>
      </c>
      <c r="Q17" s="1484">
        <f t="shared" si="46"/>
        <v>8.8000000000000005E-3</v>
      </c>
      <c r="R17" s="1469"/>
      <c r="S17" s="1467"/>
      <c r="T17" s="1468"/>
      <c r="U17" s="1468"/>
      <c r="V17" s="1468"/>
      <c r="X17" s="1454">
        <f>ROUND(SUMPRODUCT(PRODUCT(1+N17:N$21)),4)</f>
        <v>1.048</v>
      </c>
      <c r="Y17" s="1454">
        <f>ROUND(SUMPRODUCT(PRODUCT(1+O17:O$21)),4)</f>
        <v>1.0524</v>
      </c>
      <c r="Z17" s="1454">
        <f t="shared" si="0"/>
        <v>1.0524</v>
      </c>
      <c r="AA17" s="1454">
        <f>ROUND(SUMPRODUCT(PRODUCT(1+P17:P$21)),4)</f>
        <v>1.0470999999999999</v>
      </c>
      <c r="AB17" s="1454">
        <f>ROUND(SUMPRODUCT(PRODUCT(1+Q17:Q$21)),4)</f>
        <v>1.0504</v>
      </c>
      <c r="AD17" s="1455">
        <f>ROUND(AVERAGE(I17:I$22)/100,4)</f>
        <v>1.2800000000000001E-2</v>
      </c>
      <c r="AE17" s="1455">
        <f>ROUND(AVERAGE(J17:J$22)/100,4)</f>
        <v>1.2500000000000001E-2</v>
      </c>
      <c r="AF17" s="1455">
        <f t="shared" si="1"/>
        <v>1.2500000000000001E-2</v>
      </c>
      <c r="AG17" s="1455">
        <f>ROUND(AVERAGE(K17:K$22)/100,4)</f>
        <v>1.32E-2</v>
      </c>
      <c r="AH17" s="1455">
        <f>ROUND(AVERAGE(L17:L$22)/100,4)</f>
        <v>1.0500000000000001E-2</v>
      </c>
    </row>
    <row r="18" spans="1:34">
      <c r="A18" s="1456" t="s">
        <v>148</v>
      </c>
      <c r="B18" s="1472">
        <f t="shared" si="52"/>
        <v>319.87748030386797</v>
      </c>
      <c r="C18" s="1472">
        <f t="shared" si="52"/>
        <v>269.60135833173649</v>
      </c>
      <c r="D18" s="1472">
        <f t="shared" si="49"/>
        <v>269.60135833173649</v>
      </c>
      <c r="E18" s="1472">
        <f t="shared" si="53"/>
        <v>439.18089823583784</v>
      </c>
      <c r="F18" s="1472">
        <f t="shared" si="53"/>
        <v>239.23503918706311</v>
      </c>
      <c r="G18" s="3323"/>
      <c r="H18" s="1459">
        <v>1</v>
      </c>
      <c r="I18" s="1459">
        <v>0.51</v>
      </c>
      <c r="J18" s="1459">
        <v>0.54</v>
      </c>
      <c r="K18" s="1459">
        <v>0.48</v>
      </c>
      <c r="L18" s="1473">
        <v>0.93</v>
      </c>
      <c r="N18" s="1475">
        <f t="shared" si="51"/>
        <v>5.1000000000000004E-3</v>
      </c>
      <c r="O18" s="1476">
        <f t="shared" si="46"/>
        <v>5.4000000000000003E-3</v>
      </c>
      <c r="P18" s="1476">
        <f t="shared" si="46"/>
        <v>4.7999999999999996E-3</v>
      </c>
      <c r="Q18" s="1476">
        <f t="shared" si="46"/>
        <v>9.300000000000001E-3</v>
      </c>
      <c r="R18" s="1469"/>
      <c r="S18" s="1475">
        <f>B18/B19-1</f>
        <v>5.9040261127922822E-3</v>
      </c>
      <c r="T18" s="1476">
        <f>C18/C19-1</f>
        <v>5.9752176557332781E-3</v>
      </c>
      <c r="U18" s="1476">
        <f>E18/E19-1</f>
        <v>4.9906138119859556E-3</v>
      </c>
      <c r="V18" s="1476">
        <f>F18/F19-1</f>
        <v>9.4305450930933787E-3</v>
      </c>
      <c r="X18" s="1454">
        <f>ROUND(SUMPRODUCT(PRODUCT(1+N18:N$21)),4)</f>
        <v>1.0399</v>
      </c>
      <c r="Y18" s="1454">
        <f>ROUND(SUMPRODUCT(PRODUCT(1+O18:O$21)),4)</f>
        <v>1.0451999999999999</v>
      </c>
      <c r="Z18" s="1454">
        <f t="shared" si="0"/>
        <v>1.0451999999999999</v>
      </c>
      <c r="AA18" s="1454">
        <f>ROUND(SUMPRODUCT(PRODUCT(1+P18:P$21)),4)</f>
        <v>1.0387999999999999</v>
      </c>
      <c r="AB18" s="1454">
        <f>ROUND(SUMPRODUCT(PRODUCT(1+Q18:Q$21)),4)</f>
        <v>1.0411999999999999</v>
      </c>
      <c r="AD18" s="1455">
        <f>ROUND(AVERAGE(I18:I$22)/100,4)</f>
        <v>1.38E-2</v>
      </c>
      <c r="AE18" s="1455">
        <f>ROUND(AVERAGE(J18:J$22)/100,4)</f>
        <v>1.3599999999999999E-2</v>
      </c>
      <c r="AF18" s="1455">
        <f t="shared" si="1"/>
        <v>1.3599999999999999E-2</v>
      </c>
      <c r="AG18" s="1455">
        <f>ROUND(AVERAGE(K18:K$22)/100,4)</f>
        <v>1.4200000000000001E-2</v>
      </c>
      <c r="AH18" s="1455">
        <f>ROUND(AVERAGE(L18:L$22)/100,4)</f>
        <v>1.0800000000000001E-2</v>
      </c>
    </row>
    <row r="19" spans="1:34" ht="13.5" thickBot="1">
      <c r="A19" s="1456" t="s">
        <v>147</v>
      </c>
      <c r="B19" s="1485">
        <v>318</v>
      </c>
      <c r="C19" s="1485">
        <v>268</v>
      </c>
      <c r="D19" s="1485">
        <f t="shared" si="49"/>
        <v>268</v>
      </c>
      <c r="E19" s="1485">
        <v>437</v>
      </c>
      <c r="F19" s="1486">
        <v>237</v>
      </c>
      <c r="G19" s="3321">
        <v>2014</v>
      </c>
      <c r="H19" s="1477">
        <v>4</v>
      </c>
      <c r="I19" s="1477">
        <v>0.21</v>
      </c>
      <c r="J19" s="1477">
        <v>0.41</v>
      </c>
      <c r="K19" s="1477">
        <v>0.12</v>
      </c>
      <c r="L19" s="1478">
        <v>0.89</v>
      </c>
      <c r="N19" s="1467">
        <f t="shared" si="51"/>
        <v>2.0999999999999999E-3</v>
      </c>
      <c r="O19" s="1468">
        <f t="shared" si="46"/>
        <v>4.0999999999999995E-3</v>
      </c>
      <c r="P19" s="1468">
        <f t="shared" si="46"/>
        <v>1.1999999999999999E-3</v>
      </c>
      <c r="Q19" s="1468">
        <f t="shared" si="46"/>
        <v>8.8999999999999999E-3</v>
      </c>
      <c r="R19" s="1469"/>
      <c r="S19" s="1470"/>
      <c r="T19" s="1471"/>
      <c r="U19" s="1471"/>
      <c r="V19" s="1471"/>
      <c r="X19" s="1454">
        <f>ROUND(SUMPRODUCT(PRODUCT(1+N19:N$21)),4)</f>
        <v>1.0347</v>
      </c>
      <c r="Y19" s="1454">
        <f>ROUND(SUMPRODUCT(PRODUCT(1+O19:O$21)),4)</f>
        <v>1.0395000000000001</v>
      </c>
      <c r="Z19" s="1454">
        <f t="shared" si="0"/>
        <v>1.0395000000000001</v>
      </c>
      <c r="AA19" s="1454">
        <f>ROUND(SUMPRODUCT(PRODUCT(1+P19:P$21)),4)</f>
        <v>1.0338000000000001</v>
      </c>
      <c r="AB19" s="1454">
        <f>ROUND(SUMPRODUCT(PRODUCT(1+Q19:Q$21)),4)</f>
        <v>1.0316000000000001</v>
      </c>
      <c r="AD19" s="1455">
        <f>ROUND(AVERAGE(I19:I$22)/100,4)</f>
        <v>1.6E-2</v>
      </c>
      <c r="AE19" s="1455">
        <f>ROUND(AVERAGE(J19:J$22)/100,4)</f>
        <v>1.5599999999999999E-2</v>
      </c>
      <c r="AF19" s="1455">
        <f t="shared" si="1"/>
        <v>1.5599999999999999E-2</v>
      </c>
      <c r="AG19" s="1455">
        <f>ROUND(AVERAGE(K19:K$22)/100,4)</f>
        <v>1.66E-2</v>
      </c>
      <c r="AH19" s="1455">
        <f>ROUND(AVERAGE(L19:L$22)/100,4)</f>
        <v>1.12E-2</v>
      </c>
    </row>
    <row r="20" spans="1:34">
      <c r="A20" s="1456" t="s">
        <v>146</v>
      </c>
      <c r="B20" s="1472">
        <f t="shared" ref="B20:C22" si="54">B19/(1+N19)</f>
        <v>317.33359944117353</v>
      </c>
      <c r="C20" s="1472">
        <f t="shared" si="54"/>
        <v>266.90568668459315</v>
      </c>
      <c r="D20" s="1472">
        <f t="shared" si="49"/>
        <v>266.90568668459315</v>
      </c>
      <c r="E20" s="1472">
        <f t="shared" ref="E20:F22" si="55">E19/(1+P19)</f>
        <v>436.47622852576905</v>
      </c>
      <c r="F20" s="1472">
        <f t="shared" si="55"/>
        <v>234.90930716622066</v>
      </c>
      <c r="G20" s="3322"/>
      <c r="H20" s="1487">
        <v>3</v>
      </c>
      <c r="I20" s="1487">
        <v>0.83</v>
      </c>
      <c r="J20" s="1487">
        <v>1.47</v>
      </c>
      <c r="K20" s="1487">
        <v>0.65</v>
      </c>
      <c r="L20" s="1488">
        <v>0.72</v>
      </c>
      <c r="N20" s="1467">
        <f t="shared" si="51"/>
        <v>8.3000000000000001E-3</v>
      </c>
      <c r="O20" s="1468">
        <f t="shared" si="46"/>
        <v>1.47E-2</v>
      </c>
      <c r="P20" s="1468">
        <f t="shared" si="46"/>
        <v>6.5000000000000006E-3</v>
      </c>
      <c r="Q20" s="1468">
        <f t="shared" si="46"/>
        <v>7.1999999999999998E-3</v>
      </c>
      <c r="R20" s="1469"/>
      <c r="S20" s="1467"/>
      <c r="T20" s="1468"/>
      <c r="U20" s="1468"/>
      <c r="V20" s="1468"/>
      <c r="X20" s="1454">
        <f>ROUND(SUMPRODUCT(PRODUCT(1+N20:N$21)),4)</f>
        <v>1.0325</v>
      </c>
      <c r="Y20" s="1454">
        <f>ROUND(SUMPRODUCT(PRODUCT(1+O20:O$21)),4)</f>
        <v>1.0353000000000001</v>
      </c>
      <c r="Z20" s="1454">
        <f t="shared" ref="Z20:Z21" si="56">Y20</f>
        <v>1.0353000000000001</v>
      </c>
      <c r="AA20" s="1454">
        <f>ROUND(SUMPRODUCT(PRODUCT(1+P20:P$21)),4)</f>
        <v>1.0326</v>
      </c>
      <c r="AB20" s="1454">
        <f>ROUND(SUMPRODUCT(PRODUCT(1+Q20:Q$21)),4)</f>
        <v>1.0225</v>
      </c>
      <c r="AD20" s="1455">
        <f>ROUND(AVERAGE(I20:I$22)/100,4)</f>
        <v>2.07E-2</v>
      </c>
      <c r="AE20" s="1455">
        <f>ROUND(AVERAGE(J20:J$22)/100,4)</f>
        <v>1.95E-2</v>
      </c>
      <c r="AF20" s="1455">
        <f t="shared" si="1"/>
        <v>1.95E-2</v>
      </c>
      <c r="AG20" s="1455">
        <f>ROUND(AVERAGE(K20:K$22)/100,4)</f>
        <v>2.1700000000000001E-2</v>
      </c>
      <c r="AH20" s="1455">
        <f>ROUND(AVERAGE(L20:L$22)/100,4)</f>
        <v>1.2E-2</v>
      </c>
    </row>
    <row r="21" spans="1:34" ht="13.5" thickBot="1">
      <c r="A21" s="1456" t="s">
        <v>145</v>
      </c>
      <c r="B21" s="1472">
        <f t="shared" si="54"/>
        <v>314.72141172386546</v>
      </c>
      <c r="C21" s="1472">
        <f t="shared" si="54"/>
        <v>263.03901319069001</v>
      </c>
      <c r="D21" s="1472">
        <f t="shared" si="49"/>
        <v>263.03901319069001</v>
      </c>
      <c r="E21" s="1472">
        <f t="shared" si="55"/>
        <v>433.65745506782821</v>
      </c>
      <c r="F21" s="1472">
        <f t="shared" si="55"/>
        <v>233.23005080045735</v>
      </c>
      <c r="G21" s="3322"/>
      <c r="H21" s="1477">
        <v>2</v>
      </c>
      <c r="I21" s="1477">
        <v>2.4</v>
      </c>
      <c r="J21" s="1477">
        <v>2.0299999999999998</v>
      </c>
      <c r="K21" s="1477">
        <v>2.59</v>
      </c>
      <c r="L21" s="1478">
        <v>1.52</v>
      </c>
      <c r="N21" s="1467">
        <f t="shared" si="51"/>
        <v>2.4E-2</v>
      </c>
      <c r="O21" s="1468">
        <f t="shared" si="46"/>
        <v>2.0299999999999999E-2</v>
      </c>
      <c r="P21" s="1468">
        <f t="shared" si="46"/>
        <v>2.5899999999999999E-2</v>
      </c>
      <c r="Q21" s="1468">
        <f t="shared" si="46"/>
        <v>1.52E-2</v>
      </c>
      <c r="R21" s="1469"/>
      <c r="S21" s="1467"/>
      <c r="T21" s="1468"/>
      <c r="U21" s="1468"/>
      <c r="V21" s="1468"/>
      <c r="X21" s="1454">
        <f>1+N21</f>
        <v>1.024</v>
      </c>
      <c r="Y21" s="1454">
        <f>1+O21</f>
        <v>1.0203</v>
      </c>
      <c r="Z21" s="1454">
        <f t="shared" si="56"/>
        <v>1.0203</v>
      </c>
      <c r="AA21" s="1454">
        <f>1+P21</f>
        <v>1.0259</v>
      </c>
      <c r="AB21" s="1454">
        <f>1+Q21</f>
        <v>1.0152000000000001</v>
      </c>
      <c r="AD21" s="1455">
        <f>ROUND(AVERAGE(I21:I$22)/100,4)</f>
        <v>2.69E-2</v>
      </c>
      <c r="AE21" s="1455">
        <f>ROUND(AVERAGE(J21:J$22)/100,4)</f>
        <v>2.1899999999999999E-2</v>
      </c>
      <c r="AF21" s="1455">
        <f t="shared" ref="AF21" si="57">AE21</f>
        <v>2.1899999999999999E-2</v>
      </c>
      <c r="AG21" s="1455">
        <f>ROUND(AVERAGE(K21:K$22)/100,4)</f>
        <v>2.9399999999999999E-2</v>
      </c>
      <c r="AH21" s="1455">
        <f>ROUND(AVERAGE(L21:L$22)/100,4)</f>
        <v>1.44E-2</v>
      </c>
    </row>
    <row r="22" spans="1:34" s="1493" customFormat="1" ht="13.5" thickBot="1">
      <c r="A22" s="1489" t="s">
        <v>144</v>
      </c>
      <c r="B22" s="1490">
        <f t="shared" si="54"/>
        <v>307.34512863658733</v>
      </c>
      <c r="C22" s="1490">
        <f t="shared" si="54"/>
        <v>257.80556031626975</v>
      </c>
      <c r="D22" s="1490">
        <f t="shared" si="49"/>
        <v>257.80556031626975</v>
      </c>
      <c r="E22" s="1490">
        <f t="shared" si="55"/>
        <v>422.70928459677179</v>
      </c>
      <c r="F22" s="1490">
        <f t="shared" si="55"/>
        <v>229.73803270336617</v>
      </c>
      <c r="G22" s="3323"/>
      <c r="H22" s="1491">
        <v>1</v>
      </c>
      <c r="I22" s="1491">
        <v>2.97</v>
      </c>
      <c r="J22" s="1491">
        <v>2.34</v>
      </c>
      <c r="K22" s="1491">
        <v>3.28</v>
      </c>
      <c r="L22" s="1492">
        <v>1.36</v>
      </c>
      <c r="N22" s="1494">
        <f t="shared" si="51"/>
        <v>2.9700000000000001E-2</v>
      </c>
      <c r="O22" s="1495">
        <f t="shared" si="46"/>
        <v>2.3399999999999997E-2</v>
      </c>
      <c r="P22" s="1495">
        <f t="shared" si="46"/>
        <v>3.2799999999999996E-2</v>
      </c>
      <c r="Q22" s="1495">
        <f t="shared" si="46"/>
        <v>1.3600000000000001E-2</v>
      </c>
      <c r="R22" s="1496"/>
      <c r="S22" s="1497">
        <f>B22/B23-1</f>
        <v>2.7910129219355539E-2</v>
      </c>
      <c r="T22" s="1498">
        <f>C22/C23-1</f>
        <v>2.3037937762975247E-2</v>
      </c>
      <c r="U22" s="1498">
        <f>E22/E23-1</f>
        <v>3.3519033243940788E-2</v>
      </c>
      <c r="V22" s="1498">
        <f>F22/F23-1</f>
        <v>1.2061818076502862E-2</v>
      </c>
      <c r="W22" s="1499" t="s">
        <v>1162</v>
      </c>
      <c r="X22" s="1500">
        <v>1</v>
      </c>
      <c r="Y22" s="1500">
        <v>1</v>
      </c>
      <c r="Z22" s="1500">
        <v>1</v>
      </c>
      <c r="AA22" s="1500">
        <v>1</v>
      </c>
      <c r="AB22" s="1500">
        <v>1</v>
      </c>
      <c r="AD22" s="1720">
        <f>I22/100</f>
        <v>2.9700000000000001E-2</v>
      </c>
      <c r="AE22" s="1720">
        <f>J22/100</f>
        <v>2.3399999999999997E-2</v>
      </c>
      <c r="AF22" s="1720">
        <f>AE22</f>
        <v>2.3399999999999997E-2</v>
      </c>
      <c r="AG22" s="1720">
        <f>K22/100</f>
        <v>3.2799999999999996E-2</v>
      </c>
      <c r="AH22" s="1720">
        <f>L22/100</f>
        <v>1.3600000000000001E-2</v>
      </c>
    </row>
    <row r="23" spans="1:34" ht="13.5" thickBot="1">
      <c r="A23" s="1456" t="s">
        <v>1163</v>
      </c>
      <c r="B23" s="1464">
        <v>299</v>
      </c>
      <c r="C23" s="1464">
        <v>252</v>
      </c>
      <c r="D23" s="1464">
        <f t="shared" si="49"/>
        <v>252</v>
      </c>
      <c r="E23" s="1464">
        <v>409</v>
      </c>
      <c r="F23" s="1465">
        <v>227</v>
      </c>
      <c r="G23" s="3328">
        <v>2013</v>
      </c>
      <c r="H23" s="1501">
        <v>4</v>
      </c>
      <c r="I23" s="1501">
        <v>1.83</v>
      </c>
      <c r="J23" s="1501">
        <v>1.68</v>
      </c>
      <c r="K23" s="1501">
        <v>1.97</v>
      </c>
      <c r="L23" s="1502">
        <v>0.87</v>
      </c>
      <c r="N23" s="1479">
        <f t="shared" si="51"/>
        <v>1.83E-2</v>
      </c>
      <c r="O23" s="1480">
        <f t="shared" si="46"/>
        <v>1.6799999999999999E-2</v>
      </c>
      <c r="P23" s="1480">
        <f t="shared" si="46"/>
        <v>1.9699999999999999E-2</v>
      </c>
      <c r="Q23" s="1480">
        <f t="shared" si="46"/>
        <v>8.6999999999999994E-3</v>
      </c>
      <c r="R23" s="1469"/>
      <c r="S23" s="1470"/>
      <c r="T23" s="1471"/>
      <c r="U23" s="1471"/>
      <c r="V23" s="1471"/>
      <c r="X23" s="1471"/>
      <c r="Y23" s="1471"/>
      <c r="Z23" s="1471"/>
    </row>
    <row r="24" spans="1:34">
      <c r="A24" s="1456" t="s">
        <v>1164</v>
      </c>
      <c r="B24" s="1472">
        <f t="shared" ref="B24:C26" si="58">B23/(1+N23)</f>
        <v>293.62663262299913</v>
      </c>
      <c r="C24" s="1472">
        <f t="shared" si="58"/>
        <v>247.83634933123525</v>
      </c>
      <c r="D24" s="1472">
        <f t="shared" si="49"/>
        <v>247.83634933123525</v>
      </c>
      <c r="E24" s="1472">
        <f t="shared" ref="E24:F26" si="59">E23/(1+P23)</f>
        <v>401.09836226341076</v>
      </c>
      <c r="F24" s="1472">
        <f t="shared" si="59"/>
        <v>225.04213343908003</v>
      </c>
      <c r="G24" s="3329"/>
      <c r="H24" s="1482">
        <v>3</v>
      </c>
      <c r="I24" s="1482">
        <v>1.86</v>
      </c>
      <c r="J24" s="1482">
        <v>1.72</v>
      </c>
      <c r="K24" s="1482">
        <v>1.98</v>
      </c>
      <c r="L24" s="1483">
        <v>0.88</v>
      </c>
      <c r="N24" s="1467">
        <f t="shared" si="51"/>
        <v>1.8600000000000002E-2</v>
      </c>
      <c r="O24" s="1484">
        <f t="shared" si="46"/>
        <v>1.72E-2</v>
      </c>
      <c r="P24" s="1484">
        <f t="shared" si="46"/>
        <v>1.9799999999999998E-2</v>
      </c>
      <c r="Q24" s="1484">
        <f t="shared" si="46"/>
        <v>8.8000000000000005E-3</v>
      </c>
      <c r="R24" s="1469"/>
      <c r="S24" s="1467"/>
      <c r="T24" s="1468"/>
      <c r="U24" s="1468"/>
      <c r="V24" s="1468"/>
    </row>
    <row r="25" spans="1:34">
      <c r="A25" s="1456" t="s">
        <v>1165</v>
      </c>
      <c r="B25" s="1472">
        <f t="shared" si="58"/>
        <v>288.2649053828776</v>
      </c>
      <c r="C25" s="1472">
        <f t="shared" si="58"/>
        <v>243.64564425013293</v>
      </c>
      <c r="D25" s="1472">
        <f t="shared" si="49"/>
        <v>243.64564425013293</v>
      </c>
      <c r="E25" s="1472">
        <f t="shared" si="59"/>
        <v>393.31080825986544</v>
      </c>
      <c r="F25" s="1472">
        <f t="shared" si="59"/>
        <v>223.07903790551154</v>
      </c>
      <c r="G25" s="3329"/>
      <c r="H25" s="1460">
        <v>2</v>
      </c>
      <c r="I25" s="1460">
        <v>2.04</v>
      </c>
      <c r="J25" s="1460">
        <v>2.33</v>
      </c>
      <c r="K25" s="1460">
        <v>2.0699999999999998</v>
      </c>
      <c r="L25" s="1474">
        <v>0.69</v>
      </c>
      <c r="N25" s="1467">
        <f t="shared" si="51"/>
        <v>2.0400000000000001E-2</v>
      </c>
      <c r="O25" s="1484">
        <f t="shared" si="46"/>
        <v>2.3300000000000001E-2</v>
      </c>
      <c r="P25" s="1484">
        <f t="shared" si="46"/>
        <v>2.07E-2</v>
      </c>
      <c r="Q25" s="1484">
        <f t="shared" si="46"/>
        <v>6.8999999999999999E-3</v>
      </c>
      <c r="R25" s="1469"/>
      <c r="S25" s="1467"/>
      <c r="T25" s="1468"/>
      <c r="U25" s="1468"/>
      <c r="V25" s="1468"/>
      <c r="X25" s="1503"/>
      <c r="Y25" s="1504"/>
    </row>
    <row r="26" spans="1:34">
      <c r="A26" s="1456" t="s">
        <v>1166</v>
      </c>
      <c r="B26" s="1472">
        <f t="shared" si="58"/>
        <v>282.50186729015837</v>
      </c>
      <c r="C26" s="1472">
        <f t="shared" si="58"/>
        <v>238.09796174155468</v>
      </c>
      <c r="D26" s="1472">
        <f t="shared" si="49"/>
        <v>238.09796174155468</v>
      </c>
      <c r="E26" s="1472">
        <f t="shared" si="59"/>
        <v>385.33438646014054</v>
      </c>
      <c r="F26" s="1472">
        <f t="shared" si="59"/>
        <v>221.55034055567739</v>
      </c>
      <c r="G26" s="3330"/>
      <c r="H26" s="1459">
        <v>1</v>
      </c>
      <c r="I26" s="1459">
        <v>1.67</v>
      </c>
      <c r="J26" s="1459">
        <v>1.31</v>
      </c>
      <c r="K26" s="1459">
        <v>1.85</v>
      </c>
      <c r="L26" s="1473">
        <v>0.96</v>
      </c>
      <c r="N26" s="1475">
        <f t="shared" si="51"/>
        <v>1.67E-2</v>
      </c>
      <c r="O26" s="1476">
        <f t="shared" si="51"/>
        <v>1.3100000000000001E-2</v>
      </c>
      <c r="P26" s="1476">
        <f t="shared" si="51"/>
        <v>1.8500000000000003E-2</v>
      </c>
      <c r="Q26" s="1476">
        <f t="shared" si="51"/>
        <v>9.5999999999999992E-3</v>
      </c>
      <c r="R26" s="1469"/>
      <c r="S26" s="1475">
        <f>B26/B27-1</f>
        <v>1.6193767230785472E-2</v>
      </c>
      <c r="T26" s="1476">
        <f>C26/C27-1</f>
        <v>1.7512657015190891E-2</v>
      </c>
      <c r="U26" s="1476">
        <f>E26/E27-1</f>
        <v>1.6713420739157048E-2</v>
      </c>
      <c r="V26" s="1476">
        <f>F26/F27-1</f>
        <v>7.0470025258062563E-3</v>
      </c>
      <c r="X26" s="1505"/>
      <c r="Y26" s="1455"/>
      <c r="Z26" s="1455"/>
    </row>
    <row r="27" spans="1:34" ht="13.5" thickBot="1">
      <c r="A27" s="1456" t="s">
        <v>1167</v>
      </c>
      <c r="B27" s="1506">
        <v>278</v>
      </c>
      <c r="C27" s="1506">
        <v>234</v>
      </c>
      <c r="D27" s="1506">
        <f t="shared" si="49"/>
        <v>234</v>
      </c>
      <c r="E27" s="1506">
        <v>379</v>
      </c>
      <c r="F27" s="1507">
        <v>220</v>
      </c>
      <c r="G27" s="3321">
        <v>2012</v>
      </c>
      <c r="H27" s="1477">
        <v>4</v>
      </c>
      <c r="I27" s="1477">
        <v>0.91</v>
      </c>
      <c r="J27" s="1477">
        <v>0.68</v>
      </c>
      <c r="K27" s="1477">
        <v>0.98</v>
      </c>
      <c r="L27" s="1478">
        <v>0.9</v>
      </c>
      <c r="N27" s="1467">
        <f t="shared" si="51"/>
        <v>9.1000000000000004E-3</v>
      </c>
      <c r="O27" s="1468">
        <f t="shared" si="51"/>
        <v>6.8000000000000005E-3</v>
      </c>
      <c r="P27" s="1468">
        <f t="shared" si="51"/>
        <v>9.7999999999999997E-3</v>
      </c>
      <c r="Q27" s="1468">
        <f t="shared" si="51"/>
        <v>9.0000000000000011E-3</v>
      </c>
      <c r="R27" s="1469"/>
      <c r="S27" s="1470"/>
      <c r="T27" s="1471"/>
      <c r="U27" s="1471"/>
      <c r="V27" s="1471"/>
      <c r="X27" s="1471"/>
      <c r="Y27" s="1471"/>
      <c r="Z27" s="1471"/>
    </row>
    <row r="28" spans="1:34">
      <c r="A28" s="1456" t="s">
        <v>1168</v>
      </c>
      <c r="B28" s="1472">
        <f>B27/(1+N27)</f>
        <v>275.49301357645425</v>
      </c>
      <c r="C28" s="1472">
        <f>C27/(1+O27)</f>
        <v>232.41954707985698</v>
      </c>
      <c r="D28" s="1472">
        <f t="shared" si="49"/>
        <v>232.41954707985698</v>
      </c>
      <c r="E28" s="1472">
        <f t="shared" ref="E28:F30" si="60">E27/(1+P27)</f>
        <v>375.32184591008121</v>
      </c>
      <c r="F28" s="1472">
        <f t="shared" si="60"/>
        <v>218.03766105054513</v>
      </c>
      <c r="G28" s="3322"/>
      <c r="H28" s="1482">
        <v>3</v>
      </c>
      <c r="I28" s="1482">
        <v>0.09</v>
      </c>
      <c r="J28" s="1482">
        <v>0.28999999999999998</v>
      </c>
      <c r="K28" s="1482">
        <v>-0.01</v>
      </c>
      <c r="L28" s="1483">
        <v>0.57999999999999996</v>
      </c>
      <c r="N28" s="1467">
        <f t="shared" si="51"/>
        <v>8.9999999999999998E-4</v>
      </c>
      <c r="O28" s="1468">
        <f t="shared" si="51"/>
        <v>2.8999999999999998E-3</v>
      </c>
      <c r="P28" s="1468">
        <f t="shared" si="51"/>
        <v>-1E-4</v>
      </c>
      <c r="Q28" s="1468">
        <f t="shared" si="51"/>
        <v>5.7999999999999996E-3</v>
      </c>
      <c r="R28" s="1469"/>
      <c r="S28" s="1467"/>
      <c r="T28" s="1468"/>
      <c r="U28" s="1468"/>
      <c r="V28" s="1468"/>
    </row>
    <row r="29" spans="1:34">
      <c r="A29" s="1456" t="s">
        <v>1169</v>
      </c>
      <c r="B29" s="1472">
        <f>B28/(1+N28)</f>
        <v>275.24529281292263</v>
      </c>
      <c r="C29" s="1472">
        <f>C28/(1+O28)</f>
        <v>231.74747938962707</v>
      </c>
      <c r="D29" s="1472">
        <f t="shared" si="49"/>
        <v>231.74747938962707</v>
      </c>
      <c r="E29" s="1472">
        <f t="shared" si="60"/>
        <v>375.35938184826603</v>
      </c>
      <c r="F29" s="1472">
        <f t="shared" si="60"/>
        <v>216.78033510692495</v>
      </c>
      <c r="G29" s="3322"/>
      <c r="H29" s="1460">
        <v>2</v>
      </c>
      <c r="I29" s="1460">
        <v>0.02</v>
      </c>
      <c r="J29" s="1460">
        <v>0.12</v>
      </c>
      <c r="K29" s="1460">
        <v>-0.08</v>
      </c>
      <c r="L29" s="1474">
        <v>1.24</v>
      </c>
      <c r="N29" s="1467">
        <f t="shared" si="51"/>
        <v>2.0000000000000001E-4</v>
      </c>
      <c r="O29" s="1468">
        <f t="shared" si="51"/>
        <v>1.1999999999999999E-3</v>
      </c>
      <c r="P29" s="1468">
        <f t="shared" si="51"/>
        <v>-8.0000000000000004E-4</v>
      </c>
      <c r="Q29" s="1468">
        <f t="shared" si="51"/>
        <v>1.24E-2</v>
      </c>
      <c r="R29" s="1469"/>
      <c r="S29" s="1467"/>
      <c r="T29" s="1468"/>
      <c r="U29" s="1468"/>
      <c r="V29" s="1468"/>
    </row>
    <row r="30" spans="1:34" ht="13.5" thickBot="1">
      <c r="A30" s="1456" t="s">
        <v>1170</v>
      </c>
      <c r="B30" s="1472">
        <f>B29/(1+N29)</f>
        <v>275.19025476197027</v>
      </c>
      <c r="C30" s="1508">
        <v>232</v>
      </c>
      <c r="D30" s="1508">
        <f t="shared" si="49"/>
        <v>232</v>
      </c>
      <c r="E30" s="1472">
        <f t="shared" si="60"/>
        <v>375.65990977608692</v>
      </c>
      <c r="F30" s="1472">
        <f t="shared" si="60"/>
        <v>214.12518283971252</v>
      </c>
      <c r="G30" s="3323"/>
      <c r="H30" s="1459">
        <v>1</v>
      </c>
      <c r="I30" s="1459">
        <v>0.02</v>
      </c>
      <c r="J30" s="1459">
        <v>0.13</v>
      </c>
      <c r="K30" s="1459">
        <v>-0.04</v>
      </c>
      <c r="L30" s="1473">
        <v>0.46</v>
      </c>
      <c r="N30" s="1467">
        <f t="shared" si="51"/>
        <v>2.0000000000000001E-4</v>
      </c>
      <c r="O30" s="1468">
        <f t="shared" si="51"/>
        <v>1.2999999999999999E-3</v>
      </c>
      <c r="P30" s="1468">
        <f t="shared" si="51"/>
        <v>-4.0000000000000002E-4</v>
      </c>
      <c r="Q30" s="1468">
        <f t="shared" si="51"/>
        <v>4.5999999999999999E-3</v>
      </c>
      <c r="R30" s="1469"/>
      <c r="S30" s="1475">
        <f>B30/B31-1</f>
        <v>6.9183549807361189E-4</v>
      </c>
      <c r="T30" s="1476">
        <f>C30/C31-1</f>
        <v>0</v>
      </c>
      <c r="U30" s="1476">
        <f>E30/E31-1</f>
        <v>-9.0449527636460303E-4</v>
      </c>
      <c r="V30" s="1476">
        <f>F30/F31-1</f>
        <v>5.2825485432512753E-3</v>
      </c>
      <c r="X30" s="1455"/>
      <c r="Y30" s="1455"/>
      <c r="Z30" s="1455"/>
    </row>
    <row r="31" spans="1:34" ht="13.5" thickBot="1">
      <c r="A31" s="1456" t="s">
        <v>1171</v>
      </c>
      <c r="B31" s="1464">
        <v>275</v>
      </c>
      <c r="C31" s="1464">
        <v>232</v>
      </c>
      <c r="D31" s="1464">
        <f t="shared" si="49"/>
        <v>232</v>
      </c>
      <c r="E31" s="1464">
        <v>376</v>
      </c>
      <c r="F31" s="1465">
        <v>213</v>
      </c>
      <c r="G31" s="3321">
        <v>2011</v>
      </c>
      <c r="H31" s="1477">
        <v>4</v>
      </c>
      <c r="I31" s="1477">
        <v>-0.2</v>
      </c>
      <c r="J31" s="1477">
        <v>0.04</v>
      </c>
      <c r="K31" s="1477">
        <v>-0.34</v>
      </c>
      <c r="L31" s="1478">
        <v>0.46</v>
      </c>
      <c r="N31" s="1479">
        <f t="shared" si="51"/>
        <v>-2E-3</v>
      </c>
      <c r="O31" s="1480">
        <f t="shared" si="51"/>
        <v>4.0000000000000002E-4</v>
      </c>
      <c r="P31" s="1480">
        <f t="shared" si="51"/>
        <v>-3.4000000000000002E-3</v>
      </c>
      <c r="Q31" s="1480">
        <f t="shared" si="51"/>
        <v>4.5999999999999999E-3</v>
      </c>
      <c r="R31" s="1469"/>
      <c r="S31" s="1470"/>
      <c r="T31" s="1471"/>
      <c r="U31" s="1471"/>
      <c r="V31" s="1471"/>
      <c r="X31" s="1471"/>
      <c r="Y31" s="1471"/>
      <c r="Z31" s="1471"/>
    </row>
    <row r="32" spans="1:34">
      <c r="A32" s="1456" t="s">
        <v>1172</v>
      </c>
      <c r="B32" s="1472">
        <f t="shared" ref="B32:C34" si="61">B31/(1+N31)</f>
        <v>275.55110220440883</v>
      </c>
      <c r="C32" s="1472">
        <f t="shared" si="61"/>
        <v>231.90723710515795</v>
      </c>
      <c r="D32" s="1472">
        <f t="shared" si="49"/>
        <v>231.90723710515795</v>
      </c>
      <c r="E32" s="1472">
        <f t="shared" ref="E32:F34" si="62">E31/(1+P31)</f>
        <v>377.28276138872161</v>
      </c>
      <c r="F32" s="1472">
        <f t="shared" si="62"/>
        <v>212.02468644236512</v>
      </c>
      <c r="G32" s="3322">
        <v>2011</v>
      </c>
      <c r="H32" s="1482">
        <v>3</v>
      </c>
      <c r="I32" s="1482">
        <v>0.13</v>
      </c>
      <c r="J32" s="1482">
        <v>0.75</v>
      </c>
      <c r="K32" s="1482">
        <v>-0.08</v>
      </c>
      <c r="L32" s="1483">
        <v>0.53</v>
      </c>
      <c r="N32" s="1467">
        <f t="shared" si="51"/>
        <v>1.2999999999999999E-3</v>
      </c>
      <c r="O32" s="1484">
        <f t="shared" si="51"/>
        <v>7.4999999999999997E-3</v>
      </c>
      <c r="P32" s="1484">
        <f t="shared" si="51"/>
        <v>-8.0000000000000004E-4</v>
      </c>
      <c r="Q32" s="1484">
        <f t="shared" si="51"/>
        <v>5.3E-3</v>
      </c>
      <c r="R32" s="1469"/>
      <c r="S32" s="1467"/>
      <c r="T32" s="1468"/>
      <c r="U32" s="1468"/>
      <c r="V32" s="1468"/>
    </row>
    <row r="33" spans="1:26">
      <c r="A33" s="1456" t="s">
        <v>1173</v>
      </c>
      <c r="B33" s="1472">
        <f t="shared" si="61"/>
        <v>275.19335084830601</v>
      </c>
      <c r="C33" s="1472">
        <f t="shared" si="61"/>
        <v>230.18088050139744</v>
      </c>
      <c r="D33" s="1472">
        <f t="shared" si="49"/>
        <v>230.18088050139744</v>
      </c>
      <c r="E33" s="1472">
        <f t="shared" si="62"/>
        <v>377.58482925212331</v>
      </c>
      <c r="F33" s="1472">
        <f t="shared" si="62"/>
        <v>210.90687997847917</v>
      </c>
      <c r="G33" s="3322">
        <v>2011</v>
      </c>
      <c r="H33" s="1460">
        <v>2</v>
      </c>
      <c r="I33" s="1460">
        <v>-0.4</v>
      </c>
      <c r="J33" s="1460">
        <v>0.17</v>
      </c>
      <c r="K33" s="1460">
        <v>-0.57999999999999996</v>
      </c>
      <c r="L33" s="1474">
        <v>-0.2</v>
      </c>
      <c r="N33" s="1467">
        <f t="shared" si="51"/>
        <v>-4.0000000000000001E-3</v>
      </c>
      <c r="O33" s="1484">
        <f t="shared" si="51"/>
        <v>1.7000000000000001E-3</v>
      </c>
      <c r="P33" s="1484">
        <f t="shared" si="51"/>
        <v>-5.7999999999999996E-3</v>
      </c>
      <c r="Q33" s="1484">
        <f t="shared" si="51"/>
        <v>-2E-3</v>
      </c>
      <c r="R33" s="1469"/>
      <c r="S33" s="1467"/>
      <c r="T33" s="1468"/>
      <c r="U33" s="1468"/>
      <c r="V33" s="1468"/>
    </row>
    <row r="34" spans="1:26" ht="13.5" thickBot="1">
      <c r="A34" s="1456" t="s">
        <v>1174</v>
      </c>
      <c r="B34" s="1472">
        <f t="shared" si="61"/>
        <v>276.29854502841971</v>
      </c>
      <c r="C34" s="1472">
        <f t="shared" si="61"/>
        <v>229.79023709833027</v>
      </c>
      <c r="D34" s="1472">
        <f t="shared" si="49"/>
        <v>229.79023709833027</v>
      </c>
      <c r="E34" s="1472">
        <f t="shared" si="62"/>
        <v>379.78759731655936</v>
      </c>
      <c r="F34" s="1472">
        <f t="shared" si="62"/>
        <v>211.32953905659235</v>
      </c>
      <c r="G34" s="3323">
        <v>2011</v>
      </c>
      <c r="H34" s="1459">
        <v>1</v>
      </c>
      <c r="I34" s="1459">
        <v>2.65</v>
      </c>
      <c r="J34" s="1459">
        <v>3.76</v>
      </c>
      <c r="K34" s="1459">
        <v>1.89</v>
      </c>
      <c r="L34" s="1473">
        <v>7.95</v>
      </c>
      <c r="N34" s="1475">
        <f t="shared" si="51"/>
        <v>2.6499999999999999E-2</v>
      </c>
      <c r="O34" s="1476">
        <f t="shared" si="51"/>
        <v>3.7599999999999995E-2</v>
      </c>
      <c r="P34" s="1476">
        <f t="shared" si="51"/>
        <v>1.89E-2</v>
      </c>
      <c r="Q34" s="1476">
        <f t="shared" si="51"/>
        <v>7.9500000000000001E-2</v>
      </c>
      <c r="R34" s="1469"/>
      <c r="S34" s="1475">
        <f>B34/B35-1</f>
        <v>2.713213765211786E-2</v>
      </c>
      <c r="T34" s="1476">
        <f>C34/C35-1</f>
        <v>3.9774828499231862E-2</v>
      </c>
      <c r="U34" s="1476">
        <f>E34/E35-1</f>
        <v>1.8197311840641772E-2</v>
      </c>
      <c r="V34" s="1476">
        <f>F34/F35-1</f>
        <v>7.8211933962205826E-2</v>
      </c>
      <c r="X34" s="1455"/>
      <c r="Y34" s="1455"/>
      <c r="Z34" s="1455"/>
    </row>
    <row r="35" spans="1:26" ht="13.5" thickBot="1">
      <c r="A35" s="1456" t="s">
        <v>1175</v>
      </c>
      <c r="B35" s="1464">
        <v>269</v>
      </c>
      <c r="C35" s="1464">
        <v>221</v>
      </c>
      <c r="D35" s="1464">
        <f t="shared" si="49"/>
        <v>221</v>
      </c>
      <c r="E35" s="1464">
        <v>373</v>
      </c>
      <c r="F35" s="1465">
        <v>196</v>
      </c>
      <c r="G35" s="3321">
        <v>2010</v>
      </c>
      <c r="H35" s="1477">
        <v>4</v>
      </c>
      <c r="I35" s="1477">
        <v>5.72</v>
      </c>
      <c r="J35" s="1477">
        <v>6.57</v>
      </c>
      <c r="K35" s="1477">
        <v>5.72</v>
      </c>
      <c r="L35" s="1478">
        <v>2.72</v>
      </c>
      <c r="N35" s="1467">
        <f t="shared" si="51"/>
        <v>5.7200000000000001E-2</v>
      </c>
      <c r="O35" s="1468">
        <f t="shared" si="51"/>
        <v>6.5700000000000008E-2</v>
      </c>
      <c r="P35" s="1468">
        <f t="shared" si="51"/>
        <v>5.7200000000000001E-2</v>
      </c>
      <c r="Q35" s="1468">
        <f t="shared" si="51"/>
        <v>2.7200000000000002E-2</v>
      </c>
      <c r="R35" s="1469"/>
      <c r="S35" s="1470"/>
      <c r="T35" s="1471"/>
      <c r="U35" s="1471"/>
      <c r="V35" s="1471"/>
      <c r="X35" s="1471"/>
      <c r="Y35" s="1471"/>
      <c r="Z35" s="1471"/>
    </row>
    <row r="36" spans="1:26">
      <c r="A36" s="1456" t="s">
        <v>1176</v>
      </c>
      <c r="B36" s="1472">
        <f t="shared" ref="B36:C38" si="63">B35/(1+N35)</f>
        <v>254.44570563753314</v>
      </c>
      <c r="C36" s="1472">
        <f t="shared" si="63"/>
        <v>207.37543398705074</v>
      </c>
      <c r="D36" s="1472">
        <f t="shared" si="49"/>
        <v>207.37543398705074</v>
      </c>
      <c r="E36" s="1472">
        <f t="shared" ref="E36:F38" si="64">E35/(1+P35)</f>
        <v>352.81876655315932</v>
      </c>
      <c r="F36" s="1472">
        <f t="shared" si="64"/>
        <v>190.809968847352</v>
      </c>
      <c r="G36" s="3322">
        <v>2010</v>
      </c>
      <c r="H36" s="1482">
        <v>3</v>
      </c>
      <c r="I36" s="1482">
        <v>4.7300000000000004</v>
      </c>
      <c r="J36" s="1482">
        <v>3.9</v>
      </c>
      <c r="K36" s="1482">
        <v>5.03</v>
      </c>
      <c r="L36" s="1483">
        <v>4.21</v>
      </c>
      <c r="N36" s="1467">
        <f t="shared" si="51"/>
        <v>4.7300000000000002E-2</v>
      </c>
      <c r="O36" s="1468">
        <f t="shared" si="51"/>
        <v>3.9E-2</v>
      </c>
      <c r="P36" s="1468">
        <f t="shared" si="51"/>
        <v>5.0300000000000004E-2</v>
      </c>
      <c r="Q36" s="1468">
        <f t="shared" si="51"/>
        <v>4.2099999999999999E-2</v>
      </c>
      <c r="R36" s="1469"/>
      <c r="S36" s="1467"/>
      <c r="T36" s="1468"/>
      <c r="U36" s="1468"/>
      <c r="V36" s="1468"/>
    </row>
    <row r="37" spans="1:26">
      <c r="A37" s="1456" t="s">
        <v>1177</v>
      </c>
      <c r="B37" s="1472">
        <f t="shared" si="63"/>
        <v>242.95398227588385</v>
      </c>
      <c r="C37" s="1472">
        <f t="shared" si="63"/>
        <v>199.59137053614126</v>
      </c>
      <c r="D37" s="1472">
        <f t="shared" si="49"/>
        <v>199.59137053614126</v>
      </c>
      <c r="E37" s="1472">
        <f t="shared" si="64"/>
        <v>335.92189522342125</v>
      </c>
      <c r="F37" s="1472">
        <f t="shared" si="64"/>
        <v>183.10139991109489</v>
      </c>
      <c r="G37" s="3322">
        <v>2010</v>
      </c>
      <c r="H37" s="1460">
        <v>2</v>
      </c>
      <c r="I37" s="1460">
        <v>4.6900000000000004</v>
      </c>
      <c r="J37" s="1460">
        <v>3.55</v>
      </c>
      <c r="K37" s="1460">
        <v>5.07</v>
      </c>
      <c r="L37" s="1474">
        <v>4.2300000000000004</v>
      </c>
      <c r="N37" s="1467">
        <f t="shared" si="51"/>
        <v>4.6900000000000004E-2</v>
      </c>
      <c r="O37" s="1468">
        <f t="shared" si="51"/>
        <v>3.5499999999999997E-2</v>
      </c>
      <c r="P37" s="1468">
        <f t="shared" si="51"/>
        <v>5.0700000000000002E-2</v>
      </c>
      <c r="Q37" s="1468">
        <f t="shared" si="51"/>
        <v>4.2300000000000004E-2</v>
      </c>
      <c r="R37" s="1469"/>
      <c r="S37" s="1467"/>
      <c r="T37" s="1468"/>
      <c r="U37" s="1468"/>
      <c r="V37" s="1468"/>
    </row>
    <row r="38" spans="1:26" ht="13.5" thickBot="1">
      <c r="A38" s="1456" t="s">
        <v>1178</v>
      </c>
      <c r="B38" s="1472">
        <f t="shared" si="63"/>
        <v>232.06990378821649</v>
      </c>
      <c r="C38" s="1472">
        <f t="shared" si="63"/>
        <v>192.74878854286936</v>
      </c>
      <c r="D38" s="1472">
        <f t="shared" si="49"/>
        <v>192.74878854286936</v>
      </c>
      <c r="E38" s="1472">
        <f t="shared" si="64"/>
        <v>319.71247284992984</v>
      </c>
      <c r="F38" s="1472">
        <f t="shared" si="64"/>
        <v>175.67053622862409</v>
      </c>
      <c r="G38" s="3323">
        <v>2010</v>
      </c>
      <c r="H38" s="1459">
        <v>1</v>
      </c>
      <c r="I38" s="1459">
        <v>5.4</v>
      </c>
      <c r="J38" s="1459">
        <v>3.2</v>
      </c>
      <c r="K38" s="1459">
        <v>6.16</v>
      </c>
      <c r="L38" s="1473">
        <v>4.51</v>
      </c>
      <c r="N38" s="1467">
        <f t="shared" si="51"/>
        <v>5.4000000000000006E-2</v>
      </c>
      <c r="O38" s="1468">
        <f t="shared" si="51"/>
        <v>3.2000000000000001E-2</v>
      </c>
      <c r="P38" s="1468">
        <f t="shared" si="51"/>
        <v>6.1600000000000002E-2</v>
      </c>
      <c r="Q38" s="1468">
        <f t="shared" si="51"/>
        <v>4.5100000000000001E-2</v>
      </c>
      <c r="R38" s="1469"/>
      <c r="S38" s="1475">
        <f>B38/B39-1</f>
        <v>5.4863199037347599E-2</v>
      </c>
      <c r="T38" s="1476">
        <f>C38/C39-1</f>
        <v>3.0742184721226584E-2</v>
      </c>
      <c r="U38" s="1476">
        <f>E38/E39-1</f>
        <v>6.2167683886810154E-2</v>
      </c>
      <c r="V38" s="1476">
        <f>F38/F39-1</f>
        <v>4.5657953741810031E-2</v>
      </c>
      <c r="X38" s="1455"/>
      <c r="Y38" s="1455"/>
      <c r="Z38" s="1455"/>
    </row>
    <row r="39" spans="1:26" ht="13.5" thickBot="1">
      <c r="A39" s="1456" t="s">
        <v>1179</v>
      </c>
      <c r="B39" s="1464">
        <v>220</v>
      </c>
      <c r="C39" s="1464">
        <v>187</v>
      </c>
      <c r="D39" s="1464">
        <f t="shared" si="49"/>
        <v>187</v>
      </c>
      <c r="E39" s="1464">
        <v>301</v>
      </c>
      <c r="F39" s="1465">
        <v>168</v>
      </c>
      <c r="G39" s="3321">
        <v>2009</v>
      </c>
      <c r="H39" s="1477">
        <v>4</v>
      </c>
      <c r="I39" s="1477">
        <v>2.2999999999999998</v>
      </c>
      <c r="J39" s="1477">
        <v>1.04</v>
      </c>
      <c r="K39" s="1477">
        <v>2.84</v>
      </c>
      <c r="L39" s="1478">
        <v>0.67</v>
      </c>
      <c r="N39" s="1479">
        <f t="shared" si="51"/>
        <v>2.3E-2</v>
      </c>
      <c r="O39" s="1480">
        <f t="shared" si="51"/>
        <v>1.04E-2</v>
      </c>
      <c r="P39" s="1480">
        <f t="shared" si="51"/>
        <v>2.8399999999999998E-2</v>
      </c>
      <c r="Q39" s="1480">
        <f t="shared" si="51"/>
        <v>6.7000000000000002E-3</v>
      </c>
      <c r="R39" s="1469"/>
      <c r="S39" s="1470"/>
      <c r="T39" s="1471"/>
      <c r="U39" s="1471"/>
      <c r="V39" s="1471"/>
      <c r="X39" s="1471"/>
      <c r="Y39" s="1471"/>
      <c r="Z39" s="1471"/>
    </row>
    <row r="40" spans="1:26">
      <c r="A40" s="1456" t="s">
        <v>1180</v>
      </c>
      <c r="B40" s="1472">
        <f t="shared" ref="B40:C42" si="65">B39/(1+N39)</f>
        <v>215.05376344086022</v>
      </c>
      <c r="C40" s="1472">
        <f t="shared" si="65"/>
        <v>185.0752177355503</v>
      </c>
      <c r="D40" s="1472">
        <f t="shared" si="49"/>
        <v>185.0752177355503</v>
      </c>
      <c r="E40" s="1472">
        <f t="shared" ref="E40:F42" si="66">E39/(1+P39)</f>
        <v>292.68767016725008</v>
      </c>
      <c r="F40" s="1472">
        <f t="shared" si="66"/>
        <v>166.88189132810174</v>
      </c>
      <c r="G40" s="3322">
        <v>2009</v>
      </c>
      <c r="H40" s="1482">
        <v>3</v>
      </c>
      <c r="I40" s="1482">
        <v>2.1</v>
      </c>
      <c r="J40" s="1482">
        <v>1.86</v>
      </c>
      <c r="K40" s="1482">
        <v>2.29</v>
      </c>
      <c r="L40" s="1483">
        <v>0.85</v>
      </c>
      <c r="N40" s="1467">
        <f t="shared" si="51"/>
        <v>2.1000000000000001E-2</v>
      </c>
      <c r="O40" s="1484">
        <f t="shared" si="51"/>
        <v>1.8600000000000002E-2</v>
      </c>
      <c r="P40" s="1484">
        <f t="shared" si="51"/>
        <v>2.29E-2</v>
      </c>
      <c r="Q40" s="1484">
        <f t="shared" si="51"/>
        <v>8.5000000000000006E-3</v>
      </c>
      <c r="R40" s="1469"/>
      <c r="S40" s="1467"/>
      <c r="T40" s="1468"/>
      <c r="U40" s="1468"/>
      <c r="V40" s="1468"/>
    </row>
    <row r="41" spans="1:26">
      <c r="A41" s="1456" t="s">
        <v>1181</v>
      </c>
      <c r="B41" s="1472">
        <f t="shared" si="65"/>
        <v>210.630522469011</v>
      </c>
      <c r="C41" s="1472">
        <f t="shared" si="65"/>
        <v>181.69567812247232</v>
      </c>
      <c r="D41" s="1472">
        <f t="shared" si="49"/>
        <v>181.69567812247232</v>
      </c>
      <c r="E41" s="1472">
        <f t="shared" si="66"/>
        <v>286.13517466736738</v>
      </c>
      <c r="F41" s="1472">
        <f t="shared" si="66"/>
        <v>165.47535084591149</v>
      </c>
      <c r="G41" s="3322">
        <v>2009</v>
      </c>
      <c r="H41" s="1460">
        <v>2</v>
      </c>
      <c r="I41" s="1460">
        <v>0.86</v>
      </c>
      <c r="J41" s="1460">
        <v>-1.1299999999999999</v>
      </c>
      <c r="K41" s="1460">
        <v>1.79</v>
      </c>
      <c r="L41" s="1474">
        <v>-2.0699999999999998</v>
      </c>
      <c r="N41" s="1467">
        <f t="shared" si="51"/>
        <v>8.6E-3</v>
      </c>
      <c r="O41" s="1484">
        <f t="shared" si="51"/>
        <v>-1.1299999999999999E-2</v>
      </c>
      <c r="P41" s="1484">
        <f t="shared" si="51"/>
        <v>1.7899999999999999E-2</v>
      </c>
      <c r="Q41" s="1484">
        <f t="shared" si="51"/>
        <v>-2.07E-2</v>
      </c>
      <c r="R41" s="1469"/>
      <c r="S41" s="1467"/>
      <c r="T41" s="1468"/>
      <c r="U41" s="1468"/>
      <c r="V41" s="1468"/>
    </row>
    <row r="42" spans="1:26">
      <c r="A42" s="1456" t="s">
        <v>1182</v>
      </c>
      <c r="B42" s="1472">
        <f t="shared" si="65"/>
        <v>208.83454537875372</v>
      </c>
      <c r="C42" s="1472">
        <f t="shared" si="65"/>
        <v>183.77230517090351</v>
      </c>
      <c r="D42" s="1472">
        <f t="shared" si="49"/>
        <v>183.77230517090351</v>
      </c>
      <c r="E42" s="1472">
        <f t="shared" si="66"/>
        <v>281.10342338870947</v>
      </c>
      <c r="F42" s="1472">
        <f t="shared" si="66"/>
        <v>168.97309388942256</v>
      </c>
      <c r="G42" s="3323">
        <v>2009</v>
      </c>
      <c r="H42" s="1459">
        <v>1</v>
      </c>
      <c r="I42" s="1459">
        <v>-2.64</v>
      </c>
      <c r="J42" s="1459">
        <v>-2.5299999999999998</v>
      </c>
      <c r="K42" s="1459">
        <v>-3.02</v>
      </c>
      <c r="L42" s="1473">
        <v>1.52</v>
      </c>
      <c r="N42" s="1475">
        <f t="shared" si="51"/>
        <v>-2.64E-2</v>
      </c>
      <c r="O42" s="1476">
        <f t="shared" si="51"/>
        <v>-2.53E-2</v>
      </c>
      <c r="P42" s="1476">
        <f t="shared" si="51"/>
        <v>-3.0200000000000001E-2</v>
      </c>
      <c r="Q42" s="1476">
        <f t="shared" si="51"/>
        <v>1.52E-2</v>
      </c>
      <c r="R42" s="1469"/>
      <c r="S42" s="1475">
        <f>B42/B43-1</f>
        <v>-2.4137638417038754E-2</v>
      </c>
      <c r="T42" s="1476">
        <f>C42/C43-1</f>
        <v>-2.248773845264096E-2</v>
      </c>
      <c r="U42" s="1476">
        <f>E42/E43-1</f>
        <v>-2.7323794502735366E-2</v>
      </c>
      <c r="V42" s="1476">
        <f>F42/F43-1</f>
        <v>1.7910204153148035E-2</v>
      </c>
      <c r="X42" s="1455"/>
      <c r="Y42" s="1455"/>
      <c r="Z42" s="1455"/>
    </row>
    <row r="43" spans="1:26" ht="13.5" thickBot="1">
      <c r="A43" s="1456" t="s">
        <v>1183</v>
      </c>
      <c r="B43" s="1506">
        <v>214</v>
      </c>
      <c r="C43" s="1506">
        <v>188</v>
      </c>
      <c r="D43" s="1506">
        <f t="shared" si="49"/>
        <v>188</v>
      </c>
      <c r="E43" s="1506">
        <v>289</v>
      </c>
      <c r="F43" s="1507">
        <v>166</v>
      </c>
      <c r="G43" s="3321">
        <v>2008</v>
      </c>
      <c r="H43" s="1477">
        <v>4</v>
      </c>
      <c r="I43" s="1477">
        <v>1.73</v>
      </c>
      <c r="J43" s="1477">
        <v>0.03</v>
      </c>
      <c r="K43" s="1477">
        <v>2.59</v>
      </c>
      <c r="L43" s="1478">
        <v>-1.66</v>
      </c>
      <c r="N43" s="1467">
        <f t="shared" si="51"/>
        <v>1.7299999999999999E-2</v>
      </c>
      <c r="O43" s="1468">
        <f t="shared" si="51"/>
        <v>2.9999999999999997E-4</v>
      </c>
      <c r="P43" s="1468">
        <f t="shared" si="51"/>
        <v>2.5899999999999999E-2</v>
      </c>
      <c r="Q43" s="1468">
        <f t="shared" si="51"/>
        <v>-1.66E-2</v>
      </c>
      <c r="R43" s="1469"/>
      <c r="S43" s="1470"/>
      <c r="T43" s="1471"/>
      <c r="U43" s="1471"/>
      <c r="V43" s="1471"/>
      <c r="X43" s="1471"/>
      <c r="Y43" s="1471"/>
      <c r="Z43" s="1471"/>
    </row>
    <row r="44" spans="1:26">
      <c r="A44" s="1456" t="s">
        <v>1184</v>
      </c>
      <c r="B44" s="1472">
        <f t="shared" ref="B44:C46" si="67">B43/(1+N43)</f>
        <v>210.36075887152265</v>
      </c>
      <c r="C44" s="1472">
        <f t="shared" si="67"/>
        <v>187.94361691492554</v>
      </c>
      <c r="D44" s="1472">
        <f t="shared" si="49"/>
        <v>187.94361691492554</v>
      </c>
      <c r="E44" s="1472">
        <f t="shared" ref="E44:F46" si="68">E43/(1+P43)</f>
        <v>281.70386977288234</v>
      </c>
      <c r="F44" s="1472">
        <f t="shared" si="68"/>
        <v>168.80211511083994</v>
      </c>
      <c r="G44" s="3322">
        <v>2008</v>
      </c>
      <c r="H44" s="1482">
        <v>3</v>
      </c>
      <c r="I44" s="1482">
        <v>1.96</v>
      </c>
      <c r="J44" s="1482">
        <v>2.36</v>
      </c>
      <c r="K44" s="1482">
        <v>1.82</v>
      </c>
      <c r="L44" s="1483">
        <v>2.2200000000000002</v>
      </c>
      <c r="N44" s="1467">
        <f t="shared" si="51"/>
        <v>1.9599999999999999E-2</v>
      </c>
      <c r="O44" s="1468">
        <f t="shared" si="51"/>
        <v>2.3599999999999999E-2</v>
      </c>
      <c r="P44" s="1468">
        <f t="shared" si="51"/>
        <v>1.8200000000000001E-2</v>
      </c>
      <c r="Q44" s="1468">
        <f t="shared" si="51"/>
        <v>2.2200000000000001E-2</v>
      </c>
      <c r="R44" s="1469"/>
      <c r="S44" s="1467"/>
      <c r="T44" s="1468"/>
      <c r="U44" s="1468"/>
      <c r="V44" s="1468"/>
    </row>
    <row r="45" spans="1:26">
      <c r="A45" s="1456" t="s">
        <v>1185</v>
      </c>
      <c r="B45" s="1472">
        <f t="shared" si="67"/>
        <v>206.31694671589116</v>
      </c>
      <c r="C45" s="1472">
        <f t="shared" si="67"/>
        <v>183.61041121036101</v>
      </c>
      <c r="D45" s="1472">
        <f t="shared" si="49"/>
        <v>183.61041121036101</v>
      </c>
      <c r="E45" s="1472">
        <f t="shared" si="68"/>
        <v>276.66850301795557</v>
      </c>
      <c r="F45" s="1472">
        <f t="shared" si="68"/>
        <v>165.1360938278614</v>
      </c>
      <c r="G45" s="3322">
        <v>2008</v>
      </c>
      <c r="H45" s="1460">
        <v>2</v>
      </c>
      <c r="I45" s="1460">
        <v>4.93</v>
      </c>
      <c r="J45" s="1460">
        <v>7.38</v>
      </c>
      <c r="K45" s="1460">
        <v>3.98</v>
      </c>
      <c r="L45" s="1474">
        <v>6.86</v>
      </c>
      <c r="N45" s="1467">
        <f t="shared" si="51"/>
        <v>4.9299999999999997E-2</v>
      </c>
      <c r="O45" s="1468">
        <f t="shared" si="51"/>
        <v>7.3800000000000004E-2</v>
      </c>
      <c r="P45" s="1468">
        <f t="shared" si="51"/>
        <v>3.9800000000000002E-2</v>
      </c>
      <c r="Q45" s="1468">
        <f t="shared" si="51"/>
        <v>6.8600000000000008E-2</v>
      </c>
      <c r="R45" s="1469"/>
      <c r="S45" s="1467"/>
      <c r="T45" s="1468"/>
      <c r="U45" s="1468"/>
      <c r="V45" s="1468"/>
    </row>
    <row r="46" spans="1:26" s="1512" customFormat="1" ht="13.5" thickBot="1">
      <c r="A46" s="1456" t="s">
        <v>1186</v>
      </c>
      <c r="B46" s="1509">
        <f t="shared" si="67"/>
        <v>196.62341248059772</v>
      </c>
      <c r="C46" s="1509">
        <f t="shared" si="67"/>
        <v>170.99125648199012</v>
      </c>
      <c r="D46" s="1509">
        <f t="shared" si="49"/>
        <v>170.99125648199012</v>
      </c>
      <c r="E46" s="1509">
        <f t="shared" si="68"/>
        <v>266.07857570490052</v>
      </c>
      <c r="F46" s="1509">
        <f t="shared" si="68"/>
        <v>154.53499328828505</v>
      </c>
      <c r="G46" s="3323">
        <v>2008</v>
      </c>
      <c r="H46" s="1510">
        <v>1</v>
      </c>
      <c r="I46" s="1510">
        <v>4.1399999999999997</v>
      </c>
      <c r="J46" s="1510">
        <v>3.45</v>
      </c>
      <c r="K46" s="1510">
        <v>4.95</v>
      </c>
      <c r="L46" s="1511">
        <v>4.82</v>
      </c>
      <c r="N46" s="1513">
        <f t="shared" si="51"/>
        <v>4.1399999999999999E-2</v>
      </c>
      <c r="O46" s="1514">
        <f t="shared" si="51"/>
        <v>3.4500000000000003E-2</v>
      </c>
      <c r="P46" s="1514">
        <f t="shared" si="51"/>
        <v>4.9500000000000002E-2</v>
      </c>
      <c r="Q46" s="1514">
        <f t="shared" si="51"/>
        <v>4.82E-2</v>
      </c>
      <c r="R46" s="1515"/>
      <c r="S46" s="1513">
        <f>B46/B47-1</f>
        <v>4.5869215322328349E-2</v>
      </c>
      <c r="T46" s="1514">
        <f>C46/C47-1</f>
        <v>3.6310645345394743E-2</v>
      </c>
      <c r="U46" s="1514">
        <f>E46/E47-1</f>
        <v>4.7553447657088688E-2</v>
      </c>
      <c r="V46" s="1514">
        <f>F46/F47-1</f>
        <v>4.4155360055980086E-2</v>
      </c>
      <c r="X46" s="1516"/>
      <c r="Y46" s="1516"/>
      <c r="Z46" s="1516"/>
    </row>
    <row r="47" spans="1:26" ht="13.5" thickBot="1">
      <c r="A47" s="1456" t="s">
        <v>1187</v>
      </c>
      <c r="B47" s="1464">
        <v>188</v>
      </c>
      <c r="C47" s="1464">
        <v>165</v>
      </c>
      <c r="D47" s="1464">
        <f t="shared" si="49"/>
        <v>165</v>
      </c>
      <c r="E47" s="1464">
        <v>254</v>
      </c>
      <c r="F47" s="1465">
        <v>148</v>
      </c>
      <c r="G47" s="3321">
        <v>2007</v>
      </c>
      <c r="H47" s="1517">
        <v>4</v>
      </c>
      <c r="I47" s="1517">
        <v>5.51</v>
      </c>
      <c r="J47" s="1517">
        <v>4.8899999999999997</v>
      </c>
      <c r="K47" s="1517">
        <v>6.43</v>
      </c>
      <c r="L47" s="1518">
        <v>5.36</v>
      </c>
      <c r="N47" s="1519">
        <f t="shared" ref="N47:O50" si="69">B47/B48-1</f>
        <v>4.1339718365245526E-2</v>
      </c>
      <c r="O47" s="1520">
        <f t="shared" si="69"/>
        <v>4.0324492593776018E-2</v>
      </c>
      <c r="P47" s="1520">
        <f t="shared" ref="P47:Q50" si="70">E47/E48-1</f>
        <v>6.1625555347990968E-2</v>
      </c>
      <c r="Q47" s="1520">
        <f t="shared" si="70"/>
        <v>4.6757569250590603E-2</v>
      </c>
      <c r="R47" s="1469"/>
      <c r="S47" s="1470"/>
      <c r="T47" s="1471"/>
      <c r="U47" s="1471"/>
      <c r="V47" s="1471"/>
      <c r="X47" s="1471"/>
      <c r="Y47" s="1471"/>
      <c r="Z47" s="1471"/>
    </row>
    <row r="48" spans="1:26">
      <c r="A48" s="1456" t="s">
        <v>1188</v>
      </c>
      <c r="B48" s="1472">
        <f t="shared" ref="B48:C50" si="71">B49+(B$47-B$51)*I48/SUM(I$47:I$50)</f>
        <v>180.5366651097618</v>
      </c>
      <c r="C48" s="1472">
        <f t="shared" si="71"/>
        <v>158.60435967302453</v>
      </c>
      <c r="D48" s="1472">
        <f t="shared" si="49"/>
        <v>158.60435967302453</v>
      </c>
      <c r="E48" s="1472">
        <f t="shared" ref="E48:F50" si="72">E49+(E$47-E$51)*K48/SUM(K$47:K$50)</f>
        <v>239.25573260785075</v>
      </c>
      <c r="F48" s="1472">
        <f t="shared" si="72"/>
        <v>141.38899430740037</v>
      </c>
      <c r="G48" s="3322">
        <v>2007</v>
      </c>
      <c r="H48" s="1482">
        <v>3</v>
      </c>
      <c r="I48" s="1482">
        <v>8.65</v>
      </c>
      <c r="J48" s="1482">
        <v>8.06</v>
      </c>
      <c r="K48" s="1482">
        <v>9.94</v>
      </c>
      <c r="L48" s="1483">
        <v>5.8</v>
      </c>
      <c r="N48" s="1519">
        <f t="shared" si="69"/>
        <v>6.940217571740015E-2</v>
      </c>
      <c r="O48" s="1520">
        <f t="shared" si="69"/>
        <v>7.1197482471153428E-2</v>
      </c>
      <c r="P48" s="1520">
        <f t="shared" si="70"/>
        <v>0.10529679922579582</v>
      </c>
      <c r="Q48" s="1520">
        <f t="shared" si="70"/>
        <v>5.3292245059512133E-2</v>
      </c>
      <c r="R48" s="1469"/>
      <c r="S48" s="1467"/>
      <c r="T48" s="1468"/>
      <c r="U48" s="1468"/>
      <c r="V48" s="1468"/>
      <c r="X48" s="1521"/>
      <c r="Y48" s="1521"/>
      <c r="Z48" s="1521"/>
    </row>
    <row r="49" spans="1:26">
      <c r="A49" s="1456" t="s">
        <v>1189</v>
      </c>
      <c r="B49" s="1472">
        <f t="shared" si="71"/>
        <v>168.82017748715555</v>
      </c>
      <c r="C49" s="1472">
        <f t="shared" si="71"/>
        <v>148.06267029972753</v>
      </c>
      <c r="D49" s="1472">
        <f t="shared" si="49"/>
        <v>148.06267029972753</v>
      </c>
      <c r="E49" s="1472">
        <f t="shared" si="72"/>
        <v>216.46288379323747</v>
      </c>
      <c r="F49" s="1472">
        <f t="shared" si="72"/>
        <v>134.23529411764704</v>
      </c>
      <c r="G49" s="3322">
        <v>2007</v>
      </c>
      <c r="H49" s="1460">
        <v>2</v>
      </c>
      <c r="I49" s="1460">
        <v>3.67</v>
      </c>
      <c r="J49" s="1460">
        <v>2.3199999999999998</v>
      </c>
      <c r="K49" s="1460">
        <v>5.0199999999999996</v>
      </c>
      <c r="L49" s="1474">
        <v>6.71</v>
      </c>
      <c r="N49" s="1519">
        <f t="shared" si="69"/>
        <v>3.0339138143848032E-2</v>
      </c>
      <c r="O49" s="1520">
        <f t="shared" si="69"/>
        <v>2.0922341588790472E-2</v>
      </c>
      <c r="P49" s="1520">
        <f t="shared" si="70"/>
        <v>5.6164796592717003E-2</v>
      </c>
      <c r="Q49" s="1520">
        <f t="shared" si="70"/>
        <v>6.5704536723887319E-2</v>
      </c>
      <c r="R49" s="1469"/>
      <c r="S49" s="1467"/>
      <c r="T49" s="1468"/>
      <c r="U49" s="1468"/>
      <c r="V49" s="1468"/>
      <c r="X49" s="1521"/>
      <c r="Y49" s="1521"/>
      <c r="Z49" s="1521"/>
    </row>
    <row r="50" spans="1:26">
      <c r="A50" s="1456" t="s">
        <v>1190</v>
      </c>
      <c r="B50" s="1472">
        <f t="shared" si="71"/>
        <v>163.84913591779542</v>
      </c>
      <c r="C50" s="1472">
        <f t="shared" si="71"/>
        <v>145.0283378746594</v>
      </c>
      <c r="D50" s="1472">
        <f t="shared" si="49"/>
        <v>145.0283378746594</v>
      </c>
      <c r="E50" s="1472">
        <f t="shared" si="72"/>
        <v>204.95180722891567</v>
      </c>
      <c r="F50" s="1472">
        <f t="shared" si="72"/>
        <v>125.95920303605313</v>
      </c>
      <c r="G50" s="3323">
        <v>2007</v>
      </c>
      <c r="H50" s="1459">
        <v>1</v>
      </c>
      <c r="I50" s="1459">
        <v>3.58</v>
      </c>
      <c r="J50" s="1459">
        <v>3.08</v>
      </c>
      <c r="K50" s="1459">
        <v>4.34</v>
      </c>
      <c r="L50" s="1473">
        <v>3.21</v>
      </c>
      <c r="N50" s="1522">
        <f t="shared" si="69"/>
        <v>3.0497710174814063E-2</v>
      </c>
      <c r="O50" s="1523">
        <f t="shared" si="69"/>
        <v>2.8569772160704998E-2</v>
      </c>
      <c r="P50" s="1523">
        <f t="shared" si="70"/>
        <v>5.1034908866234296E-2</v>
      </c>
      <c r="Q50" s="1523">
        <f t="shared" si="70"/>
        <v>3.245248390207478E-2</v>
      </c>
      <c r="R50" s="1469"/>
      <c r="S50" s="1475">
        <f>B50/B51-1</f>
        <v>3.0497710174814063E-2</v>
      </c>
      <c r="T50" s="1476">
        <f>C50/C51-1</f>
        <v>2.8569772160704998E-2</v>
      </c>
      <c r="U50" s="1476">
        <f>E50/E51-1</f>
        <v>5.1034908866234296E-2</v>
      </c>
      <c r="V50" s="1476">
        <f>F50/F51-1</f>
        <v>3.245248390207478E-2</v>
      </c>
      <c r="X50" s="1521"/>
      <c r="Y50" s="1521"/>
      <c r="Z50" s="1521"/>
    </row>
    <row r="51" spans="1:26" ht="13.5" thickBot="1">
      <c r="A51" s="1456" t="s">
        <v>1191</v>
      </c>
      <c r="B51" s="1485">
        <v>159</v>
      </c>
      <c r="C51" s="1485">
        <v>141</v>
      </c>
      <c r="D51" s="1485">
        <f t="shared" si="49"/>
        <v>141</v>
      </c>
      <c r="E51" s="1485">
        <v>195</v>
      </c>
      <c r="F51" s="1486">
        <v>122</v>
      </c>
      <c r="G51" s="3321">
        <v>2006</v>
      </c>
      <c r="H51" s="1477">
        <v>4</v>
      </c>
      <c r="I51" s="1477">
        <v>3.79</v>
      </c>
      <c r="J51" s="1477">
        <v>2.21</v>
      </c>
      <c r="K51" s="1477">
        <v>5.65</v>
      </c>
      <c r="L51" s="1478">
        <v>5.41</v>
      </c>
      <c r="N51" s="1519">
        <f t="shared" ref="N51:O54" si="73">I51/SUM(I$51:I$54)*(B$51/B$55-1)</f>
        <v>7.245466462748526E-2</v>
      </c>
      <c r="O51" s="1520">
        <f t="shared" si="73"/>
        <v>2.3237230038062766E-2</v>
      </c>
      <c r="P51" s="1520">
        <f t="shared" ref="P51:Q54" si="74">K51/SUM(K$51:K$54)*(E$51/E$55-1)</f>
        <v>0.16146893866323722</v>
      </c>
      <c r="Q51" s="1520">
        <f t="shared" si="74"/>
        <v>5.0755230321793784E-2</v>
      </c>
      <c r="R51" s="1469"/>
      <c r="S51" s="1470"/>
      <c r="T51" s="1471"/>
      <c r="U51" s="1471"/>
      <c r="V51" s="1471"/>
      <c r="X51" s="1521"/>
      <c r="Y51" s="1521"/>
      <c r="Z51" s="1521"/>
    </row>
    <row r="52" spans="1:26">
      <c r="A52" s="1456" t="s">
        <v>1192</v>
      </c>
      <c r="B52" s="1472">
        <f t="shared" ref="B52:C54" si="75">B53+(B$51-B$55)*I52/SUM(I$51:I$54)</f>
        <v>149.00125628140702</v>
      </c>
      <c r="C52" s="1472">
        <f t="shared" si="75"/>
        <v>137.95592286501378</v>
      </c>
      <c r="D52" s="1472">
        <f t="shared" si="49"/>
        <v>137.95592286501378</v>
      </c>
      <c r="E52" s="1472">
        <f t="shared" ref="E52:F54" si="76">E53+(E$51-E$55)*K52/SUM(K$51:K$54)</f>
        <v>169.97231450719823</v>
      </c>
      <c r="F52" s="1472">
        <f t="shared" si="76"/>
        <v>116.21390374331551</v>
      </c>
      <c r="G52" s="3322">
        <v>2006</v>
      </c>
      <c r="H52" s="1482">
        <v>3</v>
      </c>
      <c r="I52" s="1482">
        <v>0.92</v>
      </c>
      <c r="J52" s="1482">
        <v>1.08</v>
      </c>
      <c r="K52" s="1482">
        <v>0.73</v>
      </c>
      <c r="L52" s="1483">
        <v>1.08</v>
      </c>
      <c r="N52" s="1519">
        <f t="shared" si="73"/>
        <v>1.7587939698492462E-2</v>
      </c>
      <c r="O52" s="1520">
        <f t="shared" si="73"/>
        <v>1.1355750425840628E-2</v>
      </c>
      <c r="P52" s="1520">
        <f t="shared" si="74"/>
        <v>2.0862358446754544E-2</v>
      </c>
      <c r="Q52" s="1520">
        <f t="shared" si="74"/>
        <v>1.0132282578103011E-2</v>
      </c>
      <c r="R52" s="1469"/>
      <c r="S52" s="1467"/>
      <c r="T52" s="1468"/>
      <c r="U52" s="1468"/>
      <c r="V52" s="1468"/>
      <c r="X52" s="1521"/>
      <c r="Y52" s="1521"/>
      <c r="Z52" s="1521"/>
    </row>
    <row r="53" spans="1:26">
      <c r="A53" s="1456" t="s">
        <v>1193</v>
      </c>
      <c r="B53" s="1472">
        <f t="shared" si="75"/>
        <v>146.57412060301507</v>
      </c>
      <c r="C53" s="1472">
        <f t="shared" si="75"/>
        <v>136.46831955922866</v>
      </c>
      <c r="D53" s="1472">
        <f t="shared" si="49"/>
        <v>136.46831955922866</v>
      </c>
      <c r="E53" s="1472">
        <f t="shared" si="76"/>
        <v>166.73864894795128</v>
      </c>
      <c r="F53" s="1472">
        <f t="shared" si="76"/>
        <v>115.05882352941177</v>
      </c>
      <c r="G53" s="3322">
        <v>2006</v>
      </c>
      <c r="H53" s="1460">
        <v>2</v>
      </c>
      <c r="I53" s="1460">
        <v>0.96</v>
      </c>
      <c r="J53" s="1460">
        <v>0.25</v>
      </c>
      <c r="K53" s="1460">
        <v>1.9</v>
      </c>
      <c r="L53" s="1474">
        <v>0.95</v>
      </c>
      <c r="N53" s="1519">
        <f t="shared" si="73"/>
        <v>1.8352632728861701E-2</v>
      </c>
      <c r="O53" s="1520">
        <f t="shared" si="73"/>
        <v>2.6286459319075526E-3</v>
      </c>
      <c r="P53" s="1520">
        <f t="shared" si="74"/>
        <v>5.4299289107991269E-2</v>
      </c>
      <c r="Q53" s="1520">
        <f t="shared" si="74"/>
        <v>8.9126559714794995E-3</v>
      </c>
      <c r="R53" s="1469"/>
      <c r="S53" s="1467"/>
      <c r="T53" s="1468"/>
      <c r="U53" s="1468"/>
      <c r="V53" s="1468"/>
      <c r="X53" s="1521"/>
      <c r="Y53" s="1521"/>
      <c r="Z53" s="1521"/>
    </row>
    <row r="54" spans="1:26">
      <c r="A54" s="1456" t="s">
        <v>1194</v>
      </c>
      <c r="B54" s="1472">
        <f t="shared" si="75"/>
        <v>144.04145728643215</v>
      </c>
      <c r="C54" s="1472">
        <f t="shared" si="75"/>
        <v>136.12396694214877</v>
      </c>
      <c r="D54" s="1472">
        <f t="shared" si="49"/>
        <v>136.12396694214877</v>
      </c>
      <c r="E54" s="1472">
        <f t="shared" si="76"/>
        <v>158.32225913621264</v>
      </c>
      <c r="F54" s="1472">
        <f t="shared" si="76"/>
        <v>114.04278074866311</v>
      </c>
      <c r="G54" s="3323">
        <v>2006</v>
      </c>
      <c r="H54" s="1459">
        <v>1</v>
      </c>
      <c r="I54" s="1459">
        <v>2.29</v>
      </c>
      <c r="J54" s="1459">
        <v>3.72</v>
      </c>
      <c r="K54" s="1459">
        <v>0.75</v>
      </c>
      <c r="L54" s="1473">
        <v>0.04</v>
      </c>
      <c r="N54" s="1522">
        <f t="shared" si="73"/>
        <v>4.3778675988638847E-2</v>
      </c>
      <c r="O54" s="1523">
        <f t="shared" si="73"/>
        <v>3.9114251466784385E-2</v>
      </c>
      <c r="P54" s="1523">
        <f t="shared" si="74"/>
        <v>2.1433929911049188E-2</v>
      </c>
      <c r="Q54" s="1523">
        <f t="shared" si="74"/>
        <v>3.7526972511492629E-4</v>
      </c>
      <c r="R54" s="1469"/>
      <c r="S54" s="1475">
        <f>B54/B55-1</f>
        <v>4.3778675988638716E-2</v>
      </c>
      <c r="T54" s="1476">
        <f>C54/C55-1</f>
        <v>3.91142514667846E-2</v>
      </c>
      <c r="U54" s="1476">
        <f>E54/E55-1</f>
        <v>2.143392991104931E-2</v>
      </c>
      <c r="V54" s="1476">
        <f>F54/F55-1</f>
        <v>3.7526972511492396E-4</v>
      </c>
      <c r="X54" s="1521"/>
      <c r="Y54" s="1521"/>
      <c r="Z54" s="1521"/>
    </row>
    <row r="55" spans="1:26" ht="13.5" thickBot="1">
      <c r="A55" s="1456" t="s">
        <v>1195</v>
      </c>
      <c r="B55" s="1485">
        <v>138</v>
      </c>
      <c r="C55" s="1485">
        <v>131</v>
      </c>
      <c r="D55" s="1485">
        <f t="shared" si="49"/>
        <v>131</v>
      </c>
      <c r="E55" s="1485">
        <v>155</v>
      </c>
      <c r="F55" s="1486">
        <v>114</v>
      </c>
      <c r="G55" s="3321">
        <v>2005</v>
      </c>
      <c r="H55" s="1477">
        <v>4</v>
      </c>
      <c r="I55" s="1477">
        <v>3.29</v>
      </c>
      <c r="J55" s="1477">
        <v>1.44</v>
      </c>
      <c r="K55" s="1477">
        <v>0.66</v>
      </c>
      <c r="L55" s="1478">
        <v>7.78</v>
      </c>
      <c r="N55" s="1519">
        <f t="shared" ref="N55:O58" si="77">I55/SUM(I$55:I$58)*(B$55/B$59-1)</f>
        <v>9.9404603216919935E-2</v>
      </c>
      <c r="O55" s="1520">
        <f t="shared" si="77"/>
        <v>4.7636550760861554E-2</v>
      </c>
      <c r="P55" s="1520">
        <f t="shared" ref="P55:Q58" si="78">K55/SUM(K$55:K$58)*(E$55/E$59-1)</f>
        <v>8.3756345177664976E-2</v>
      </c>
      <c r="Q55" s="1520">
        <f t="shared" si="78"/>
        <v>5.2148766661559584E-2</v>
      </c>
      <c r="R55" s="1469"/>
      <c r="S55" s="1470"/>
      <c r="T55" s="1471"/>
      <c r="U55" s="1471"/>
      <c r="V55" s="1471"/>
      <c r="X55" s="1521"/>
      <c r="Y55" s="1521"/>
      <c r="Z55" s="1521"/>
    </row>
    <row r="56" spans="1:26">
      <c r="A56" s="1456" t="s">
        <v>1196</v>
      </c>
      <c r="B56" s="1472">
        <f t="shared" ref="B56:C58" si="79">B57+(B$55-B$59)*I56/SUM(I$55:I$58)</f>
        <v>125.9720430107527</v>
      </c>
      <c r="C56" s="1472">
        <f t="shared" si="79"/>
        <v>125.1883408071749</v>
      </c>
      <c r="D56" s="1472">
        <f t="shared" si="49"/>
        <v>125.1883408071749</v>
      </c>
      <c r="E56" s="1472">
        <f t="shared" ref="E56:F58" si="80">E57+(E$55-E$59)*K56/SUM(K$55:K$58)</f>
        <v>144.61421319796952</v>
      </c>
      <c r="F56" s="1472">
        <f t="shared" si="80"/>
        <v>108.42008196721311</v>
      </c>
      <c r="G56" s="3322">
        <v>2005</v>
      </c>
      <c r="H56" s="1482">
        <v>3</v>
      </c>
      <c r="I56" s="1482">
        <v>0.46</v>
      </c>
      <c r="J56" s="1482">
        <v>0.32</v>
      </c>
      <c r="K56" s="1482">
        <v>0.42</v>
      </c>
      <c r="L56" s="1483">
        <v>0.64</v>
      </c>
      <c r="N56" s="1519">
        <f t="shared" si="77"/>
        <v>1.3898515951301874E-2</v>
      </c>
      <c r="O56" s="1520">
        <f t="shared" si="77"/>
        <v>1.0585900169080346E-2</v>
      </c>
      <c r="P56" s="1520">
        <f t="shared" si="78"/>
        <v>5.3299492385786795E-2</v>
      </c>
      <c r="Q56" s="1520">
        <f t="shared" si="78"/>
        <v>4.2898728359123568E-3</v>
      </c>
      <c r="R56" s="1469"/>
      <c r="S56" s="1467"/>
      <c r="T56" s="1468"/>
      <c r="U56" s="1468"/>
      <c r="V56" s="1468"/>
      <c r="X56" s="1521"/>
      <c r="Y56" s="1521"/>
      <c r="Z56" s="1521"/>
    </row>
    <row r="57" spans="1:26">
      <c r="A57" s="1456" t="s">
        <v>1197</v>
      </c>
      <c r="B57" s="1472">
        <f t="shared" si="79"/>
        <v>124.29032258064517</v>
      </c>
      <c r="C57" s="1472">
        <f t="shared" si="79"/>
        <v>123.8968609865471</v>
      </c>
      <c r="D57" s="1472">
        <f t="shared" si="49"/>
        <v>123.8968609865471</v>
      </c>
      <c r="E57" s="1472">
        <f t="shared" si="80"/>
        <v>138.00507614213197</v>
      </c>
      <c r="F57" s="1472">
        <f t="shared" si="80"/>
        <v>107.96106557377048</v>
      </c>
      <c r="G57" s="3322">
        <v>2005</v>
      </c>
      <c r="H57" s="1460">
        <v>2</v>
      </c>
      <c r="I57" s="1460">
        <v>0.47</v>
      </c>
      <c r="J57" s="1460">
        <v>0.1</v>
      </c>
      <c r="K57" s="1460">
        <v>0.52</v>
      </c>
      <c r="L57" s="1474">
        <v>0.79</v>
      </c>
      <c r="N57" s="1519">
        <f t="shared" si="77"/>
        <v>1.420065760241713E-2</v>
      </c>
      <c r="O57" s="1520">
        <f t="shared" si="77"/>
        <v>3.3080938028376083E-3</v>
      </c>
      <c r="P57" s="1520">
        <f t="shared" si="78"/>
        <v>6.598984771573603E-2</v>
      </c>
      <c r="Q57" s="1520">
        <f t="shared" si="78"/>
        <v>5.2953117818293153E-3</v>
      </c>
      <c r="R57" s="1469"/>
      <c r="S57" s="1467"/>
      <c r="T57" s="1468"/>
      <c r="U57" s="1468"/>
      <c r="V57" s="1468"/>
      <c r="X57" s="1521"/>
      <c r="Y57" s="1521"/>
      <c r="Z57" s="1521"/>
    </row>
    <row r="58" spans="1:26">
      <c r="A58" s="1456" t="s">
        <v>1198</v>
      </c>
      <c r="B58" s="1472">
        <f t="shared" si="79"/>
        <v>122.57204301075269</v>
      </c>
      <c r="C58" s="1472">
        <f t="shared" si="79"/>
        <v>123.4932735426009</v>
      </c>
      <c r="D58" s="1472">
        <f t="shared" si="49"/>
        <v>123.4932735426009</v>
      </c>
      <c r="E58" s="1472">
        <f t="shared" si="80"/>
        <v>129.82233502538071</v>
      </c>
      <c r="F58" s="1472">
        <f t="shared" si="80"/>
        <v>107.39446721311475</v>
      </c>
      <c r="G58" s="3323">
        <v>2005</v>
      </c>
      <c r="H58" s="1459">
        <v>1</v>
      </c>
      <c r="I58" s="1459">
        <v>0.43</v>
      </c>
      <c r="J58" s="1459">
        <v>0.37</v>
      </c>
      <c r="K58" s="1459">
        <v>0.37</v>
      </c>
      <c r="L58" s="1473">
        <v>0.55000000000000004</v>
      </c>
      <c r="N58" s="1522">
        <f t="shared" si="77"/>
        <v>1.2992090997956099E-2</v>
      </c>
      <c r="O58" s="1523">
        <f t="shared" si="77"/>
        <v>1.2239947070499151E-2</v>
      </c>
      <c r="P58" s="1523">
        <f t="shared" si="78"/>
        <v>4.6954314720812178E-2</v>
      </c>
      <c r="Q58" s="1523">
        <f t="shared" si="78"/>
        <v>3.6866094683621815E-3</v>
      </c>
      <c r="R58" s="1469"/>
      <c r="S58" s="1475">
        <f>B58/B59-1</f>
        <v>1.2992090997956174E-2</v>
      </c>
      <c r="T58" s="1476">
        <f>C58/C59-1</f>
        <v>1.2239947070499246E-2</v>
      </c>
      <c r="U58" s="1476">
        <f>E58/E59-1</f>
        <v>4.695431472081224E-2</v>
      </c>
      <c r="V58" s="1476">
        <f>F58/F59-1</f>
        <v>3.6866094683620787E-3</v>
      </c>
      <c r="X58" s="1521"/>
      <c r="Y58" s="1521"/>
      <c r="Z58" s="1521"/>
    </row>
    <row r="59" spans="1:26" ht="13.5" thickBot="1">
      <c r="A59" s="1456" t="s">
        <v>1199</v>
      </c>
      <c r="B59" s="1506">
        <v>121</v>
      </c>
      <c r="C59" s="1506">
        <v>122</v>
      </c>
      <c r="D59" s="1506">
        <f t="shared" si="49"/>
        <v>122</v>
      </c>
      <c r="E59" s="1506">
        <v>124</v>
      </c>
      <c r="F59" s="1507">
        <v>107</v>
      </c>
      <c r="G59" s="3321">
        <v>2004</v>
      </c>
      <c r="H59" s="1477">
        <v>4</v>
      </c>
      <c r="I59" s="1477">
        <v>0.33</v>
      </c>
      <c r="J59" s="1477">
        <v>0.5</v>
      </c>
      <c r="K59" s="1477">
        <v>0.5</v>
      </c>
      <c r="L59" s="1478">
        <v>0</v>
      </c>
      <c r="N59" s="1519">
        <f t="shared" ref="N59:O62" si="81">I59/SUM(I$59:I$62)*(B$59/B$63-1)</f>
        <v>1.3391770148526898E-2</v>
      </c>
      <c r="O59" s="1520">
        <f t="shared" si="81"/>
        <v>1.063264221158958E-2</v>
      </c>
      <c r="P59" s="1520">
        <f t="shared" ref="P59:Q62" si="82">K59/SUM(K$59:K$62)*(E$59/E$63-1)</f>
        <v>2.2244466688911134E-2</v>
      </c>
      <c r="Q59" s="1520">
        <f t="shared" si="82"/>
        <v>0</v>
      </c>
      <c r="R59" s="1469"/>
      <c r="S59" s="1470"/>
      <c r="T59" s="1471"/>
      <c r="U59" s="1471"/>
      <c r="V59" s="1471"/>
      <c r="X59" s="1521"/>
      <c r="Y59" s="1521"/>
      <c r="Z59" s="1521"/>
    </row>
    <row r="60" spans="1:26">
      <c r="A60" s="1456" t="s">
        <v>1200</v>
      </c>
      <c r="B60" s="1472">
        <f t="shared" ref="B60:C62" si="83">B61+(B$59-B$63)*I60/SUM(I$59:I$62)</f>
        <v>119.51351351351352</v>
      </c>
      <c r="C60" s="1472">
        <f t="shared" si="83"/>
        <v>120.7878787878788</v>
      </c>
      <c r="D60" s="1472">
        <f t="shared" si="49"/>
        <v>120.7878787878788</v>
      </c>
      <c r="E60" s="1472">
        <f t="shared" ref="E60:F62" si="84">E61+(E$59-E$63)*K60/SUM(K$59:K$62)</f>
        <v>121.5975975975976</v>
      </c>
      <c r="F60" s="1472">
        <f t="shared" si="84"/>
        <v>107</v>
      </c>
      <c r="G60" s="3322">
        <v>2004</v>
      </c>
      <c r="H60" s="1482">
        <v>3</v>
      </c>
      <c r="I60" s="1482">
        <v>0.56000000000000005</v>
      </c>
      <c r="J60" s="1482">
        <v>0.8</v>
      </c>
      <c r="K60" s="1482">
        <v>0.83</v>
      </c>
      <c r="L60" s="1483">
        <v>0.06</v>
      </c>
      <c r="N60" s="1519">
        <f t="shared" si="81"/>
        <v>2.2725428130833527E-2</v>
      </c>
      <c r="O60" s="1520">
        <f t="shared" si="81"/>
        <v>1.7012227538543329E-2</v>
      </c>
      <c r="P60" s="1520">
        <f t="shared" si="82"/>
        <v>3.6925814703592477E-2</v>
      </c>
      <c r="Q60" s="1520">
        <f t="shared" si="82"/>
        <v>2.8846153846153744E-2</v>
      </c>
      <c r="R60" s="1469"/>
      <c r="S60" s="1467"/>
      <c r="T60" s="1468"/>
      <c r="U60" s="1468"/>
      <c r="V60" s="1468"/>
      <c r="X60" s="1521"/>
      <c r="Y60" s="1521"/>
      <c r="Z60" s="1521"/>
    </row>
    <row r="61" spans="1:26">
      <c r="A61" s="1456" t="s">
        <v>1201</v>
      </c>
      <c r="B61" s="1472">
        <f t="shared" si="83"/>
        <v>116.99099099099099</v>
      </c>
      <c r="C61" s="1472">
        <f t="shared" si="83"/>
        <v>118.84848484848486</v>
      </c>
      <c r="D61" s="1472">
        <f t="shared" si="49"/>
        <v>118.84848484848486</v>
      </c>
      <c r="E61" s="1472">
        <f t="shared" si="84"/>
        <v>117.60960960960961</v>
      </c>
      <c r="F61" s="1472">
        <f t="shared" si="84"/>
        <v>104</v>
      </c>
      <c r="G61" s="3322">
        <v>2004</v>
      </c>
      <c r="H61" s="1460">
        <v>2</v>
      </c>
      <c r="I61" s="1460">
        <v>1</v>
      </c>
      <c r="J61" s="1460">
        <v>1.5</v>
      </c>
      <c r="K61" s="1460">
        <v>1.5</v>
      </c>
      <c r="L61" s="1474">
        <v>0</v>
      </c>
      <c r="N61" s="1519">
        <f t="shared" si="81"/>
        <v>4.0581121662202721E-2</v>
      </c>
      <c r="O61" s="1520">
        <f t="shared" si="81"/>
        <v>3.1897926634768738E-2</v>
      </c>
      <c r="P61" s="1520">
        <f t="shared" si="82"/>
        <v>6.6733400066733395E-2</v>
      </c>
      <c r="Q61" s="1520">
        <f t="shared" si="82"/>
        <v>0</v>
      </c>
      <c r="R61" s="1469"/>
      <c r="S61" s="1467"/>
      <c r="T61" s="1468"/>
      <c r="U61" s="1468"/>
      <c r="V61" s="1468"/>
      <c r="X61" s="1521"/>
      <c r="Y61" s="1521"/>
      <c r="Z61" s="1521"/>
    </row>
    <row r="62" spans="1:26" s="1512" customFormat="1" ht="13.5" thickBot="1">
      <c r="A62" s="1456" t="s">
        <v>1202</v>
      </c>
      <c r="B62" s="1509">
        <f t="shared" si="83"/>
        <v>112.48648648648648</v>
      </c>
      <c r="C62" s="1509">
        <f t="shared" si="83"/>
        <v>115.21212121212122</v>
      </c>
      <c r="D62" s="1509">
        <f t="shared" si="49"/>
        <v>115.21212121212122</v>
      </c>
      <c r="E62" s="1509">
        <f t="shared" si="84"/>
        <v>110.4024024024024</v>
      </c>
      <c r="F62" s="1509">
        <f t="shared" si="84"/>
        <v>104</v>
      </c>
      <c r="G62" s="3323">
        <v>2004</v>
      </c>
      <c r="H62" s="1510">
        <v>1</v>
      </c>
      <c r="I62" s="1510">
        <v>0.33</v>
      </c>
      <c r="J62" s="1510">
        <v>0.5</v>
      </c>
      <c r="K62" s="1510">
        <v>0.5</v>
      </c>
      <c r="L62" s="1511">
        <v>0</v>
      </c>
      <c r="N62" s="1524">
        <f t="shared" si="81"/>
        <v>1.3391770148526898E-2</v>
      </c>
      <c r="O62" s="1525">
        <f t="shared" si="81"/>
        <v>1.063264221158958E-2</v>
      </c>
      <c r="P62" s="1525">
        <f t="shared" si="82"/>
        <v>2.2244466688911134E-2</v>
      </c>
      <c r="Q62" s="1525">
        <f t="shared" si="82"/>
        <v>0</v>
      </c>
      <c r="R62" s="1515"/>
      <c r="S62" s="1513">
        <f>B62/B63-1</f>
        <v>1.3391770148526883E-2</v>
      </c>
      <c r="T62" s="1514">
        <f>C62/C63-1</f>
        <v>1.063264221158966E-2</v>
      </c>
      <c r="U62" s="1514">
        <f>E62/E63-1</f>
        <v>2.2244466688911224E-2</v>
      </c>
      <c r="V62" s="1514">
        <f>F62/F63-1</f>
        <v>0</v>
      </c>
      <c r="X62" s="1526"/>
      <c r="Y62" s="1526"/>
      <c r="Z62" s="1526"/>
    </row>
    <row r="63" spans="1:26" ht="13.5" thickBot="1">
      <c r="A63" s="1456" t="s">
        <v>1203</v>
      </c>
      <c r="B63" s="1527">
        <v>111</v>
      </c>
      <c r="C63" s="1527">
        <v>114</v>
      </c>
      <c r="D63" s="1527">
        <f t="shared" si="49"/>
        <v>114</v>
      </c>
      <c r="E63" s="1527">
        <v>108</v>
      </c>
      <c r="F63" s="1528">
        <v>104</v>
      </c>
      <c r="G63" s="3321">
        <v>2003</v>
      </c>
      <c r="H63" s="1517">
        <v>4</v>
      </c>
      <c r="I63" s="1529"/>
      <c r="J63" s="1529"/>
      <c r="K63" s="1529"/>
      <c r="L63" s="1529"/>
      <c r="N63" s="1530"/>
      <c r="O63" s="1529"/>
      <c r="P63" s="1529"/>
      <c r="Q63" s="1529"/>
      <c r="S63" s="1530"/>
      <c r="T63" s="1529"/>
      <c r="U63" s="1529"/>
      <c r="V63" s="1529"/>
      <c r="X63" s="1521"/>
      <c r="Y63" s="1521"/>
      <c r="Z63" s="1521"/>
    </row>
    <row r="64" spans="1:26">
      <c r="A64" s="1456" t="s">
        <v>1204</v>
      </c>
      <c r="B64" s="1531">
        <f t="shared" ref="B64:C66" si="85">B65+(B$63-B$67)/4</f>
        <v>109.75</v>
      </c>
      <c r="C64" s="1531">
        <f t="shared" si="85"/>
        <v>112.25</v>
      </c>
      <c r="D64" s="1531">
        <f t="shared" si="49"/>
        <v>112.25</v>
      </c>
      <c r="E64" s="1531">
        <f t="shared" ref="E64:F66" si="86">E65+(E$63-E$67)/4</f>
        <v>107.25</v>
      </c>
      <c r="F64" s="1531">
        <f t="shared" si="86"/>
        <v>103.5</v>
      </c>
      <c r="G64" s="3322">
        <v>2003</v>
      </c>
      <c r="H64" s="1482">
        <v>3</v>
      </c>
      <c r="I64" s="1529"/>
      <c r="J64" s="1529"/>
      <c r="K64" s="1529"/>
      <c r="L64" s="1529"/>
      <c r="X64" s="1521"/>
      <c r="Y64" s="1521"/>
      <c r="Z64" s="1521"/>
    </row>
    <row r="65" spans="1:26">
      <c r="A65" s="1456" t="s">
        <v>1205</v>
      </c>
      <c r="B65" s="1531">
        <f t="shared" si="85"/>
        <v>108.5</v>
      </c>
      <c r="C65" s="1531">
        <f t="shared" si="85"/>
        <v>110.5</v>
      </c>
      <c r="D65" s="1531">
        <f t="shared" si="49"/>
        <v>110.5</v>
      </c>
      <c r="E65" s="1531">
        <f t="shared" si="86"/>
        <v>106.5</v>
      </c>
      <c r="F65" s="1531">
        <f t="shared" si="86"/>
        <v>103</v>
      </c>
      <c r="G65" s="3322">
        <v>2003</v>
      </c>
      <c r="H65" s="1460">
        <v>2</v>
      </c>
      <c r="I65" s="1529"/>
      <c r="J65" s="1529"/>
      <c r="K65" s="1529"/>
      <c r="L65" s="1529"/>
      <c r="X65" s="1521"/>
      <c r="Y65" s="1521"/>
      <c r="Z65" s="1521"/>
    </row>
    <row r="66" spans="1:26" ht="13.5" thickBot="1">
      <c r="A66" s="1456" t="s">
        <v>1206</v>
      </c>
      <c r="B66" s="1531">
        <f t="shared" si="85"/>
        <v>107.25</v>
      </c>
      <c r="C66" s="1531">
        <f t="shared" si="85"/>
        <v>108.75</v>
      </c>
      <c r="D66" s="1531">
        <f t="shared" si="49"/>
        <v>108.75</v>
      </c>
      <c r="E66" s="1531">
        <f t="shared" si="86"/>
        <v>105.75</v>
      </c>
      <c r="F66" s="1531">
        <f t="shared" si="86"/>
        <v>102.5</v>
      </c>
      <c r="G66" s="3323">
        <v>2003</v>
      </c>
      <c r="H66" s="1532">
        <v>1</v>
      </c>
      <c r="I66" s="1529"/>
      <c r="J66" s="1529"/>
      <c r="K66" s="1529"/>
      <c r="L66" s="1529"/>
      <c r="S66" s="1467"/>
      <c r="T66" s="1468"/>
      <c r="U66" s="1468"/>
      <c r="X66" s="1521"/>
      <c r="Y66" s="1521"/>
      <c r="Z66" s="1521"/>
    </row>
    <row r="67" spans="1:26" ht="13.5" thickBot="1">
      <c r="A67" s="1456" t="s">
        <v>1207</v>
      </c>
      <c r="B67" s="1533">
        <v>106</v>
      </c>
      <c r="C67" s="1533">
        <v>107</v>
      </c>
      <c r="D67" s="1533">
        <f t="shared" si="49"/>
        <v>107</v>
      </c>
      <c r="E67" s="1533">
        <v>105</v>
      </c>
      <c r="F67" s="1534">
        <v>102</v>
      </c>
      <c r="G67" s="3321">
        <v>2002</v>
      </c>
      <c r="H67" s="1477">
        <v>4</v>
      </c>
      <c r="I67" s="1529"/>
      <c r="J67" s="1529"/>
      <c r="K67" s="1529"/>
      <c r="L67" s="1529"/>
      <c r="N67" s="1530"/>
      <c r="O67" s="1529"/>
      <c r="P67" s="1529"/>
      <c r="Q67" s="1529"/>
      <c r="S67" s="1530"/>
      <c r="T67" s="1529"/>
      <c r="U67" s="1529"/>
      <c r="V67" s="1529"/>
      <c r="X67" s="1521"/>
      <c r="Y67" s="1521"/>
      <c r="Z67" s="1521"/>
    </row>
    <row r="68" spans="1:26">
      <c r="A68" s="1456" t="s">
        <v>1208</v>
      </c>
      <c r="B68" s="1531">
        <f t="shared" ref="B68:C70" si="87">B69+(B$67-B$71)/4</f>
        <v>105</v>
      </c>
      <c r="C68" s="1531">
        <f t="shared" si="87"/>
        <v>106</v>
      </c>
      <c r="D68" s="1531">
        <f t="shared" si="49"/>
        <v>106</v>
      </c>
      <c r="E68" s="1531">
        <f t="shared" ref="E68:F70" si="88">E69+(E$67-E$71)/4</f>
        <v>104.5</v>
      </c>
      <c r="F68" s="1531">
        <f t="shared" si="88"/>
        <v>101.5</v>
      </c>
      <c r="G68" s="3322">
        <v>2002</v>
      </c>
      <c r="H68" s="1482">
        <v>3</v>
      </c>
      <c r="I68" s="1529"/>
      <c r="J68" s="1529"/>
      <c r="K68" s="1529"/>
      <c r="L68" s="1529"/>
      <c r="X68" s="1521"/>
      <c r="Y68" s="1521"/>
      <c r="Z68" s="1521"/>
    </row>
    <row r="69" spans="1:26">
      <c r="A69" s="1456" t="s">
        <v>1209</v>
      </c>
      <c r="B69" s="1531">
        <f t="shared" si="87"/>
        <v>104</v>
      </c>
      <c r="C69" s="1531">
        <f t="shared" si="87"/>
        <v>105</v>
      </c>
      <c r="D69" s="1531">
        <f t="shared" si="49"/>
        <v>105</v>
      </c>
      <c r="E69" s="1531">
        <f t="shared" si="88"/>
        <v>104</v>
      </c>
      <c r="F69" s="1531">
        <f t="shared" si="88"/>
        <v>101</v>
      </c>
      <c r="G69" s="3322">
        <v>2002</v>
      </c>
      <c r="H69" s="1460">
        <v>2</v>
      </c>
      <c r="I69" s="1529"/>
      <c r="J69" s="1529"/>
      <c r="K69" s="1529"/>
      <c r="L69" s="1529"/>
      <c r="X69" s="1521"/>
      <c r="Y69" s="1521"/>
      <c r="Z69" s="1521"/>
    </row>
    <row r="70" spans="1:26" s="1493" customFormat="1" ht="13.5" thickBot="1">
      <c r="A70" s="1489" t="s">
        <v>1210</v>
      </c>
      <c r="B70" s="1535">
        <f t="shared" si="87"/>
        <v>103</v>
      </c>
      <c r="C70" s="1535">
        <f t="shared" si="87"/>
        <v>104</v>
      </c>
      <c r="D70" s="1535">
        <f t="shared" si="49"/>
        <v>104</v>
      </c>
      <c r="E70" s="1535">
        <f t="shared" si="88"/>
        <v>103.5</v>
      </c>
      <c r="F70" s="1535">
        <f t="shared" si="88"/>
        <v>100.5</v>
      </c>
      <c r="G70" s="3323">
        <v>2002</v>
      </c>
      <c r="H70" s="1536">
        <v>1</v>
      </c>
      <c r="I70" s="1537"/>
      <c r="J70" s="1537"/>
      <c r="K70" s="1537"/>
      <c r="L70" s="1537"/>
      <c r="N70" s="1538"/>
      <c r="S70" s="1538"/>
      <c r="X70" s="1539"/>
      <c r="Y70" s="1539"/>
      <c r="Z70" s="1539"/>
    </row>
    <row r="71" spans="1:26" ht="13.5" thickBot="1">
      <c r="B71" s="1540">
        <v>102</v>
      </c>
      <c r="C71" s="1541">
        <v>103</v>
      </c>
      <c r="D71" s="1541">
        <f t="shared" si="49"/>
        <v>103</v>
      </c>
      <c r="E71" s="1541">
        <v>103</v>
      </c>
      <c r="F71" s="1542">
        <v>100</v>
      </c>
      <c r="I71" s="1529"/>
      <c r="J71" s="1529"/>
      <c r="K71" s="1529"/>
      <c r="L71" s="1529"/>
      <c r="N71" s="1530"/>
      <c r="O71" s="1529"/>
      <c r="P71" s="1529"/>
      <c r="Q71" s="1529"/>
      <c r="S71" s="1530"/>
      <c r="T71" s="1529"/>
      <c r="U71" s="1529"/>
      <c r="V71" s="1529"/>
      <c r="X71" s="1471"/>
      <c r="Y71" s="1471"/>
      <c r="Z71" s="1471"/>
    </row>
    <row r="73" spans="1:26" s="1544" customFormat="1">
      <c r="A73" s="1543" t="s">
        <v>1211</v>
      </c>
      <c r="G73" s="1545"/>
      <c r="N73" s="1545"/>
      <c r="S73" s="1545"/>
    </row>
    <row r="74" spans="1:26" s="1544" customFormat="1">
      <c r="A74" s="1544" t="s">
        <v>1212</v>
      </c>
      <c r="G74" s="1545"/>
      <c r="N74" s="1545"/>
      <c r="S74" s="1545"/>
    </row>
    <row r="75" spans="1:26" s="1544" customFormat="1">
      <c r="A75" s="1544" t="s">
        <v>1213</v>
      </c>
      <c r="G75" s="1545"/>
      <c r="I75" s="1546"/>
      <c r="J75" s="1546"/>
      <c r="K75" s="1546"/>
      <c r="L75" s="1546"/>
      <c r="N75" s="1547"/>
      <c r="O75" s="1546"/>
      <c r="P75" s="1546"/>
      <c r="Q75" s="1546"/>
      <c r="S75" s="1547"/>
      <c r="T75" s="1546"/>
      <c r="U75" s="1546"/>
      <c r="V75" s="1546"/>
    </row>
    <row r="76" spans="1:26" s="1544" customFormat="1">
      <c r="A76" s="1544" t="s">
        <v>1214</v>
      </c>
      <c r="G76" s="1545"/>
      <c r="N76" s="1545"/>
      <c r="S76" s="1545"/>
    </row>
    <row r="83" spans="7:22" ht="13.5" thickBot="1"/>
    <row r="84" spans="7:22">
      <c r="G84" s="1466"/>
      <c r="S84" s="1548" t="s">
        <v>1215</v>
      </c>
      <c r="T84" s="1549" t="s">
        <v>1216</v>
      </c>
      <c r="U84" s="1549" t="s">
        <v>1217</v>
      </c>
      <c r="V84" s="1549" t="s">
        <v>1218</v>
      </c>
    </row>
    <row r="85" spans="7:22">
      <c r="G85" s="1466"/>
      <c r="N85" s="1470"/>
      <c r="O85" s="1471"/>
      <c r="P85" s="1471"/>
      <c r="Q85" s="1471"/>
      <c r="S85" s="1550">
        <v>2006</v>
      </c>
      <c r="T85" s="1551">
        <v>15.1</v>
      </c>
      <c r="U85" s="1551">
        <v>7.43</v>
      </c>
      <c r="V85" s="1551">
        <v>26.26</v>
      </c>
    </row>
    <row r="86" spans="7:22">
      <c r="G86" s="1466"/>
      <c r="N86" s="1470"/>
      <c r="O86" s="1471"/>
      <c r="P86" s="1471"/>
      <c r="Q86" s="1471"/>
      <c r="S86" s="1552">
        <v>2005</v>
      </c>
      <c r="T86" s="1553">
        <v>13.9</v>
      </c>
      <c r="U86" s="1553">
        <v>7.49</v>
      </c>
      <c r="V86" s="1553">
        <v>24.92</v>
      </c>
    </row>
    <row r="87" spans="7:22">
      <c r="G87" s="1466"/>
      <c r="N87" s="1470"/>
      <c r="O87" s="1471"/>
      <c r="P87" s="1471"/>
      <c r="Q87" s="1471"/>
      <c r="S87" s="1550">
        <v>2004</v>
      </c>
      <c r="T87" s="1551">
        <v>9.48</v>
      </c>
      <c r="U87" s="1551">
        <v>7.2</v>
      </c>
      <c r="V87" s="1551">
        <v>14.68</v>
      </c>
    </row>
    <row r="88" spans="7:22">
      <c r="G88" s="1466"/>
      <c r="N88" s="1470"/>
      <c r="O88" s="1471"/>
      <c r="P88" s="1471"/>
      <c r="Q88" s="1471"/>
      <c r="S88" s="1552">
        <v>2003</v>
      </c>
      <c r="T88" s="1553">
        <v>4.5</v>
      </c>
      <c r="U88" s="1553">
        <v>6.12</v>
      </c>
      <c r="V88" s="1553">
        <v>2.34</v>
      </c>
    </row>
    <row r="89" spans="7:22" ht="13.5" thickBot="1">
      <c r="G89" s="1466"/>
      <c r="N89" s="1470"/>
      <c r="O89" s="1471"/>
      <c r="P89" s="1471"/>
      <c r="Q89" s="1471"/>
      <c r="S89" s="1554">
        <v>2002</v>
      </c>
      <c r="T89" s="1555">
        <v>3.59</v>
      </c>
      <c r="U89" s="1555">
        <v>4.54</v>
      </c>
      <c r="V89" s="1555">
        <v>2.5499999999999998</v>
      </c>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3"/>
    <col min="46" max="16384" width="9" style="138"/>
  </cols>
  <sheetData>
    <row r="1" spans="1:45" ht="14.25" customHeight="1" thickBot="1">
      <c r="A1" s="154"/>
      <c r="B1" s="1199" t="s">
        <v>2985</v>
      </c>
      <c r="C1" s="3332" t="s">
        <v>2986</v>
      </c>
      <c r="D1" s="3333"/>
      <c r="E1" s="3333"/>
      <c r="F1" s="3333"/>
      <c r="G1" s="3333"/>
      <c r="H1" s="3333"/>
      <c r="I1" s="3333"/>
      <c r="J1" s="3333"/>
      <c r="K1" s="3333"/>
      <c r="L1" s="3333"/>
      <c r="M1" s="3333"/>
      <c r="N1" s="3333"/>
      <c r="O1" s="3333"/>
      <c r="P1" s="3333"/>
      <c r="Q1" s="3333"/>
      <c r="R1" s="3333"/>
      <c r="S1" s="3334"/>
      <c r="T1" s="1199" t="s">
        <v>2987</v>
      </c>
    </row>
    <row r="2" spans="1:45" s="705" customFormat="1">
      <c r="A2" s="1200"/>
      <c r="B2" s="701" t="s">
        <v>2988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1"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2"/>
      <c r="B3" s="706"/>
      <c r="C3" s="707"/>
      <c r="D3" s="708"/>
      <c r="E3" s="708"/>
      <c r="F3" s="1697"/>
      <c r="G3" s="1697"/>
      <c r="H3" s="1697"/>
      <c r="I3" s="1697"/>
      <c r="J3" s="1697"/>
      <c r="K3" s="1697"/>
      <c r="L3" s="1698"/>
      <c r="M3" s="1699"/>
      <c r="N3" s="1699"/>
      <c r="O3" s="1697"/>
      <c r="P3" s="1697"/>
      <c r="Q3" s="1697"/>
      <c r="R3" s="1697"/>
      <c r="S3" s="1700"/>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3"/>
      <c r="B4" s="1204"/>
      <c r="C4" s="1205"/>
      <c r="D4" s="1206"/>
      <c r="E4" s="1206"/>
      <c r="F4" s="1701"/>
      <c r="G4" s="1701"/>
      <c r="H4" s="1701"/>
      <c r="I4" s="1701"/>
      <c r="J4" s="1701"/>
      <c r="K4" s="1701"/>
      <c r="L4" s="1701"/>
      <c r="M4" s="1702"/>
      <c r="N4" s="1702"/>
      <c r="O4" s="1701"/>
      <c r="P4" s="1701"/>
      <c r="Q4" s="1701"/>
      <c r="R4" s="1701"/>
      <c r="S4" s="1703"/>
      <c r="T4" s="1209"/>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0"/>
      <c r="B5" s="1762" t="s">
        <v>2989</v>
      </c>
      <c r="C5" s="1211"/>
      <c r="D5" s="1212"/>
      <c r="E5" s="1212"/>
      <c r="F5" s="1704"/>
      <c r="G5" s="1704"/>
      <c r="H5" s="1704"/>
      <c r="I5" s="1704"/>
      <c r="J5" s="1704"/>
      <c r="K5" s="1704"/>
      <c r="L5" s="1705"/>
      <c r="M5" s="1706"/>
      <c r="N5" s="1706"/>
      <c r="O5" s="1704"/>
      <c r="P5" s="1704"/>
      <c r="Q5" s="1704"/>
      <c r="R5" s="1704"/>
      <c r="S5" s="1707"/>
      <c r="T5" s="1214"/>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0"/>
      <c r="B6" s="1111"/>
      <c r="C6" s="1117">
        <v>100</v>
      </c>
      <c r="D6" s="1114">
        <f>C6-$T5</f>
        <v>100</v>
      </c>
      <c r="E6" s="1114">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3"/>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0"/>
      <c r="B7" s="1763" t="s">
        <v>2990</v>
      </c>
      <c r="C7" s="1116"/>
      <c r="D7" s="1110"/>
      <c r="E7" s="1110"/>
      <c r="F7" s="1709"/>
      <c r="G7" s="1709"/>
      <c r="H7" s="1709"/>
      <c r="I7" s="1709"/>
      <c r="J7" s="1709"/>
      <c r="K7" s="1709"/>
      <c r="L7" s="1709"/>
      <c r="M7" s="1710"/>
      <c r="N7" s="1711"/>
      <c r="O7" s="1712"/>
      <c r="P7" s="1713"/>
      <c r="Q7" s="1714"/>
      <c r="R7" s="1715"/>
      <c r="S7" s="1716"/>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0"/>
      <c r="B8" s="1111"/>
      <c r="C8" s="1117">
        <v>100</v>
      </c>
      <c r="D8" s="1114">
        <f>C8-$T7</f>
        <v>100</v>
      </c>
      <c r="E8" s="1114">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3"/>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0"/>
      <c r="B9" s="1763" t="s">
        <v>2991</v>
      </c>
      <c r="C9" s="1116"/>
      <c r="D9" s="1110"/>
      <c r="E9" s="1110"/>
      <c r="F9" s="1709"/>
      <c r="G9" s="1709"/>
      <c r="H9" s="1709"/>
      <c r="I9" s="1709"/>
      <c r="J9" s="1709"/>
      <c r="K9" s="1709"/>
      <c r="L9" s="1717"/>
      <c r="M9" s="1710"/>
      <c r="N9" s="1711"/>
      <c r="O9" s="1712"/>
      <c r="P9" s="1713"/>
      <c r="Q9" s="1714"/>
      <c r="R9" s="1715"/>
      <c r="S9" s="1716"/>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0"/>
      <c r="B10" s="1204"/>
      <c r="C10" s="1215">
        <v>100</v>
      </c>
      <c r="D10" s="1216">
        <f>C10-$T9</f>
        <v>100</v>
      </c>
      <c r="E10" s="1216">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9"/>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0"/>
      <c r="B11" s="1762" t="s">
        <v>2992</v>
      </c>
      <c r="C11" s="1211"/>
      <c r="D11" s="1212"/>
      <c r="E11" s="1212"/>
      <c r="F11" s="1212"/>
      <c r="G11" s="1212"/>
      <c r="H11" s="1212"/>
      <c r="I11" s="1212"/>
      <c r="J11" s="1212"/>
      <c r="K11" s="1212"/>
      <c r="L11" s="1212"/>
      <c r="M11" s="1213"/>
      <c r="N11" s="1217"/>
      <c r="O11" s="1218"/>
      <c r="P11" s="1219"/>
      <c r="Q11" s="1220"/>
      <c r="R11" s="1221"/>
      <c r="S11" s="1222"/>
      <c r="T11" s="1214"/>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0"/>
      <c r="B13" s="1762" t="s">
        <v>2993</v>
      </c>
      <c r="C13" s="1211"/>
      <c r="D13" s="1212"/>
      <c r="E13" s="1212"/>
      <c r="F13" s="1212"/>
      <c r="G13" s="1212"/>
      <c r="H13" s="1212"/>
      <c r="I13" s="1212"/>
      <c r="J13" s="1212"/>
      <c r="K13" s="1212"/>
      <c r="L13" s="1212"/>
      <c r="M13" s="1213"/>
      <c r="N13" s="1217"/>
      <c r="O13" s="1218"/>
      <c r="P13" s="1219"/>
      <c r="Q13" s="1220"/>
      <c r="R13" s="1221"/>
      <c r="S13" s="1222"/>
      <c r="T13" s="1223"/>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0"/>
      <c r="B15" s="1762" t="s">
        <v>2994</v>
      </c>
      <c r="C15" s="1211"/>
      <c r="D15" s="1212"/>
      <c r="E15" s="1212"/>
      <c r="F15" s="1212"/>
      <c r="G15" s="1212"/>
      <c r="H15" s="1212"/>
      <c r="I15" s="1212"/>
      <c r="J15" s="1212"/>
      <c r="K15" s="1212"/>
      <c r="L15" s="1212"/>
      <c r="M15" s="1213"/>
      <c r="N15" s="1217"/>
      <c r="O15" s="1218"/>
      <c r="P15" s="1219"/>
      <c r="Q15" s="1220"/>
      <c r="R15" s="1221"/>
      <c r="S15" s="1222"/>
      <c r="T15" s="1223"/>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9" t="s">
        <v>2995</v>
      </c>
      <c r="B17" s="2900" t="s">
        <v>2996</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4"/>
      <c r="AS17" s="794"/>
    </row>
    <row r="18" spans="1:45" s="705"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4"/>
      <c r="AS18" s="794"/>
    </row>
    <row r="19" spans="1:45">
      <c r="A19" s="137"/>
      <c r="B19" s="167"/>
      <c r="C19" s="167"/>
      <c r="D19" s="2901" t="s">
        <v>2997</v>
      </c>
      <c r="E19" s="1785"/>
      <c r="F19" s="1785"/>
      <c r="G19" s="1785"/>
      <c r="H19" s="1275"/>
      <c r="I19" s="167"/>
      <c r="J19" s="167"/>
      <c r="K19" s="167"/>
      <c r="L19" s="167"/>
      <c r="M19" s="167"/>
      <c r="N19" s="167"/>
      <c r="O19" s="167"/>
      <c r="P19" s="167"/>
      <c r="Q19" s="167"/>
      <c r="R19" s="786"/>
      <c r="S19" s="137"/>
    </row>
    <row r="20" spans="1:45" ht="16.5" thickBot="1">
      <c r="A20" s="713" t="s">
        <v>2998</v>
      </c>
      <c r="B20" s="337" t="e">
        <f ca="1">IF(D20="——",S22,S22-F20)</f>
        <v>#REF!</v>
      </c>
      <c r="C20" s="167"/>
      <c r="D20" s="2902" t="s">
        <v>2999</v>
      </c>
      <c r="E20" s="1786"/>
      <c r="F20" s="1199" t="e">
        <f ca="1">SUMIF(INDIRECT("'"&amp;H20&amp;"'"&amp;"!A:A"),"承租人权益价值",INDIRECT("'"&amp;H20&amp;"'"&amp;"!c:c"))</f>
        <v>#REF!</v>
      </c>
      <c r="G20" s="1199" t="s">
        <v>3000</v>
      </c>
      <c r="H20" s="2903"/>
      <c r="I20" s="167"/>
      <c r="J20" s="167"/>
      <c r="K20" s="167"/>
      <c r="L20" s="167"/>
      <c r="M20" s="167"/>
      <c r="N20" s="167"/>
      <c r="O20" s="167"/>
      <c r="P20" s="167"/>
      <c r="Q20" s="167"/>
      <c r="R20" s="786"/>
      <c r="S20" s="137"/>
    </row>
    <row r="21" spans="1:45" ht="15.75">
      <c r="A21" s="713" t="s">
        <v>3001</v>
      </c>
      <c r="B21" s="337">
        <f>R22</f>
        <v>10000</v>
      </c>
      <c r="C21" s="167"/>
      <c r="D21" s="167"/>
      <c r="E21" s="167"/>
      <c r="F21" s="167"/>
      <c r="G21" s="167"/>
      <c r="H21" s="167"/>
      <c r="I21" s="167"/>
      <c r="J21" s="167"/>
      <c r="K21" s="167"/>
      <c r="L21" s="167"/>
      <c r="M21" s="167"/>
      <c r="N21" s="167"/>
      <c r="O21" s="167"/>
      <c r="P21" s="167"/>
      <c r="Q21" s="167"/>
      <c r="R21" s="786"/>
      <c r="S21" s="137"/>
    </row>
    <row r="22" spans="1:45">
      <c r="A22" s="360" t="s">
        <v>3002</v>
      </c>
      <c r="B22" s="24">
        <f>SUM(B24:B10000)</f>
        <v>100</v>
      </c>
      <c r="C22" s="3193" t="s">
        <v>33</v>
      </c>
      <c r="D22" s="3194"/>
      <c r="E22" s="3194"/>
      <c r="F22" s="3194"/>
      <c r="G22" s="3194"/>
      <c r="H22" s="3194"/>
      <c r="I22" s="3194"/>
      <c r="J22" s="3194"/>
      <c r="K22" s="3194"/>
      <c r="L22" s="3194"/>
      <c r="M22" s="3194"/>
      <c r="N22" s="3194"/>
      <c r="O22" s="3194"/>
      <c r="P22" s="3194"/>
      <c r="Q22" s="3331"/>
      <c r="R22" s="714">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0">
        <f t="shared" si="11"/>
        <v>0</v>
      </c>
    </row>
    <row r="26" spans="1:45">
      <c r="A26" s="158"/>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0">
        <f t="shared" si="11"/>
        <v>0</v>
      </c>
    </row>
    <row r="27" spans="1:45">
      <c r="A27" s="158"/>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0">
        <f t="shared" si="11"/>
        <v>0</v>
      </c>
    </row>
    <row r="28" spans="1:45">
      <c r="A28" s="158"/>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0">
        <f t="shared" si="11"/>
        <v>0</v>
      </c>
    </row>
    <row r="29" spans="1:45">
      <c r="A29" s="158"/>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0">
        <f t="shared" si="11"/>
        <v>0</v>
      </c>
    </row>
    <row r="30" spans="1:45">
      <c r="A30" s="158"/>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0">
        <f t="shared" si="11"/>
        <v>0</v>
      </c>
    </row>
    <row r="31" spans="1:45">
      <c r="A31" s="158"/>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0">
        <f t="shared" si="11"/>
        <v>0</v>
      </c>
    </row>
    <row r="32" spans="1:45">
      <c r="A32" s="158"/>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0">
        <f t="shared" si="11"/>
        <v>0</v>
      </c>
    </row>
    <row r="33" spans="1:19">
      <c r="A33" s="158"/>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0">
        <f t="shared" si="11"/>
        <v>0</v>
      </c>
    </row>
    <row r="34" spans="1:19">
      <c r="A34" s="158"/>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0">
        <f t="shared" si="11"/>
        <v>0</v>
      </c>
    </row>
    <row r="35" spans="1:19">
      <c r="A35" s="158"/>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0">
        <f t="shared" si="11"/>
        <v>0</v>
      </c>
    </row>
    <row r="36" spans="1:19">
      <c r="A36" s="158"/>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0">
        <f t="shared" si="11"/>
        <v>0</v>
      </c>
    </row>
    <row r="37" spans="1:19">
      <c r="A37" s="158"/>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0">
        <f t="shared" si="11"/>
        <v>0</v>
      </c>
    </row>
    <row r="38" spans="1:19">
      <c r="A38" s="158"/>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0">
        <f t="shared" si="11"/>
        <v>0</v>
      </c>
    </row>
    <row r="39" spans="1:19">
      <c r="A39" s="158"/>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0">
        <f t="shared" si="11"/>
        <v>0</v>
      </c>
    </row>
    <row r="40" spans="1:19">
      <c r="A40" s="158"/>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0">
        <f t="shared" si="11"/>
        <v>0</v>
      </c>
    </row>
    <row r="41" spans="1:19">
      <c r="A41" s="158"/>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0">
        <f t="shared" si="11"/>
        <v>0</v>
      </c>
    </row>
    <row r="42" spans="1:19">
      <c r="A42" s="158"/>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0">
        <f t="shared" si="11"/>
        <v>0</v>
      </c>
    </row>
    <row r="43" spans="1:19">
      <c r="A43" s="158"/>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0">
        <f t="shared" si="11"/>
        <v>0</v>
      </c>
    </row>
    <row r="44" spans="1:19">
      <c r="A44" s="158"/>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0">
        <f t="shared" si="11"/>
        <v>0</v>
      </c>
    </row>
    <row r="45" spans="1:19">
      <c r="A45" s="158"/>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0">
        <f t="shared" si="11"/>
        <v>0</v>
      </c>
    </row>
    <row r="46" spans="1:19">
      <c r="A46" s="158"/>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0">
        <f t="shared" si="11"/>
        <v>0</v>
      </c>
    </row>
    <row r="47" spans="1:19">
      <c r="A47" s="158"/>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0">
        <f t="shared" si="11"/>
        <v>0</v>
      </c>
    </row>
    <row r="48" spans="1:19">
      <c r="A48" s="158"/>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0">
        <f t="shared" si="11"/>
        <v>0</v>
      </c>
    </row>
    <row r="49" spans="1:19">
      <c r="A49" s="158"/>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0">
        <f t="shared" si="11"/>
        <v>0</v>
      </c>
    </row>
    <row r="50" spans="1:19">
      <c r="A50" s="158"/>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0">
        <f t="shared" si="11"/>
        <v>0</v>
      </c>
    </row>
    <row r="51" spans="1:19">
      <c r="A51" s="158"/>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0">
        <f t="shared" si="11"/>
        <v>0</v>
      </c>
    </row>
    <row r="52" spans="1:19">
      <c r="A52" s="158"/>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0">
        <f t="shared" si="11"/>
        <v>0</v>
      </c>
    </row>
    <row r="53" spans="1:19">
      <c r="A53" s="158"/>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0">
        <f t="shared" si="11"/>
        <v>0</v>
      </c>
    </row>
    <row r="54" spans="1:19">
      <c r="A54" s="158"/>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0">
        <f t="shared" si="11"/>
        <v>0</v>
      </c>
    </row>
    <row r="55" spans="1:19">
      <c r="A55" s="158"/>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0">
        <f t="shared" ref="S55:S77" si="21">ROUND(R55*B55/10000,0)</f>
        <v>0</v>
      </c>
    </row>
    <row r="56" spans="1:19">
      <c r="A56" s="158"/>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0">
        <f t="shared" si="21"/>
        <v>0</v>
      </c>
    </row>
    <row r="57" spans="1:19">
      <c r="A57" s="158"/>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0">
        <f t="shared" si="21"/>
        <v>0</v>
      </c>
    </row>
    <row r="58" spans="1:19">
      <c r="A58" s="158"/>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0">
        <f t="shared" si="21"/>
        <v>0</v>
      </c>
    </row>
    <row r="59" spans="1:19">
      <c r="A59" s="158"/>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0">
        <f t="shared" si="21"/>
        <v>0</v>
      </c>
    </row>
    <row r="60" spans="1:19">
      <c r="A60" s="158"/>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0">
        <f t="shared" si="21"/>
        <v>0</v>
      </c>
    </row>
    <row r="61" spans="1:19">
      <c r="A61" s="158"/>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0">
        <f t="shared" si="21"/>
        <v>0</v>
      </c>
    </row>
    <row r="62" spans="1:19">
      <c r="A62" s="158"/>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0">
        <f t="shared" si="21"/>
        <v>0</v>
      </c>
    </row>
    <row r="63" spans="1:19">
      <c r="A63" s="158"/>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0">
        <f t="shared" si="21"/>
        <v>0</v>
      </c>
    </row>
    <row r="64" spans="1:19">
      <c r="A64" s="158"/>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0">
        <f t="shared" si="21"/>
        <v>0</v>
      </c>
    </row>
    <row r="65" spans="1:19">
      <c r="A65" s="158"/>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0">
        <f t="shared" si="21"/>
        <v>0</v>
      </c>
    </row>
    <row r="66" spans="1:19">
      <c r="A66" s="158"/>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0">
        <f t="shared" si="21"/>
        <v>0</v>
      </c>
    </row>
    <row r="67" spans="1:19">
      <c r="A67" s="158"/>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0">
        <f t="shared" si="21"/>
        <v>0</v>
      </c>
    </row>
    <row r="68" spans="1:19">
      <c r="A68" s="158"/>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0">
        <f t="shared" si="21"/>
        <v>0</v>
      </c>
    </row>
    <row r="69" spans="1:19">
      <c r="A69" s="158"/>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0">
        <f t="shared" si="21"/>
        <v>0</v>
      </c>
    </row>
    <row r="70" spans="1:19">
      <c r="A70" s="158"/>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0">
        <f t="shared" si="21"/>
        <v>0</v>
      </c>
    </row>
    <row r="71" spans="1:19">
      <c r="A71" s="158"/>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0">
        <f t="shared" si="21"/>
        <v>0</v>
      </c>
    </row>
    <row r="72" spans="1:19">
      <c r="A72" s="158"/>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0">
        <f t="shared" si="21"/>
        <v>0</v>
      </c>
    </row>
    <row r="73" spans="1:19">
      <c r="A73" s="158"/>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0">
        <f t="shared" si="21"/>
        <v>0</v>
      </c>
    </row>
    <row r="74" spans="1:19">
      <c r="A74" s="158"/>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0">
        <f t="shared" si="21"/>
        <v>0</v>
      </c>
    </row>
    <row r="75" spans="1:19">
      <c r="A75" s="158"/>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0">
        <f t="shared" si="21"/>
        <v>0</v>
      </c>
    </row>
    <row r="76" spans="1:19">
      <c r="A76" s="158"/>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0">
        <f t="shared" si="21"/>
        <v>0</v>
      </c>
    </row>
    <row r="77" spans="1:19">
      <c r="A77" s="158"/>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0">
        <f t="shared" si="21"/>
        <v>0</v>
      </c>
    </row>
    <row r="78" spans="1:19">
      <c r="A78" s="158"/>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0">
        <f t="shared" ref="S78:S122" si="22">ROUND(R78*B78/10000,0)</f>
        <v>0</v>
      </c>
    </row>
    <row r="79" spans="1:19">
      <c r="A79" s="158"/>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0">
        <f t="shared" si="22"/>
        <v>0</v>
      </c>
    </row>
    <row r="80" spans="1:19">
      <c r="A80" s="158"/>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0">
        <f t="shared" si="22"/>
        <v>0</v>
      </c>
    </row>
    <row r="81" spans="1:19">
      <c r="A81" s="158"/>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0">
        <f t="shared" si="22"/>
        <v>0</v>
      </c>
    </row>
    <row r="82" spans="1:19">
      <c r="A82" s="158"/>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0">
        <f t="shared" si="22"/>
        <v>0</v>
      </c>
    </row>
    <row r="83" spans="1:19">
      <c r="A83" s="158"/>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0">
        <f t="shared" si="22"/>
        <v>0</v>
      </c>
    </row>
    <row r="84" spans="1:19">
      <c r="A84" s="158"/>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0">
        <f t="shared" si="22"/>
        <v>0</v>
      </c>
    </row>
    <row r="85" spans="1:19">
      <c r="A85" s="158"/>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0">
        <f t="shared" si="22"/>
        <v>0</v>
      </c>
    </row>
    <row r="86" spans="1:19">
      <c r="A86" s="158"/>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0">
        <f t="shared" si="22"/>
        <v>0</v>
      </c>
    </row>
    <row r="87" spans="1:19">
      <c r="A87" s="158"/>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0">
        <f t="shared" si="22"/>
        <v>0</v>
      </c>
    </row>
    <row r="88" spans="1:19">
      <c r="A88" s="158"/>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0">
        <f t="shared" si="22"/>
        <v>0</v>
      </c>
    </row>
    <row r="89" spans="1:19">
      <c r="A89" s="158"/>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0">
        <f t="shared" si="22"/>
        <v>0</v>
      </c>
    </row>
    <row r="90" spans="1:19">
      <c r="A90" s="158"/>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0">
        <f t="shared" si="22"/>
        <v>0</v>
      </c>
    </row>
    <row r="91" spans="1:19">
      <c r="A91" s="158"/>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0">
        <f t="shared" si="22"/>
        <v>0</v>
      </c>
    </row>
    <row r="92" spans="1:19">
      <c r="A92" s="158"/>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0">
        <f t="shared" si="22"/>
        <v>0</v>
      </c>
    </row>
    <row r="93" spans="1:19">
      <c r="A93" s="158"/>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0">
        <f t="shared" si="22"/>
        <v>0</v>
      </c>
    </row>
    <row r="94" spans="1:19">
      <c r="A94" s="158"/>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0">
        <f t="shared" si="22"/>
        <v>0</v>
      </c>
    </row>
    <row r="95" spans="1:19">
      <c r="A95" s="158"/>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0">
        <f t="shared" si="22"/>
        <v>0</v>
      </c>
    </row>
    <row r="96" spans="1:19">
      <c r="A96" s="158"/>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0">
        <f t="shared" si="22"/>
        <v>0</v>
      </c>
    </row>
    <row r="97" spans="1:19">
      <c r="A97" s="158"/>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0">
        <f t="shared" si="22"/>
        <v>0</v>
      </c>
    </row>
    <row r="98" spans="1:19">
      <c r="A98" s="158"/>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0">
        <f t="shared" si="22"/>
        <v>0</v>
      </c>
    </row>
    <row r="99" spans="1:19">
      <c r="A99" s="158"/>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0">
        <f t="shared" si="22"/>
        <v>0</v>
      </c>
    </row>
    <row r="100" spans="1:19">
      <c r="A100" s="158"/>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0">
        <f t="shared" si="22"/>
        <v>0</v>
      </c>
    </row>
    <row r="101" spans="1:19">
      <c r="A101" s="158"/>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0">
        <f t="shared" si="22"/>
        <v>0</v>
      </c>
    </row>
    <row r="102" spans="1:19">
      <c r="A102" s="158"/>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0">
        <f t="shared" si="22"/>
        <v>0</v>
      </c>
    </row>
    <row r="103" spans="1:19">
      <c r="A103" s="158"/>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0">
        <f t="shared" si="22"/>
        <v>0</v>
      </c>
    </row>
    <row r="104" spans="1:19">
      <c r="A104" s="158"/>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0">
        <f t="shared" si="22"/>
        <v>0</v>
      </c>
    </row>
    <row r="105" spans="1:19">
      <c r="A105" s="158"/>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0">
        <f t="shared" si="22"/>
        <v>0</v>
      </c>
    </row>
    <row r="106" spans="1:19">
      <c r="A106" s="158"/>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0">
        <f t="shared" si="22"/>
        <v>0</v>
      </c>
    </row>
    <row r="107" spans="1:19">
      <c r="A107" s="158"/>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0">
        <f t="shared" si="22"/>
        <v>0</v>
      </c>
    </row>
    <row r="108" spans="1:19">
      <c r="A108" s="158"/>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0">
        <f t="shared" si="22"/>
        <v>0</v>
      </c>
    </row>
    <row r="109" spans="1:19">
      <c r="A109" s="158"/>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0">
        <f t="shared" si="22"/>
        <v>0</v>
      </c>
    </row>
    <row r="110" spans="1:19">
      <c r="A110" s="158"/>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0">
        <f t="shared" si="22"/>
        <v>0</v>
      </c>
    </row>
    <row r="111" spans="1:19">
      <c r="A111" s="158"/>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0">
        <f t="shared" si="22"/>
        <v>0</v>
      </c>
    </row>
    <row r="112" spans="1:19">
      <c r="A112" s="158"/>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0">
        <f t="shared" si="22"/>
        <v>0</v>
      </c>
    </row>
    <row r="113" spans="1:19">
      <c r="A113" s="158"/>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0">
        <f t="shared" si="22"/>
        <v>0</v>
      </c>
    </row>
    <row r="114" spans="1:19">
      <c r="A114" s="158"/>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0">
        <f t="shared" si="22"/>
        <v>0</v>
      </c>
    </row>
    <row r="115" spans="1:19">
      <c r="A115" s="158"/>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0">
        <f t="shared" si="22"/>
        <v>0</v>
      </c>
    </row>
    <row r="116" spans="1:19">
      <c r="A116" s="158"/>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0">
        <f t="shared" si="22"/>
        <v>0</v>
      </c>
    </row>
    <row r="117" spans="1:19">
      <c r="A117" s="158"/>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0">
        <f t="shared" si="22"/>
        <v>0</v>
      </c>
    </row>
    <row r="118" spans="1:19">
      <c r="A118" s="158"/>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0">
        <f t="shared" si="22"/>
        <v>0</v>
      </c>
    </row>
    <row r="119" spans="1:19">
      <c r="A119" s="158"/>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0">
        <f t="shared" si="22"/>
        <v>0</v>
      </c>
    </row>
    <row r="120" spans="1:19">
      <c r="A120" s="158"/>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0">
        <f t="shared" si="22"/>
        <v>0</v>
      </c>
    </row>
    <row r="121" spans="1:19">
      <c r="A121" s="158"/>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0">
        <f t="shared" si="22"/>
        <v>0</v>
      </c>
    </row>
    <row r="122" spans="1:19">
      <c r="A122" s="158"/>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0">
        <f t="shared" si="22"/>
        <v>0</v>
      </c>
    </row>
    <row r="123" spans="1:19">
      <c r="A123" s="158"/>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0">
        <f t="shared" ref="S123:S186" si="32">ROUND(R123*B123/10000,0)</f>
        <v>0</v>
      </c>
    </row>
    <row r="124" spans="1:19">
      <c r="A124" s="158"/>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0">
        <f t="shared" si="32"/>
        <v>0</v>
      </c>
    </row>
    <row r="125" spans="1:19">
      <c r="A125" s="158"/>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0">
        <f t="shared" si="32"/>
        <v>0</v>
      </c>
    </row>
    <row r="126" spans="1:19">
      <c r="A126" s="158"/>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0">
        <f t="shared" si="32"/>
        <v>0</v>
      </c>
    </row>
    <row r="127" spans="1:19">
      <c r="A127" s="158"/>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0">
        <f t="shared" si="32"/>
        <v>0</v>
      </c>
    </row>
    <row r="128" spans="1:19">
      <c r="A128" s="158"/>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0">
        <f t="shared" si="32"/>
        <v>0</v>
      </c>
    </row>
    <row r="129" spans="1:19">
      <c r="A129" s="158"/>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0">
        <f t="shared" si="32"/>
        <v>0</v>
      </c>
    </row>
    <row r="130" spans="1:19">
      <c r="A130" s="158"/>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0">
        <f t="shared" si="32"/>
        <v>0</v>
      </c>
    </row>
    <row r="131" spans="1:19">
      <c r="A131" s="158"/>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0">
        <f t="shared" si="32"/>
        <v>0</v>
      </c>
    </row>
    <row r="132" spans="1:19">
      <c r="A132" s="158"/>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0">
        <f t="shared" si="32"/>
        <v>0</v>
      </c>
    </row>
    <row r="133" spans="1:19">
      <c r="A133" s="158"/>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0">
        <f t="shared" si="32"/>
        <v>0</v>
      </c>
    </row>
    <row r="134" spans="1:19">
      <c r="A134" s="158"/>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0">
        <f t="shared" si="32"/>
        <v>0</v>
      </c>
    </row>
    <row r="135" spans="1:19">
      <c r="A135" s="158"/>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0">
        <f t="shared" si="32"/>
        <v>0</v>
      </c>
    </row>
    <row r="136" spans="1:19">
      <c r="A136" s="158"/>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0">
        <f t="shared" si="32"/>
        <v>0</v>
      </c>
    </row>
    <row r="137" spans="1:19">
      <c r="A137" s="158"/>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0">
        <f t="shared" si="32"/>
        <v>0</v>
      </c>
    </row>
    <row r="138" spans="1:19">
      <c r="A138" s="158"/>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0">
        <f t="shared" si="32"/>
        <v>0</v>
      </c>
    </row>
    <row r="139" spans="1:19">
      <c r="A139" s="158"/>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0">
        <f t="shared" si="32"/>
        <v>0</v>
      </c>
    </row>
    <row r="140" spans="1:19">
      <c r="A140" s="158"/>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0">
        <f t="shared" si="32"/>
        <v>0</v>
      </c>
    </row>
    <row r="141" spans="1:19">
      <c r="A141" s="158"/>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0">
        <f t="shared" si="32"/>
        <v>0</v>
      </c>
    </row>
    <row r="142" spans="1:19">
      <c r="A142" s="158"/>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0">
        <f t="shared" si="32"/>
        <v>0</v>
      </c>
    </row>
    <row r="143" spans="1:19">
      <c r="A143" s="158"/>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0">
        <f t="shared" si="32"/>
        <v>0</v>
      </c>
    </row>
    <row r="144" spans="1:19">
      <c r="A144" s="158"/>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0">
        <f t="shared" si="32"/>
        <v>0</v>
      </c>
    </row>
    <row r="145" spans="1:19">
      <c r="A145" s="158"/>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0">
        <f t="shared" si="32"/>
        <v>0</v>
      </c>
    </row>
    <row r="146" spans="1:19">
      <c r="A146" s="158"/>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0">
        <f t="shared" si="32"/>
        <v>0</v>
      </c>
    </row>
    <row r="147" spans="1:19">
      <c r="A147" s="158"/>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0">
        <f t="shared" si="32"/>
        <v>0</v>
      </c>
    </row>
    <row r="148" spans="1:19">
      <c r="A148" s="158"/>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0">
        <f t="shared" si="32"/>
        <v>0</v>
      </c>
    </row>
    <row r="149" spans="1:19">
      <c r="A149" s="158"/>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0">
        <f t="shared" si="32"/>
        <v>0</v>
      </c>
    </row>
    <row r="150" spans="1:19">
      <c r="A150" s="158"/>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0">
        <f t="shared" si="32"/>
        <v>0</v>
      </c>
    </row>
    <row r="151" spans="1:19">
      <c r="A151" s="158"/>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0">
        <f t="shared" si="32"/>
        <v>0</v>
      </c>
    </row>
    <row r="152" spans="1:19">
      <c r="A152" s="158"/>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0">
        <f t="shared" si="32"/>
        <v>0</v>
      </c>
    </row>
    <row r="153" spans="1:19">
      <c r="A153" s="158"/>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0">
        <f t="shared" si="32"/>
        <v>0</v>
      </c>
    </row>
    <row r="154" spans="1:19">
      <c r="A154" s="158"/>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0">
        <f t="shared" si="32"/>
        <v>0</v>
      </c>
    </row>
    <row r="155" spans="1:19">
      <c r="A155" s="158"/>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0">
        <f t="shared" si="32"/>
        <v>0</v>
      </c>
    </row>
    <row r="156" spans="1:19">
      <c r="A156" s="158"/>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0">
        <f t="shared" si="32"/>
        <v>0</v>
      </c>
    </row>
    <row r="157" spans="1:19">
      <c r="A157" s="158"/>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0">
        <f t="shared" si="32"/>
        <v>0</v>
      </c>
    </row>
    <row r="158" spans="1:19">
      <c r="A158" s="158"/>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0">
        <f t="shared" si="32"/>
        <v>0</v>
      </c>
    </row>
    <row r="159" spans="1:19">
      <c r="A159" s="158"/>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0">
        <f t="shared" si="32"/>
        <v>0</v>
      </c>
    </row>
    <row r="160" spans="1:19">
      <c r="A160" s="158"/>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0">
        <f t="shared" si="32"/>
        <v>0</v>
      </c>
    </row>
    <row r="161" spans="1:19">
      <c r="A161" s="158"/>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0">
        <f t="shared" si="32"/>
        <v>0</v>
      </c>
    </row>
    <row r="162" spans="1:19">
      <c r="A162" s="158"/>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0">
        <f t="shared" si="32"/>
        <v>0</v>
      </c>
    </row>
    <row r="163" spans="1:19">
      <c r="A163" s="158"/>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0">
        <f t="shared" si="32"/>
        <v>0</v>
      </c>
    </row>
    <row r="164" spans="1:19">
      <c r="A164" s="158"/>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0">
        <f t="shared" si="32"/>
        <v>0</v>
      </c>
    </row>
    <row r="165" spans="1:19">
      <c r="A165" s="158"/>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0">
        <f t="shared" si="32"/>
        <v>0</v>
      </c>
    </row>
    <row r="166" spans="1:19">
      <c r="A166" s="158"/>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0">
        <f t="shared" si="32"/>
        <v>0</v>
      </c>
    </row>
    <row r="167" spans="1:19">
      <c r="A167" s="158"/>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0">
        <f t="shared" si="32"/>
        <v>0</v>
      </c>
    </row>
    <row r="168" spans="1:19">
      <c r="A168" s="158"/>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0">
        <f t="shared" si="32"/>
        <v>0</v>
      </c>
    </row>
    <row r="169" spans="1:19">
      <c r="A169" s="158"/>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0">
        <f t="shared" si="32"/>
        <v>0</v>
      </c>
    </row>
    <row r="170" spans="1:19">
      <c r="A170" s="158"/>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0">
        <f t="shared" si="32"/>
        <v>0</v>
      </c>
    </row>
    <row r="171" spans="1:19">
      <c r="A171" s="158"/>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0">
        <f t="shared" si="32"/>
        <v>0</v>
      </c>
    </row>
    <row r="172" spans="1:19">
      <c r="A172" s="158"/>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0">
        <f t="shared" si="32"/>
        <v>0</v>
      </c>
    </row>
    <row r="173" spans="1:19">
      <c r="A173" s="158"/>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0">
        <f t="shared" si="32"/>
        <v>0</v>
      </c>
    </row>
    <row r="174" spans="1:19">
      <c r="A174" s="158"/>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0">
        <f t="shared" si="32"/>
        <v>0</v>
      </c>
    </row>
    <row r="175" spans="1:19">
      <c r="A175" s="158"/>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0">
        <f t="shared" si="32"/>
        <v>0</v>
      </c>
    </row>
    <row r="176" spans="1:19">
      <c r="A176" s="158"/>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0">
        <f t="shared" si="32"/>
        <v>0</v>
      </c>
    </row>
    <row r="177" spans="1:19">
      <c r="A177" s="158"/>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0">
        <f t="shared" si="32"/>
        <v>0</v>
      </c>
    </row>
    <row r="178" spans="1:19">
      <c r="A178" s="158"/>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0">
        <f t="shared" si="32"/>
        <v>0</v>
      </c>
    </row>
    <row r="179" spans="1:19">
      <c r="A179" s="158"/>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0">
        <f t="shared" si="32"/>
        <v>0</v>
      </c>
    </row>
    <row r="180" spans="1:19">
      <c r="A180" s="158"/>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0">
        <f t="shared" si="32"/>
        <v>0</v>
      </c>
    </row>
    <row r="181" spans="1:19">
      <c r="A181" s="158"/>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0">
        <f t="shared" si="32"/>
        <v>0</v>
      </c>
    </row>
    <row r="182" spans="1:19">
      <c r="A182" s="158"/>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0">
        <f t="shared" si="32"/>
        <v>0</v>
      </c>
    </row>
    <row r="183" spans="1:19">
      <c r="A183" s="158"/>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0">
        <f t="shared" si="32"/>
        <v>0</v>
      </c>
    </row>
    <row r="184" spans="1:19">
      <c r="A184" s="158"/>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0">
        <f t="shared" si="32"/>
        <v>0</v>
      </c>
    </row>
    <row r="185" spans="1:19">
      <c r="A185" s="158"/>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0">
        <f t="shared" si="32"/>
        <v>0</v>
      </c>
    </row>
    <row r="186" spans="1:19">
      <c r="A186" s="158"/>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0">
        <f t="shared" si="32"/>
        <v>0</v>
      </c>
    </row>
    <row r="187" spans="1:19">
      <c r="A187" s="158"/>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0">
        <f t="shared" ref="S187:S222" si="42">ROUND(R187*B187/10000,0)</f>
        <v>0</v>
      </c>
    </row>
    <row r="188" spans="1:19">
      <c r="A188" s="158"/>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0">
        <f t="shared" si="42"/>
        <v>0</v>
      </c>
    </row>
    <row r="189" spans="1:19">
      <c r="A189" s="158"/>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0">
        <f t="shared" si="42"/>
        <v>0</v>
      </c>
    </row>
    <row r="190" spans="1:19">
      <c r="A190" s="158"/>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0">
        <f t="shared" si="42"/>
        <v>0</v>
      </c>
    </row>
    <row r="191" spans="1:19">
      <c r="A191" s="158"/>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0">
        <f t="shared" si="42"/>
        <v>0</v>
      </c>
    </row>
    <row r="192" spans="1:19">
      <c r="A192" s="158"/>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0">
        <f t="shared" si="42"/>
        <v>0</v>
      </c>
    </row>
    <row r="193" spans="1:19">
      <c r="A193" s="158"/>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0">
        <f t="shared" si="42"/>
        <v>0</v>
      </c>
    </row>
    <row r="194" spans="1:19">
      <c r="A194" s="158"/>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0">
        <f t="shared" si="42"/>
        <v>0</v>
      </c>
    </row>
    <row r="195" spans="1:19">
      <c r="A195" s="158"/>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0">
        <f t="shared" si="42"/>
        <v>0</v>
      </c>
    </row>
    <row r="196" spans="1:19">
      <c r="A196" s="158"/>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0">
        <f t="shared" si="42"/>
        <v>0</v>
      </c>
    </row>
    <row r="197" spans="1:19">
      <c r="A197" s="158"/>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0">
        <f t="shared" si="42"/>
        <v>0</v>
      </c>
    </row>
    <row r="198" spans="1:19">
      <c r="A198" s="158"/>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0">
        <f t="shared" si="42"/>
        <v>0</v>
      </c>
    </row>
    <row r="199" spans="1:19">
      <c r="A199" s="158"/>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0">
        <f t="shared" si="42"/>
        <v>0</v>
      </c>
    </row>
    <row r="200" spans="1:19">
      <c r="A200" s="158"/>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0">
        <f t="shared" si="42"/>
        <v>0</v>
      </c>
    </row>
    <row r="201" spans="1:19">
      <c r="A201" s="158"/>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0">
        <f t="shared" si="42"/>
        <v>0</v>
      </c>
    </row>
    <row r="202" spans="1:19">
      <c r="A202" s="158"/>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0">
        <f t="shared" si="42"/>
        <v>0</v>
      </c>
    </row>
    <row r="203" spans="1:19">
      <c r="A203" s="158"/>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0">
        <f t="shared" si="42"/>
        <v>0</v>
      </c>
    </row>
    <row r="204" spans="1:19">
      <c r="A204" s="158"/>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0">
        <f t="shared" si="42"/>
        <v>0</v>
      </c>
    </row>
    <row r="205" spans="1:19">
      <c r="A205" s="158"/>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0">
        <f t="shared" si="42"/>
        <v>0</v>
      </c>
    </row>
    <row r="206" spans="1:19">
      <c r="A206" s="158"/>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0">
        <f t="shared" si="42"/>
        <v>0</v>
      </c>
    </row>
    <row r="207" spans="1:19">
      <c r="A207" s="158"/>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0">
        <f t="shared" si="42"/>
        <v>0</v>
      </c>
    </row>
    <row r="208" spans="1:19">
      <c r="A208" s="158"/>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0">
        <f t="shared" si="42"/>
        <v>0</v>
      </c>
    </row>
    <row r="209" spans="1:19">
      <c r="A209" s="158"/>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0">
        <f t="shared" si="42"/>
        <v>0</v>
      </c>
    </row>
    <row r="210" spans="1:19">
      <c r="A210" s="158"/>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0">
        <f t="shared" si="42"/>
        <v>0</v>
      </c>
    </row>
    <row r="211" spans="1:19">
      <c r="A211" s="158"/>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0">
        <f t="shared" si="42"/>
        <v>0</v>
      </c>
    </row>
    <row r="212" spans="1:19">
      <c r="A212" s="158"/>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0">
        <f t="shared" si="42"/>
        <v>0</v>
      </c>
    </row>
    <row r="213" spans="1:19">
      <c r="A213" s="158"/>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0">
        <f t="shared" si="42"/>
        <v>0</v>
      </c>
    </row>
    <row r="214" spans="1:19">
      <c r="A214" s="158"/>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0">
        <f t="shared" si="42"/>
        <v>0</v>
      </c>
    </row>
    <row r="215" spans="1:19">
      <c r="A215" s="158"/>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0">
        <f t="shared" si="42"/>
        <v>0</v>
      </c>
    </row>
    <row r="216" spans="1:19">
      <c r="A216" s="158"/>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0">
        <f t="shared" si="42"/>
        <v>0</v>
      </c>
    </row>
    <row r="217" spans="1:19">
      <c r="A217" s="158"/>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0">
        <f t="shared" si="42"/>
        <v>0</v>
      </c>
    </row>
    <row r="218" spans="1:19">
      <c r="A218" s="158"/>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0">
        <f t="shared" si="42"/>
        <v>0</v>
      </c>
    </row>
    <row r="219" spans="1:19">
      <c r="A219" s="158"/>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0">
        <f t="shared" si="42"/>
        <v>0</v>
      </c>
    </row>
    <row r="220" spans="1:19">
      <c r="A220" s="158"/>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0">
        <f t="shared" si="42"/>
        <v>0</v>
      </c>
    </row>
    <row r="221" spans="1:19">
      <c r="A221" s="158"/>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0">
        <f t="shared" si="42"/>
        <v>0</v>
      </c>
    </row>
    <row r="222" spans="1:19">
      <c r="A222" s="158"/>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0">
        <f t="shared" si="42"/>
        <v>0</v>
      </c>
    </row>
    <row r="223" spans="1:19">
      <c r="A223" s="158"/>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0">
        <f t="shared" ref="S223:S286" si="52">ROUND(R223*B223/10000,0)</f>
        <v>0</v>
      </c>
    </row>
    <row r="224" spans="1:19">
      <c r="A224" s="158"/>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0">
        <f t="shared" si="52"/>
        <v>0</v>
      </c>
    </row>
    <row r="225" spans="1:19">
      <c r="A225" s="158"/>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0">
        <f t="shared" si="52"/>
        <v>0</v>
      </c>
    </row>
    <row r="226" spans="1:19">
      <c r="A226" s="158"/>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0">
        <f t="shared" si="52"/>
        <v>0</v>
      </c>
    </row>
    <row r="227" spans="1:19">
      <c r="A227" s="158"/>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0">
        <f t="shared" si="52"/>
        <v>0</v>
      </c>
    </row>
    <row r="228" spans="1:19">
      <c r="A228" s="158"/>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0">
        <f t="shared" si="52"/>
        <v>0</v>
      </c>
    </row>
    <row r="229" spans="1:19">
      <c r="A229" s="158"/>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0">
        <f t="shared" si="52"/>
        <v>0</v>
      </c>
    </row>
    <row r="230" spans="1:19">
      <c r="A230" s="158"/>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0">
        <f t="shared" si="52"/>
        <v>0</v>
      </c>
    </row>
    <row r="231" spans="1:19">
      <c r="A231" s="158"/>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0">
        <f t="shared" si="52"/>
        <v>0</v>
      </c>
    </row>
    <row r="232" spans="1:19">
      <c r="A232" s="158"/>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0">
        <f t="shared" si="52"/>
        <v>0</v>
      </c>
    </row>
    <row r="233" spans="1:19">
      <c r="A233" s="158"/>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0">
        <f t="shared" si="52"/>
        <v>0</v>
      </c>
    </row>
    <row r="234" spans="1:19">
      <c r="A234" s="158"/>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0">
        <f t="shared" si="52"/>
        <v>0</v>
      </c>
    </row>
    <row r="235" spans="1:19">
      <c r="A235" s="158"/>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0">
        <f t="shared" si="52"/>
        <v>0</v>
      </c>
    </row>
    <row r="236" spans="1:19">
      <c r="A236" s="158"/>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0">
        <f t="shared" si="52"/>
        <v>0</v>
      </c>
    </row>
    <row r="237" spans="1:19">
      <c r="A237" s="158"/>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0">
        <f t="shared" si="52"/>
        <v>0</v>
      </c>
    </row>
    <row r="238" spans="1:19">
      <c r="A238" s="158"/>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0">
        <f t="shared" si="52"/>
        <v>0</v>
      </c>
    </row>
    <row r="239" spans="1:19">
      <c r="A239" s="158"/>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0">
        <f t="shared" si="52"/>
        <v>0</v>
      </c>
    </row>
    <row r="240" spans="1:19">
      <c r="A240" s="158"/>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0">
        <f t="shared" si="52"/>
        <v>0</v>
      </c>
    </row>
    <row r="241" spans="1:19">
      <c r="A241" s="158"/>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0">
        <f t="shared" si="52"/>
        <v>0</v>
      </c>
    </row>
    <row r="242" spans="1:19">
      <c r="A242" s="158"/>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0">
        <f t="shared" si="52"/>
        <v>0</v>
      </c>
    </row>
    <row r="243" spans="1:19">
      <c r="A243" s="158"/>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0">
        <f t="shared" si="52"/>
        <v>0</v>
      </c>
    </row>
    <row r="244" spans="1:19">
      <c r="A244" s="158"/>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0">
        <f t="shared" si="52"/>
        <v>0</v>
      </c>
    </row>
    <row r="245" spans="1:19">
      <c r="A245" s="158"/>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0">
        <f t="shared" si="52"/>
        <v>0</v>
      </c>
    </row>
    <row r="246" spans="1:19">
      <c r="A246" s="158"/>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0">
        <f t="shared" si="52"/>
        <v>0</v>
      </c>
    </row>
    <row r="247" spans="1:19">
      <c r="A247" s="158"/>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0">
        <f t="shared" si="52"/>
        <v>0</v>
      </c>
    </row>
    <row r="248" spans="1:19">
      <c r="A248" s="158"/>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0">
        <f t="shared" si="52"/>
        <v>0</v>
      </c>
    </row>
    <row r="249" spans="1:19">
      <c r="A249" s="158"/>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0">
        <f t="shared" si="52"/>
        <v>0</v>
      </c>
    </row>
    <row r="250" spans="1:19">
      <c r="A250" s="158"/>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0">
        <f t="shared" si="52"/>
        <v>0</v>
      </c>
    </row>
    <row r="251" spans="1:19">
      <c r="A251" s="158"/>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0">
        <f t="shared" si="52"/>
        <v>0</v>
      </c>
    </row>
    <row r="252" spans="1:19">
      <c r="A252" s="158"/>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0">
        <f t="shared" si="52"/>
        <v>0</v>
      </c>
    </row>
    <row r="253" spans="1:19">
      <c r="A253" s="158"/>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0">
        <f t="shared" si="52"/>
        <v>0</v>
      </c>
    </row>
    <row r="254" spans="1:19">
      <c r="A254" s="158"/>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0">
        <f t="shared" si="52"/>
        <v>0</v>
      </c>
    </row>
    <row r="255" spans="1:19">
      <c r="A255" s="158"/>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0">
        <f t="shared" si="52"/>
        <v>0</v>
      </c>
    </row>
    <row r="256" spans="1:19">
      <c r="A256" s="158"/>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0">
        <f t="shared" si="52"/>
        <v>0</v>
      </c>
    </row>
    <row r="257" spans="1:19">
      <c r="A257" s="158"/>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0">
        <f t="shared" si="52"/>
        <v>0</v>
      </c>
    </row>
    <row r="258" spans="1:19">
      <c r="A258" s="158"/>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0">
        <f t="shared" si="52"/>
        <v>0</v>
      </c>
    </row>
    <row r="259" spans="1:19">
      <c r="A259" s="158"/>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0">
        <f t="shared" si="52"/>
        <v>0</v>
      </c>
    </row>
    <row r="260" spans="1:19">
      <c r="A260" s="158"/>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0">
        <f t="shared" si="52"/>
        <v>0</v>
      </c>
    </row>
    <row r="261" spans="1:19">
      <c r="A261" s="158"/>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0">
        <f t="shared" si="52"/>
        <v>0</v>
      </c>
    </row>
    <row r="262" spans="1:19">
      <c r="A262" s="158"/>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0">
        <f t="shared" si="52"/>
        <v>0</v>
      </c>
    </row>
    <row r="263" spans="1:19">
      <c r="A263" s="158"/>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0">
        <f t="shared" si="52"/>
        <v>0</v>
      </c>
    </row>
    <row r="264" spans="1:19">
      <c r="A264" s="158"/>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0">
        <f t="shared" si="52"/>
        <v>0</v>
      </c>
    </row>
    <row r="265" spans="1:19">
      <c r="A265" s="158"/>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0">
        <f t="shared" si="52"/>
        <v>0</v>
      </c>
    </row>
    <row r="266" spans="1:19">
      <c r="A266" s="158"/>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0">
        <f t="shared" si="52"/>
        <v>0</v>
      </c>
    </row>
    <row r="267" spans="1:19">
      <c r="A267" s="158"/>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0">
        <f t="shared" si="52"/>
        <v>0</v>
      </c>
    </row>
    <row r="268" spans="1:19">
      <c r="A268" s="158"/>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0">
        <f t="shared" si="52"/>
        <v>0</v>
      </c>
    </row>
    <row r="269" spans="1:19">
      <c r="A269" s="158"/>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0">
        <f t="shared" si="52"/>
        <v>0</v>
      </c>
    </row>
    <row r="270" spans="1:19">
      <c r="A270" s="158"/>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0">
        <f t="shared" si="52"/>
        <v>0</v>
      </c>
    </row>
    <row r="271" spans="1:19">
      <c r="A271" s="158"/>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0">
        <f t="shared" si="52"/>
        <v>0</v>
      </c>
    </row>
    <row r="272" spans="1:19">
      <c r="A272" s="158"/>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0">
        <f t="shared" si="52"/>
        <v>0</v>
      </c>
    </row>
    <row r="273" spans="1:19">
      <c r="A273" s="158"/>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0">
        <f t="shared" si="52"/>
        <v>0</v>
      </c>
    </row>
    <row r="274" spans="1:19">
      <c r="A274" s="158"/>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0">
        <f t="shared" si="52"/>
        <v>0</v>
      </c>
    </row>
    <row r="275" spans="1:19">
      <c r="A275" s="158"/>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0">
        <f t="shared" si="52"/>
        <v>0</v>
      </c>
    </row>
    <row r="276" spans="1:19">
      <c r="A276" s="158"/>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0">
        <f t="shared" si="52"/>
        <v>0</v>
      </c>
    </row>
    <row r="277" spans="1:19">
      <c r="A277" s="158"/>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0">
        <f t="shared" si="52"/>
        <v>0</v>
      </c>
    </row>
    <row r="278" spans="1:19">
      <c r="A278" s="158"/>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0">
        <f t="shared" si="52"/>
        <v>0</v>
      </c>
    </row>
    <row r="279" spans="1:19">
      <c r="A279" s="158"/>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0">
        <f t="shared" si="52"/>
        <v>0</v>
      </c>
    </row>
    <row r="280" spans="1:19">
      <c r="A280" s="158"/>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0">
        <f t="shared" si="52"/>
        <v>0</v>
      </c>
    </row>
    <row r="281" spans="1:19">
      <c r="A281" s="158"/>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0">
        <f t="shared" si="52"/>
        <v>0</v>
      </c>
    </row>
    <row r="282" spans="1:19">
      <c r="A282" s="158"/>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0">
        <f t="shared" si="52"/>
        <v>0</v>
      </c>
    </row>
    <row r="283" spans="1:19">
      <c r="A283" s="158"/>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0">
        <f t="shared" si="52"/>
        <v>0</v>
      </c>
    </row>
    <row r="284" spans="1:19">
      <c r="A284" s="158"/>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0">
        <f t="shared" si="52"/>
        <v>0</v>
      </c>
    </row>
    <row r="285" spans="1:19">
      <c r="A285" s="158"/>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0">
        <f t="shared" si="52"/>
        <v>0</v>
      </c>
    </row>
    <row r="286" spans="1:19">
      <c r="A286" s="158"/>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0">
        <f t="shared" si="52"/>
        <v>0</v>
      </c>
    </row>
    <row r="287" spans="1:19">
      <c r="A287" s="158"/>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0">
        <f t="shared" ref="S287:S320" si="62">ROUND(R287*B287/10000,0)</f>
        <v>0</v>
      </c>
    </row>
    <row r="288" spans="1:19">
      <c r="A288" s="158"/>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0">
        <f t="shared" si="62"/>
        <v>0</v>
      </c>
    </row>
    <row r="289" spans="1:19">
      <c r="A289" s="158"/>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0">
        <f t="shared" si="62"/>
        <v>0</v>
      </c>
    </row>
    <row r="290" spans="1:19">
      <c r="A290" s="158"/>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0">
        <f t="shared" si="62"/>
        <v>0</v>
      </c>
    </row>
    <row r="291" spans="1:19">
      <c r="A291" s="158"/>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0">
        <f t="shared" si="62"/>
        <v>0</v>
      </c>
    </row>
    <row r="292" spans="1:19">
      <c r="A292" s="158"/>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0">
        <f t="shared" si="62"/>
        <v>0</v>
      </c>
    </row>
    <row r="293" spans="1:19">
      <c r="A293" s="158"/>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0">
        <f t="shared" si="62"/>
        <v>0</v>
      </c>
    </row>
    <row r="294" spans="1:19">
      <c r="A294" s="158"/>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0">
        <f t="shared" si="62"/>
        <v>0</v>
      </c>
    </row>
    <row r="295" spans="1:19">
      <c r="A295" s="158"/>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0">
        <f t="shared" si="62"/>
        <v>0</v>
      </c>
    </row>
    <row r="296" spans="1:19">
      <c r="A296" s="158"/>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0">
        <f t="shared" si="62"/>
        <v>0</v>
      </c>
    </row>
    <row r="297" spans="1:19">
      <c r="A297" s="158"/>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0">
        <f t="shared" si="62"/>
        <v>0</v>
      </c>
    </row>
    <row r="298" spans="1:19">
      <c r="A298" s="158"/>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0">
        <f t="shared" si="62"/>
        <v>0</v>
      </c>
    </row>
    <row r="299" spans="1:19">
      <c r="A299" s="158"/>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0">
        <f t="shared" si="62"/>
        <v>0</v>
      </c>
    </row>
    <row r="300" spans="1:19">
      <c r="A300" s="158"/>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0">
        <f t="shared" si="62"/>
        <v>0</v>
      </c>
    </row>
    <row r="301" spans="1:19">
      <c r="A301" s="158"/>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0">
        <f t="shared" si="62"/>
        <v>0</v>
      </c>
    </row>
    <row r="302" spans="1:19">
      <c r="A302" s="158"/>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0">
        <f t="shared" si="62"/>
        <v>0</v>
      </c>
    </row>
    <row r="303" spans="1:19">
      <c r="A303" s="158"/>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0">
        <f t="shared" si="62"/>
        <v>0</v>
      </c>
    </row>
    <row r="304" spans="1:19">
      <c r="A304" s="158"/>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0">
        <f t="shared" si="62"/>
        <v>0</v>
      </c>
    </row>
    <row r="305" spans="1:19">
      <c r="A305" s="158"/>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0">
        <f t="shared" si="62"/>
        <v>0</v>
      </c>
    </row>
    <row r="306" spans="1:19">
      <c r="A306" s="158"/>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0">
        <f t="shared" si="62"/>
        <v>0</v>
      </c>
    </row>
    <row r="307" spans="1:19">
      <c r="A307" s="158"/>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0">
        <f t="shared" si="62"/>
        <v>0</v>
      </c>
    </row>
    <row r="308" spans="1:19">
      <c r="A308" s="158"/>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0">
        <f t="shared" si="62"/>
        <v>0</v>
      </c>
    </row>
    <row r="309" spans="1:19">
      <c r="A309" s="158"/>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0">
        <f t="shared" si="62"/>
        <v>0</v>
      </c>
    </row>
    <row r="310" spans="1:19">
      <c r="A310" s="158"/>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0">
        <f t="shared" si="62"/>
        <v>0</v>
      </c>
    </row>
    <row r="311" spans="1:19">
      <c r="A311" s="158"/>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0">
        <f t="shared" si="62"/>
        <v>0</v>
      </c>
    </row>
    <row r="312" spans="1:19">
      <c r="A312" s="158"/>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0">
        <f t="shared" si="62"/>
        <v>0</v>
      </c>
    </row>
    <row r="313" spans="1:19">
      <c r="A313" s="158"/>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0">
        <f t="shared" si="62"/>
        <v>0</v>
      </c>
    </row>
    <row r="314" spans="1:19">
      <c r="A314" s="158"/>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0">
        <f t="shared" si="62"/>
        <v>0</v>
      </c>
    </row>
    <row r="315" spans="1:19">
      <c r="A315" s="158"/>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0">
        <f t="shared" si="62"/>
        <v>0</v>
      </c>
    </row>
    <row r="316" spans="1:19">
      <c r="A316" s="158"/>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0">
        <f t="shared" si="62"/>
        <v>0</v>
      </c>
    </row>
    <row r="317" spans="1:19">
      <c r="A317" s="158"/>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0">
        <f t="shared" si="62"/>
        <v>0</v>
      </c>
    </row>
    <row r="318" spans="1:19">
      <c r="A318" s="158"/>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0">
        <f t="shared" si="62"/>
        <v>0</v>
      </c>
    </row>
    <row r="319" spans="1:19">
      <c r="A319" s="158"/>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0">
        <f t="shared" si="62"/>
        <v>0</v>
      </c>
    </row>
    <row r="320" spans="1:19">
      <c r="A320" s="158"/>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0">
        <f t="shared" si="62"/>
        <v>0</v>
      </c>
    </row>
    <row r="321" spans="1:19">
      <c r="A321" s="158"/>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0">
        <f t="shared" ref="S321:S384" si="63">ROUND(R321*B321/10000,0)</f>
        <v>0</v>
      </c>
    </row>
    <row r="322" spans="1:19">
      <c r="A322" s="158"/>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0">
        <f t="shared" si="63"/>
        <v>0</v>
      </c>
    </row>
    <row r="323" spans="1:19">
      <c r="A323" s="158"/>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0">
        <f t="shared" si="63"/>
        <v>0</v>
      </c>
    </row>
    <row r="324" spans="1:19">
      <c r="A324" s="158"/>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0">
        <f t="shared" si="63"/>
        <v>0</v>
      </c>
    </row>
    <row r="325" spans="1:19">
      <c r="A325" s="158"/>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0">
        <f t="shared" si="63"/>
        <v>0</v>
      </c>
    </row>
    <row r="326" spans="1:19">
      <c r="A326" s="158"/>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0">
        <f t="shared" si="63"/>
        <v>0</v>
      </c>
    </row>
    <row r="327" spans="1:19">
      <c r="A327" s="158"/>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0">
        <f t="shared" si="63"/>
        <v>0</v>
      </c>
    </row>
    <row r="328" spans="1:19">
      <c r="A328" s="158"/>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0">
        <f t="shared" si="63"/>
        <v>0</v>
      </c>
    </row>
    <row r="329" spans="1:19">
      <c r="A329" s="158"/>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0">
        <f t="shared" si="63"/>
        <v>0</v>
      </c>
    </row>
    <row r="330" spans="1:19">
      <c r="A330" s="158"/>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0">
        <f t="shared" si="63"/>
        <v>0</v>
      </c>
    </row>
    <row r="331" spans="1:19">
      <c r="A331" s="158"/>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0">
        <f t="shared" si="63"/>
        <v>0</v>
      </c>
    </row>
    <row r="332" spans="1:19">
      <c r="A332" s="158"/>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0">
        <f t="shared" si="63"/>
        <v>0</v>
      </c>
    </row>
    <row r="333" spans="1:19">
      <c r="A333" s="158"/>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0">
        <f t="shared" si="63"/>
        <v>0</v>
      </c>
    </row>
    <row r="334" spans="1:19">
      <c r="A334" s="158"/>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0">
        <f t="shared" si="63"/>
        <v>0</v>
      </c>
    </row>
    <row r="335" spans="1:19">
      <c r="A335" s="158"/>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0">
        <f t="shared" si="63"/>
        <v>0</v>
      </c>
    </row>
    <row r="336" spans="1:19">
      <c r="A336" s="158"/>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0">
        <f t="shared" si="63"/>
        <v>0</v>
      </c>
    </row>
    <row r="337" spans="1:19">
      <c r="A337" s="158"/>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0">
        <f t="shared" si="63"/>
        <v>0</v>
      </c>
    </row>
    <row r="338" spans="1:19">
      <c r="A338" s="158"/>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0">
        <f t="shared" si="63"/>
        <v>0</v>
      </c>
    </row>
    <row r="339" spans="1:19">
      <c r="A339" s="158"/>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0">
        <f t="shared" si="63"/>
        <v>0</v>
      </c>
    </row>
    <row r="340" spans="1:19">
      <c r="A340" s="158"/>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0">
        <f t="shared" si="63"/>
        <v>0</v>
      </c>
    </row>
    <row r="341" spans="1:19">
      <c r="A341" s="158"/>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0">
        <f t="shared" si="63"/>
        <v>0</v>
      </c>
    </row>
    <row r="342" spans="1:19">
      <c r="A342" s="158"/>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0">
        <f t="shared" si="63"/>
        <v>0</v>
      </c>
    </row>
    <row r="343" spans="1:19">
      <c r="A343" s="158"/>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0">
        <f t="shared" si="63"/>
        <v>0</v>
      </c>
    </row>
    <row r="344" spans="1:19">
      <c r="A344" s="158"/>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0">
        <f t="shared" si="63"/>
        <v>0</v>
      </c>
    </row>
    <row r="345" spans="1:19">
      <c r="A345" s="158"/>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0">
        <f t="shared" si="63"/>
        <v>0</v>
      </c>
    </row>
    <row r="346" spans="1:19">
      <c r="A346" s="158"/>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0">
        <f t="shared" si="63"/>
        <v>0</v>
      </c>
    </row>
    <row r="347" spans="1:19">
      <c r="A347" s="158"/>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0">
        <f t="shared" si="63"/>
        <v>0</v>
      </c>
    </row>
    <row r="348" spans="1:19">
      <c r="A348" s="158"/>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0">
        <f t="shared" si="63"/>
        <v>0</v>
      </c>
    </row>
    <row r="349" spans="1:19">
      <c r="A349" s="158"/>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0">
        <f t="shared" si="63"/>
        <v>0</v>
      </c>
    </row>
    <row r="350" spans="1:19">
      <c r="A350" s="158"/>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0">
        <f t="shared" si="63"/>
        <v>0</v>
      </c>
    </row>
    <row r="351" spans="1:19">
      <c r="A351" s="158"/>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0">
        <f t="shared" si="63"/>
        <v>0</v>
      </c>
    </row>
    <row r="352" spans="1:19">
      <c r="A352" s="158"/>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0">
        <f t="shared" si="63"/>
        <v>0</v>
      </c>
    </row>
    <row r="353" spans="1:19">
      <c r="A353" s="158"/>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0">
        <f t="shared" si="63"/>
        <v>0</v>
      </c>
    </row>
    <row r="354" spans="1:19">
      <c r="A354" s="158"/>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0">
        <f t="shared" si="63"/>
        <v>0</v>
      </c>
    </row>
    <row r="355" spans="1:19">
      <c r="A355" s="158"/>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0">
        <f t="shared" si="63"/>
        <v>0</v>
      </c>
    </row>
    <row r="356" spans="1:19">
      <c r="A356" s="158"/>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0">
        <f t="shared" si="63"/>
        <v>0</v>
      </c>
    </row>
    <row r="357" spans="1:19">
      <c r="A357" s="158"/>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0">
        <f t="shared" si="63"/>
        <v>0</v>
      </c>
    </row>
    <row r="358" spans="1:19">
      <c r="A358" s="158"/>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0">
        <f t="shared" si="63"/>
        <v>0</v>
      </c>
    </row>
    <row r="359" spans="1:19">
      <c r="A359" s="158"/>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0">
        <f t="shared" si="63"/>
        <v>0</v>
      </c>
    </row>
    <row r="360" spans="1:19">
      <c r="A360" s="158"/>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0">
        <f t="shared" si="63"/>
        <v>0</v>
      </c>
    </row>
    <row r="361" spans="1:19">
      <c r="A361" s="158"/>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0">
        <f t="shared" si="63"/>
        <v>0</v>
      </c>
    </row>
    <row r="362" spans="1:19">
      <c r="A362" s="158"/>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0">
        <f t="shared" si="63"/>
        <v>0</v>
      </c>
    </row>
    <row r="363" spans="1:19">
      <c r="A363" s="158"/>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0">
        <f t="shared" si="63"/>
        <v>0</v>
      </c>
    </row>
    <row r="364" spans="1:19">
      <c r="A364" s="158"/>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0">
        <f t="shared" si="63"/>
        <v>0</v>
      </c>
    </row>
    <row r="365" spans="1:19">
      <c r="A365" s="158"/>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0">
        <f t="shared" si="63"/>
        <v>0</v>
      </c>
    </row>
    <row r="366" spans="1:19">
      <c r="A366" s="158"/>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0">
        <f t="shared" si="63"/>
        <v>0</v>
      </c>
    </row>
    <row r="367" spans="1:19">
      <c r="A367" s="158"/>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0">
        <f t="shared" si="63"/>
        <v>0</v>
      </c>
    </row>
    <row r="368" spans="1:19">
      <c r="A368" s="158"/>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0">
        <f t="shared" si="63"/>
        <v>0</v>
      </c>
    </row>
    <row r="369" spans="1:19">
      <c r="A369" s="158"/>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0">
        <f t="shared" si="63"/>
        <v>0</v>
      </c>
    </row>
    <row r="370" spans="1:19">
      <c r="A370" s="158"/>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0">
        <f t="shared" si="63"/>
        <v>0</v>
      </c>
    </row>
    <row r="371" spans="1:19">
      <c r="A371" s="158"/>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0">
        <f t="shared" si="63"/>
        <v>0</v>
      </c>
    </row>
    <row r="372" spans="1:19">
      <c r="A372" s="158"/>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0">
        <f t="shared" si="63"/>
        <v>0</v>
      </c>
    </row>
    <row r="373" spans="1:19">
      <c r="A373" s="158"/>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0">
        <f t="shared" si="63"/>
        <v>0</v>
      </c>
    </row>
    <row r="374" spans="1:19">
      <c r="A374" s="158"/>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0">
        <f t="shared" si="63"/>
        <v>0</v>
      </c>
    </row>
    <row r="375" spans="1:19">
      <c r="A375" s="158"/>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0">
        <f t="shared" si="63"/>
        <v>0</v>
      </c>
    </row>
    <row r="376" spans="1:19">
      <c r="A376" s="158"/>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0">
        <f t="shared" si="63"/>
        <v>0</v>
      </c>
    </row>
    <row r="377" spans="1:19">
      <c r="A377" s="158"/>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0">
        <f t="shared" si="63"/>
        <v>0</v>
      </c>
    </row>
    <row r="378" spans="1:19">
      <c r="A378" s="158"/>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0">
        <f t="shared" si="63"/>
        <v>0</v>
      </c>
    </row>
    <row r="379" spans="1:19">
      <c r="A379" s="158"/>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0">
        <f t="shared" si="63"/>
        <v>0</v>
      </c>
    </row>
    <row r="380" spans="1:19">
      <c r="A380" s="158"/>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0">
        <f t="shared" si="63"/>
        <v>0</v>
      </c>
    </row>
    <row r="381" spans="1:19">
      <c r="A381" s="158"/>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0">
        <f t="shared" si="63"/>
        <v>0</v>
      </c>
    </row>
    <row r="382" spans="1:19">
      <c r="A382" s="158"/>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0">
        <f t="shared" si="63"/>
        <v>0</v>
      </c>
    </row>
    <row r="383" spans="1:19">
      <c r="A383" s="158"/>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0">
        <f t="shared" si="63"/>
        <v>0</v>
      </c>
    </row>
    <row r="384" spans="1:19">
      <c r="A384" s="158"/>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0">
        <f t="shared" si="63"/>
        <v>0</v>
      </c>
    </row>
    <row r="385" spans="1:19">
      <c r="A385" s="158"/>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0">
        <f t="shared" ref="S385:S422" si="73">ROUND(R385*B385/10000,0)</f>
        <v>0</v>
      </c>
    </row>
    <row r="386" spans="1:19">
      <c r="A386" s="158"/>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0">
        <f t="shared" si="73"/>
        <v>0</v>
      </c>
    </row>
    <row r="387" spans="1:19">
      <c r="A387" s="158"/>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0">
        <f t="shared" si="73"/>
        <v>0</v>
      </c>
    </row>
    <row r="388" spans="1:19">
      <c r="A388" s="158"/>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0">
        <f t="shared" si="73"/>
        <v>0</v>
      </c>
    </row>
    <row r="389" spans="1:19">
      <c r="A389" s="158"/>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0">
        <f t="shared" si="73"/>
        <v>0</v>
      </c>
    </row>
    <row r="390" spans="1:19">
      <c r="A390" s="158"/>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0">
        <f t="shared" si="73"/>
        <v>0</v>
      </c>
    </row>
    <row r="391" spans="1:19">
      <c r="A391" s="158"/>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0">
        <f t="shared" si="73"/>
        <v>0</v>
      </c>
    </row>
    <row r="392" spans="1:19">
      <c r="A392" s="158"/>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0">
        <f t="shared" si="73"/>
        <v>0</v>
      </c>
    </row>
    <row r="393" spans="1:19">
      <c r="A393" s="158"/>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0">
        <f t="shared" si="73"/>
        <v>0</v>
      </c>
    </row>
    <row r="394" spans="1:19">
      <c r="A394" s="158"/>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0">
        <f t="shared" si="73"/>
        <v>0</v>
      </c>
    </row>
    <row r="395" spans="1:19">
      <c r="A395" s="158"/>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0">
        <f t="shared" si="73"/>
        <v>0</v>
      </c>
    </row>
    <row r="396" spans="1:19">
      <c r="A396" s="158"/>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0">
        <f t="shared" si="73"/>
        <v>0</v>
      </c>
    </row>
    <row r="397" spans="1:19">
      <c r="A397" s="158"/>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0">
        <f t="shared" si="73"/>
        <v>0</v>
      </c>
    </row>
    <row r="398" spans="1:19">
      <c r="A398" s="158"/>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0">
        <f t="shared" si="73"/>
        <v>0</v>
      </c>
    </row>
    <row r="399" spans="1:19">
      <c r="A399" s="158"/>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0">
        <f t="shared" si="73"/>
        <v>0</v>
      </c>
    </row>
    <row r="400" spans="1:19">
      <c r="A400" s="158"/>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0">
        <f t="shared" si="73"/>
        <v>0</v>
      </c>
    </row>
    <row r="401" spans="1:19">
      <c r="A401" s="158"/>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0">
        <f t="shared" si="73"/>
        <v>0</v>
      </c>
    </row>
    <row r="402" spans="1:19">
      <c r="A402" s="158"/>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0">
        <f t="shared" si="73"/>
        <v>0</v>
      </c>
    </row>
    <row r="403" spans="1:19">
      <c r="A403" s="158"/>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0">
        <f t="shared" si="73"/>
        <v>0</v>
      </c>
    </row>
    <row r="404" spans="1:19">
      <c r="A404" s="158"/>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0">
        <f t="shared" si="73"/>
        <v>0</v>
      </c>
    </row>
    <row r="405" spans="1:19">
      <c r="A405" s="158"/>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0">
        <f t="shared" si="73"/>
        <v>0</v>
      </c>
    </row>
    <row r="406" spans="1:19">
      <c r="A406" s="158"/>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0">
        <f t="shared" si="73"/>
        <v>0</v>
      </c>
    </row>
    <row r="407" spans="1:19">
      <c r="A407" s="158"/>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0">
        <f t="shared" si="73"/>
        <v>0</v>
      </c>
    </row>
    <row r="408" spans="1:19">
      <c r="A408" s="158"/>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0">
        <f t="shared" si="73"/>
        <v>0</v>
      </c>
    </row>
    <row r="409" spans="1:19">
      <c r="A409" s="158"/>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0">
        <f t="shared" si="73"/>
        <v>0</v>
      </c>
    </row>
    <row r="410" spans="1:19">
      <c r="A410" s="158"/>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0">
        <f t="shared" si="73"/>
        <v>0</v>
      </c>
    </row>
    <row r="411" spans="1:19">
      <c r="A411" s="158"/>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0">
        <f t="shared" si="73"/>
        <v>0</v>
      </c>
    </row>
    <row r="412" spans="1:19">
      <c r="A412" s="158"/>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0">
        <f t="shared" si="73"/>
        <v>0</v>
      </c>
    </row>
    <row r="413" spans="1:19">
      <c r="A413" s="158"/>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0">
        <f t="shared" si="73"/>
        <v>0</v>
      </c>
    </row>
    <row r="414" spans="1:19">
      <c r="A414" s="158"/>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0">
        <f t="shared" si="73"/>
        <v>0</v>
      </c>
    </row>
    <row r="415" spans="1:19">
      <c r="A415" s="158"/>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0">
        <f t="shared" si="73"/>
        <v>0</v>
      </c>
    </row>
    <row r="416" spans="1:19">
      <c r="A416" s="158"/>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0">
        <f t="shared" si="73"/>
        <v>0</v>
      </c>
    </row>
    <row r="417" spans="1:19">
      <c r="A417" s="158"/>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0">
        <f t="shared" si="73"/>
        <v>0</v>
      </c>
    </row>
    <row r="418" spans="1:19">
      <c r="A418" s="158"/>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0">
        <f t="shared" si="73"/>
        <v>0</v>
      </c>
    </row>
    <row r="419" spans="1:19">
      <c r="A419" s="158"/>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0">
        <f t="shared" si="73"/>
        <v>0</v>
      </c>
    </row>
    <row r="420" spans="1:19">
      <c r="A420" s="158"/>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0">
        <f t="shared" si="73"/>
        <v>0</v>
      </c>
    </row>
    <row r="421" spans="1:19">
      <c r="A421" s="158"/>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0">
        <f t="shared" si="73"/>
        <v>0</v>
      </c>
    </row>
    <row r="422" spans="1:19">
      <c r="A422" s="158"/>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0">
        <f t="shared" si="73"/>
        <v>0</v>
      </c>
    </row>
    <row r="423" spans="1:19">
      <c r="A423" s="158"/>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0">
        <f t="shared" ref="S423:S467" si="83">ROUND(R423*B423/10000,0)</f>
        <v>0</v>
      </c>
    </row>
    <row r="424" spans="1:19">
      <c r="A424" s="158"/>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0">
        <f t="shared" si="83"/>
        <v>0</v>
      </c>
    </row>
    <row r="425" spans="1:19">
      <c r="A425" s="158"/>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0">
        <f t="shared" si="83"/>
        <v>0</v>
      </c>
    </row>
    <row r="426" spans="1:19">
      <c r="A426" s="158"/>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0">
        <f t="shared" si="83"/>
        <v>0</v>
      </c>
    </row>
    <row r="427" spans="1:19">
      <c r="A427" s="158"/>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0">
        <f t="shared" si="83"/>
        <v>0</v>
      </c>
    </row>
    <row r="428" spans="1:19">
      <c r="A428" s="158"/>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0">
        <f t="shared" si="83"/>
        <v>0</v>
      </c>
    </row>
    <row r="429" spans="1:19">
      <c r="A429" s="158"/>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0">
        <f t="shared" si="83"/>
        <v>0</v>
      </c>
    </row>
    <row r="430" spans="1:19">
      <c r="A430" s="158"/>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0">
        <f t="shared" si="83"/>
        <v>0</v>
      </c>
    </row>
    <row r="431" spans="1:19">
      <c r="A431" s="158"/>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0">
        <f t="shared" si="83"/>
        <v>0</v>
      </c>
    </row>
    <row r="432" spans="1:19">
      <c r="A432" s="158"/>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0">
        <f t="shared" si="83"/>
        <v>0</v>
      </c>
    </row>
    <row r="433" spans="1:19">
      <c r="A433" s="158"/>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0">
        <f t="shared" si="83"/>
        <v>0</v>
      </c>
    </row>
    <row r="434" spans="1:19">
      <c r="A434" s="158"/>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0">
        <f t="shared" si="83"/>
        <v>0</v>
      </c>
    </row>
    <row r="435" spans="1:19">
      <c r="A435" s="158"/>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0">
        <f t="shared" si="83"/>
        <v>0</v>
      </c>
    </row>
    <row r="436" spans="1:19">
      <c r="A436" s="158"/>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0">
        <f t="shared" si="83"/>
        <v>0</v>
      </c>
    </row>
    <row r="437" spans="1:19">
      <c r="A437" s="158"/>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0">
        <f t="shared" si="83"/>
        <v>0</v>
      </c>
    </row>
    <row r="438" spans="1:19">
      <c r="A438" s="158"/>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0">
        <f t="shared" si="83"/>
        <v>0</v>
      </c>
    </row>
    <row r="439" spans="1:19">
      <c r="A439" s="158"/>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0">
        <f t="shared" si="83"/>
        <v>0</v>
      </c>
    </row>
    <row r="440" spans="1:19">
      <c r="A440" s="158"/>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0">
        <f t="shared" si="83"/>
        <v>0</v>
      </c>
    </row>
    <row r="441" spans="1:19">
      <c r="A441" s="158"/>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0">
        <f t="shared" si="83"/>
        <v>0</v>
      </c>
    </row>
    <row r="442" spans="1:19">
      <c r="A442" s="158"/>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0">
        <f t="shared" si="83"/>
        <v>0</v>
      </c>
    </row>
    <row r="443" spans="1:19">
      <c r="A443" s="158"/>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0">
        <f t="shared" si="83"/>
        <v>0</v>
      </c>
    </row>
    <row r="444" spans="1:19">
      <c r="A444" s="158"/>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0">
        <f t="shared" si="83"/>
        <v>0</v>
      </c>
    </row>
    <row r="445" spans="1:19">
      <c r="A445" s="158"/>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0">
        <f t="shared" si="83"/>
        <v>0</v>
      </c>
    </row>
    <row r="446" spans="1:19">
      <c r="A446" s="158"/>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0">
        <f t="shared" si="83"/>
        <v>0</v>
      </c>
    </row>
    <row r="447" spans="1:19">
      <c r="A447" s="158"/>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0">
        <f t="shared" si="83"/>
        <v>0</v>
      </c>
    </row>
    <row r="448" spans="1:19">
      <c r="A448" s="158"/>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0">
        <f t="shared" si="83"/>
        <v>0</v>
      </c>
    </row>
    <row r="449" spans="1:19">
      <c r="A449" s="158"/>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0">
        <f t="shared" si="83"/>
        <v>0</v>
      </c>
    </row>
    <row r="450" spans="1:19">
      <c r="A450" s="158"/>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0">
        <f t="shared" si="83"/>
        <v>0</v>
      </c>
    </row>
    <row r="451" spans="1:19">
      <c r="A451" s="158"/>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0">
        <f t="shared" si="83"/>
        <v>0</v>
      </c>
    </row>
    <row r="452" spans="1:19">
      <c r="A452" s="158"/>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0">
        <f t="shared" si="83"/>
        <v>0</v>
      </c>
    </row>
    <row r="453" spans="1:19">
      <c r="A453" s="158"/>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0">
        <f t="shared" si="83"/>
        <v>0</v>
      </c>
    </row>
    <row r="454" spans="1:19">
      <c r="A454" s="158"/>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0">
        <f t="shared" si="83"/>
        <v>0</v>
      </c>
    </row>
    <row r="455" spans="1:19">
      <c r="A455" s="158"/>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0">
        <f t="shared" si="83"/>
        <v>0</v>
      </c>
    </row>
    <row r="456" spans="1:19">
      <c r="A456" s="158"/>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0">
        <f t="shared" si="83"/>
        <v>0</v>
      </c>
    </row>
    <row r="457" spans="1:19">
      <c r="A457" s="158"/>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0">
        <f t="shared" si="83"/>
        <v>0</v>
      </c>
    </row>
    <row r="458" spans="1:19">
      <c r="A458" s="158"/>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0">
        <f t="shared" si="83"/>
        <v>0</v>
      </c>
    </row>
    <row r="459" spans="1:19">
      <c r="A459" s="158"/>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0">
        <f t="shared" si="83"/>
        <v>0</v>
      </c>
    </row>
    <row r="460" spans="1:19">
      <c r="A460" s="158"/>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0">
        <f t="shared" si="83"/>
        <v>0</v>
      </c>
    </row>
    <row r="461" spans="1:19">
      <c r="A461" s="158"/>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0">
        <f t="shared" si="83"/>
        <v>0</v>
      </c>
    </row>
    <row r="462" spans="1:19">
      <c r="A462" s="158"/>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0">
        <f t="shared" si="83"/>
        <v>0</v>
      </c>
    </row>
    <row r="463" spans="1:19">
      <c r="A463" s="158"/>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0">
        <f t="shared" si="83"/>
        <v>0</v>
      </c>
    </row>
    <row r="464" spans="1:19">
      <c r="A464" s="158"/>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0">
        <f t="shared" si="83"/>
        <v>0</v>
      </c>
    </row>
    <row r="465" spans="1:19">
      <c r="A465" s="158"/>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0">
        <f t="shared" si="83"/>
        <v>0</v>
      </c>
    </row>
    <row r="466" spans="1:19">
      <c r="A466" s="158"/>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0">
        <f t="shared" si="83"/>
        <v>0</v>
      </c>
    </row>
    <row r="467" spans="1:19">
      <c r="A467" s="158"/>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0">
        <f t="shared" si="83"/>
        <v>0</v>
      </c>
    </row>
    <row r="468" spans="1:19">
      <c r="A468" s="158"/>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0">
        <f t="shared" ref="S468:S497" si="84">ROUND(R468*B468/10000,0)</f>
        <v>0</v>
      </c>
    </row>
    <row r="469" spans="1:19">
      <c r="A469" s="158"/>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0">
        <f t="shared" si="84"/>
        <v>0</v>
      </c>
    </row>
    <row r="470" spans="1:19">
      <c r="A470" s="158"/>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0">
        <f t="shared" si="84"/>
        <v>0</v>
      </c>
    </row>
    <row r="471" spans="1:19">
      <c r="A471" s="158"/>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0">
        <f t="shared" si="84"/>
        <v>0</v>
      </c>
    </row>
    <row r="472" spans="1:19">
      <c r="A472" s="158"/>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0">
        <f t="shared" si="84"/>
        <v>0</v>
      </c>
    </row>
    <row r="473" spans="1:19">
      <c r="A473" s="158"/>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0">
        <f t="shared" si="84"/>
        <v>0</v>
      </c>
    </row>
    <row r="474" spans="1:19">
      <c r="A474" s="158"/>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0">
        <f t="shared" si="84"/>
        <v>0</v>
      </c>
    </row>
    <row r="475" spans="1:19">
      <c r="A475" s="158"/>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0">
        <f t="shared" si="84"/>
        <v>0</v>
      </c>
    </row>
    <row r="476" spans="1:19">
      <c r="A476" s="158"/>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0">
        <f t="shared" si="84"/>
        <v>0</v>
      </c>
    </row>
    <row r="477" spans="1:19">
      <c r="A477" s="158"/>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0">
        <f t="shared" si="84"/>
        <v>0</v>
      </c>
    </row>
    <row r="478" spans="1:19">
      <c r="A478" s="158"/>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0">
        <f t="shared" si="84"/>
        <v>0</v>
      </c>
    </row>
    <row r="479" spans="1:19">
      <c r="A479" s="158"/>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0">
        <f t="shared" si="84"/>
        <v>0</v>
      </c>
    </row>
    <row r="480" spans="1:19">
      <c r="A480" s="158"/>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0">
        <f t="shared" si="84"/>
        <v>0</v>
      </c>
    </row>
    <row r="481" spans="1:19">
      <c r="A481" s="158"/>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0">
        <f t="shared" si="84"/>
        <v>0</v>
      </c>
    </row>
    <row r="482" spans="1:19">
      <c r="A482" s="158"/>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0">
        <f t="shared" si="84"/>
        <v>0</v>
      </c>
    </row>
    <row r="483" spans="1:19">
      <c r="A483" s="158"/>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0">
        <f t="shared" si="84"/>
        <v>0</v>
      </c>
    </row>
    <row r="484" spans="1:19">
      <c r="A484" s="158"/>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0">
        <f t="shared" si="84"/>
        <v>0</v>
      </c>
    </row>
    <row r="485" spans="1:19">
      <c r="A485" s="158"/>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0">
        <f t="shared" si="84"/>
        <v>0</v>
      </c>
    </row>
    <row r="486" spans="1:19">
      <c r="A486" s="158"/>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0">
        <f t="shared" si="84"/>
        <v>0</v>
      </c>
    </row>
    <row r="487" spans="1:19">
      <c r="A487" s="158"/>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0">
        <f t="shared" si="84"/>
        <v>0</v>
      </c>
    </row>
    <row r="488" spans="1:19">
      <c r="A488" s="158"/>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0">
        <f t="shared" si="84"/>
        <v>0</v>
      </c>
    </row>
    <row r="489" spans="1:19">
      <c r="A489" s="158"/>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0">
        <f t="shared" si="84"/>
        <v>0</v>
      </c>
    </row>
    <row r="490" spans="1:19">
      <c r="A490" s="158"/>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0">
        <f t="shared" si="84"/>
        <v>0</v>
      </c>
    </row>
    <row r="491" spans="1:19">
      <c r="A491" s="158"/>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0">
        <f t="shared" si="84"/>
        <v>0</v>
      </c>
    </row>
    <row r="492" spans="1:19">
      <c r="A492" s="158"/>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0">
        <f t="shared" si="84"/>
        <v>0</v>
      </c>
    </row>
    <row r="493" spans="1:19">
      <c r="A493" s="158"/>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0">
        <f t="shared" si="84"/>
        <v>0</v>
      </c>
    </row>
    <row r="494" spans="1:19">
      <c r="A494" s="158"/>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0">
        <f t="shared" si="84"/>
        <v>0</v>
      </c>
    </row>
    <row r="495" spans="1:19">
      <c r="A495" s="158"/>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0">
        <f t="shared" si="84"/>
        <v>0</v>
      </c>
    </row>
    <row r="496" spans="1:19">
      <c r="A496" s="158"/>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0">
        <f t="shared" si="84"/>
        <v>0</v>
      </c>
    </row>
    <row r="497" spans="1:19">
      <c r="A497" s="158"/>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0">
        <f t="shared" si="84"/>
        <v>0</v>
      </c>
    </row>
    <row r="498" spans="1:19">
      <c r="A498" s="158"/>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0">
        <f t="shared" ref="S498:S524" si="94">ROUND(R498*B498/10000,0)</f>
        <v>0</v>
      </c>
    </row>
    <row r="499" spans="1:19">
      <c r="A499" s="158"/>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0">
        <f t="shared" si="94"/>
        <v>0</v>
      </c>
    </row>
    <row r="500" spans="1:19">
      <c r="A500" s="158"/>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0">
        <f t="shared" si="94"/>
        <v>0</v>
      </c>
    </row>
    <row r="501" spans="1:19">
      <c r="A501" s="158"/>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0">
        <f t="shared" si="94"/>
        <v>0</v>
      </c>
    </row>
    <row r="502" spans="1:19">
      <c r="A502" s="158"/>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0">
        <f t="shared" si="94"/>
        <v>0</v>
      </c>
    </row>
    <row r="503" spans="1:19">
      <c r="A503" s="158"/>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0">
        <f t="shared" si="94"/>
        <v>0</v>
      </c>
    </row>
    <row r="504" spans="1:19">
      <c r="A504" s="158"/>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0">
        <f t="shared" si="94"/>
        <v>0</v>
      </c>
    </row>
    <row r="505" spans="1:19">
      <c r="A505" s="158"/>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0">
        <f t="shared" si="94"/>
        <v>0</v>
      </c>
    </row>
    <row r="506" spans="1:19">
      <c r="A506" s="158"/>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0">
        <f t="shared" si="94"/>
        <v>0</v>
      </c>
    </row>
    <row r="507" spans="1:19">
      <c r="A507" s="158"/>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0">
        <f t="shared" si="94"/>
        <v>0</v>
      </c>
    </row>
    <row r="508" spans="1:19">
      <c r="A508" s="158"/>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0">
        <f t="shared" si="94"/>
        <v>0</v>
      </c>
    </row>
    <row r="509" spans="1:19">
      <c r="A509" s="158"/>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0">
        <f t="shared" si="94"/>
        <v>0</v>
      </c>
    </row>
    <row r="510" spans="1:19">
      <c r="A510" s="158"/>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0">
        <f t="shared" si="94"/>
        <v>0</v>
      </c>
    </row>
    <row r="511" spans="1:19">
      <c r="A511" s="158"/>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0">
        <f t="shared" si="94"/>
        <v>0</v>
      </c>
    </row>
    <row r="512" spans="1:19">
      <c r="A512" s="158"/>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0">
        <f t="shared" si="94"/>
        <v>0</v>
      </c>
    </row>
    <row r="513" spans="1:19">
      <c r="A513" s="158"/>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0">
        <f t="shared" si="94"/>
        <v>0</v>
      </c>
    </row>
    <row r="514" spans="1:19">
      <c r="A514" s="158"/>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0">
        <f t="shared" si="94"/>
        <v>0</v>
      </c>
    </row>
    <row r="515" spans="1:19">
      <c r="A515" s="158"/>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0">
        <f t="shared" si="94"/>
        <v>0</v>
      </c>
    </row>
    <row r="516" spans="1:19">
      <c r="A516" s="158"/>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0">
        <f t="shared" si="94"/>
        <v>0</v>
      </c>
    </row>
    <row r="517" spans="1:19">
      <c r="A517" s="158"/>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0">
        <f t="shared" si="94"/>
        <v>0</v>
      </c>
    </row>
    <row r="518" spans="1:19">
      <c r="A518" s="158"/>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0">
        <f t="shared" si="94"/>
        <v>0</v>
      </c>
    </row>
    <row r="519" spans="1:19">
      <c r="A519" s="158"/>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0">
        <f t="shared" si="94"/>
        <v>0</v>
      </c>
    </row>
    <row r="520" spans="1:19">
      <c r="A520" s="158"/>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0">
        <f t="shared" si="94"/>
        <v>0</v>
      </c>
    </row>
    <row r="521" spans="1:19">
      <c r="A521" s="158"/>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0">
        <f t="shared" si="94"/>
        <v>0</v>
      </c>
    </row>
    <row r="522" spans="1:19">
      <c r="A522" s="158"/>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0">
        <f t="shared" si="94"/>
        <v>0</v>
      </c>
    </row>
    <row r="523" spans="1:19">
      <c r="A523" s="158"/>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0">
        <f t="shared" si="94"/>
        <v>0</v>
      </c>
    </row>
    <row r="524" spans="1:19">
      <c r="A524" s="158"/>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27060</v>
      </c>
      <c r="C2" s="2" t="s">
        <v>133</v>
      </c>
      <c r="D2" s="242"/>
      <c r="E2" s="242"/>
      <c r="F2" s="242"/>
      <c r="G2" s="242"/>
    </row>
    <row r="3" spans="1:7" s="243" customFormat="1" ht="18" customHeight="1" thickBot="1">
      <c r="A3" s="246" t="s">
        <v>85</v>
      </c>
      <c r="B3" s="247">
        <f ca="1">ROUND(B2*10000/'数据-汇总表'!E3,0)</f>
        <v>32299</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168</v>
      </c>
      <c r="D10" s="1028">
        <f>'数据-汇总表'!E6</f>
        <v>8377.9700000000012</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168</v>
      </c>
      <c r="D19" s="1032">
        <f>'数据-汇总表'!E3</f>
        <v>8377.9700000000012</v>
      </c>
      <c r="E19" s="254">
        <f>'数据-取费表'!B31</f>
        <v>200</v>
      </c>
      <c r="F19" s="274"/>
      <c r="G19" s="1" t="s">
        <v>1074</v>
      </c>
    </row>
    <row r="20" spans="1:7" s="257" customFormat="1" ht="13.5" customHeight="1">
      <c r="A20" s="944" t="s">
        <v>1057</v>
      </c>
      <c r="B20" s="253" t="s">
        <v>104</v>
      </c>
      <c r="C20" s="275">
        <f>ROUND((C5+C19)*F20,0)</f>
        <v>416</v>
      </c>
      <c r="D20" s="275"/>
      <c r="E20" s="275"/>
      <c r="F20" s="276">
        <f>'数据-取费表'!B37</f>
        <v>0.02</v>
      </c>
      <c r="G20" s="1284" t="s">
        <v>1068</v>
      </c>
    </row>
    <row r="21" spans="1:7" s="257" customFormat="1" ht="13.5" customHeight="1">
      <c r="A21" s="944" t="s">
        <v>1059</v>
      </c>
      <c r="B21" s="253" t="s">
        <v>105</v>
      </c>
      <c r="C21" s="278">
        <f>F21</f>
        <v>0.01</v>
      </c>
      <c r="D21" s="279" t="s">
        <v>126</v>
      </c>
      <c r="E21" s="275"/>
      <c r="F21" s="276">
        <f>'数据-取费表'!B38</f>
        <v>0.01</v>
      </c>
      <c r="G21" s="277" t="s">
        <v>106</v>
      </c>
    </row>
    <row r="22" spans="1:7" s="257" customFormat="1" ht="13.5" customHeight="1">
      <c r="A22" s="944" t="s">
        <v>786</v>
      </c>
      <c r="B22" s="253" t="s">
        <v>107</v>
      </c>
      <c r="C22" s="1349">
        <f ca="1">ROUND(SUM(C23:C25),0)</f>
        <v>913</v>
      </c>
      <c r="D22" s="278">
        <f ca="1">C26</f>
        <v>2.0000000000000001E-4</v>
      </c>
      <c r="E22" s="279" t="s">
        <v>126</v>
      </c>
      <c r="F22" s="280">
        <f ca="1">'数据-取费表'!B40</f>
        <v>4.3499999999999997E-2</v>
      </c>
      <c r="G22" s="1284" t="str">
        <f>IF('数据-取费表'!B22&lt;=1,"单利计息","复利计息")</f>
        <v>单利计息</v>
      </c>
    </row>
    <row r="23" spans="1:7" s="257" customFormat="1" ht="13.5" customHeight="1">
      <c r="A23" s="947" t="s">
        <v>794</v>
      </c>
      <c r="B23" s="258" t="s">
        <v>1061</v>
      </c>
      <c r="C23" s="1350">
        <f ca="1">ROUND(IF('数据-取费表'!B22&lt;=1,C5*F22*'数据-取费表'!B23,C5*(POWER((1+F22),'数据-取费表'!B23)-1)),0)</f>
        <v>897</v>
      </c>
      <c r="D23" s="281"/>
      <c r="E23" s="281"/>
      <c r="F23" s="282"/>
      <c r="G23" s="283" t="s">
        <v>108</v>
      </c>
    </row>
    <row r="24" spans="1:7" s="257" customFormat="1" ht="13.5" customHeight="1">
      <c r="A24" s="947" t="s">
        <v>792</v>
      </c>
      <c r="B24" s="258" t="s">
        <v>1056</v>
      </c>
      <c r="C24" s="1350">
        <f ca="1">ROUND(IF('数据-取费表'!B22&lt;=1,C19*F22*('数据-取费表'!B19/2+'数据-取费表'!B21),C19*(POWER((1+F22),('数据-取费表'!B19/2+'数据-取费表'!B21))-1)),0)</f>
        <v>7</v>
      </c>
      <c r="D24" s="281"/>
      <c r="E24" s="281"/>
      <c r="F24" s="282"/>
      <c r="G24" s="283" t="s">
        <v>109</v>
      </c>
    </row>
    <row r="25" spans="1:7" s="257" customFormat="1" ht="24">
      <c r="A25" s="947" t="s">
        <v>793</v>
      </c>
      <c r="B25" s="258" t="s">
        <v>1058</v>
      </c>
      <c r="C25" s="1350">
        <f ca="1">ROUND(IF('数据-取费表'!B22&lt;=1,C20*F22*'数据-取费表'!B23/2,C20*(POWER((1+F22),'数据-取费表'!B23/2)-1)),0)</f>
        <v>9</v>
      </c>
      <c r="D25" s="281"/>
      <c r="E25" s="284"/>
      <c r="F25" s="282"/>
      <c r="G25" s="285" t="s">
        <v>110</v>
      </c>
    </row>
    <row r="26" spans="1:7" s="257" customFormat="1">
      <c r="A26" s="947" t="s">
        <v>795</v>
      </c>
      <c r="B26" s="258" t="s">
        <v>1060</v>
      </c>
      <c r="C26" s="281">
        <f ca="1">ROUND(IF('数据-取费表'!B22&lt;=1,F21*F22*'数据-取费表'!B23/2,F21*(POWER((1+F22),'数据-取费表'!B23/2)-1)),4)</f>
        <v>2.0000000000000001E-4</v>
      </c>
      <c r="D26" s="281"/>
      <c r="E26" s="284"/>
      <c r="F26" s="282"/>
      <c r="G26" s="286"/>
    </row>
    <row r="27" spans="1:7" s="257" customFormat="1" ht="24.75">
      <c r="A27" s="944" t="s">
        <v>787</v>
      </c>
      <c r="B27" s="287" t="s">
        <v>112</v>
      </c>
      <c r="C27" s="288">
        <f>C28</f>
        <v>1907</v>
      </c>
      <c r="D27" s="278">
        <f>C29</f>
        <v>8.9999999999999998E-4</v>
      </c>
      <c r="E27" s="279" t="s">
        <v>126</v>
      </c>
      <c r="F27" s="289">
        <f>'数据-取费表'!Q16</f>
        <v>0.09</v>
      </c>
      <c r="G27" s="290" t="s">
        <v>1069</v>
      </c>
    </row>
    <row r="28" spans="1:7" s="257" customFormat="1" ht="13.5" customHeight="1">
      <c r="A28" s="947" t="s">
        <v>794</v>
      </c>
      <c r="B28" s="291" t="s">
        <v>1062</v>
      </c>
      <c r="C28" s="292">
        <f>ROUND((C5+C19+C20)*F27*'数据-取费表'!B21/'数据-取费表'!B20,0)</f>
        <v>1907</v>
      </c>
      <c r="D28" s="278"/>
      <c r="E28" s="279"/>
      <c r="F28" s="289"/>
      <c r="G28" s="290"/>
    </row>
    <row r="29" spans="1:7" s="257" customFormat="1" ht="13.5" customHeight="1">
      <c r="A29" s="947" t="s">
        <v>792</v>
      </c>
      <c r="B29" s="291" t="s">
        <v>1063</v>
      </c>
      <c r="C29" s="281">
        <f>ROUND(C21*F27*'数据-取费表'!B21/'数据-取费表'!B20,4)</f>
        <v>8.9999999999999998E-4</v>
      </c>
      <c r="D29" s="278"/>
      <c r="E29" s="279"/>
      <c r="F29" s="289"/>
      <c r="G29" s="290"/>
    </row>
    <row r="30" spans="1:7" s="257" customFormat="1" ht="13.5" customHeight="1">
      <c r="A30" s="944"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25668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1472</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1248</v>
      </c>
      <c r="D34" s="260"/>
      <c r="E34" s="263"/>
      <c r="F34" s="300">
        <f>IF('数据-取费表'!B24=0,1,'数据-取费表'!N16)</f>
        <v>1</v>
      </c>
      <c r="G34" s="262" t="s">
        <v>116</v>
      </c>
    </row>
    <row r="35" spans="1:7" ht="13.5" customHeight="1">
      <c r="A35" s="947" t="s">
        <v>796</v>
      </c>
      <c r="B35" s="258" t="s">
        <v>60</v>
      </c>
      <c r="C35" s="263">
        <f>ROUND(C34*F35,0)</f>
        <v>37</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168</v>
      </c>
      <c r="D37" s="260">
        <f>'数据-汇总表'!E3</f>
        <v>8377.9700000000012</v>
      </c>
      <c r="E37" s="292">
        <f>'数据-取费表'!B35</f>
        <v>200</v>
      </c>
      <c r="F37" s="302"/>
      <c r="G37" s="304" t="s">
        <v>119</v>
      </c>
    </row>
    <row r="38" spans="1:7" ht="13.5" customHeight="1">
      <c r="A38" s="947" t="s">
        <v>799</v>
      </c>
      <c r="B38" s="258" t="s">
        <v>63</v>
      </c>
      <c r="C38" s="263">
        <f>ROUND(C34*F38,0)</f>
        <v>19</v>
      </c>
      <c r="D38" s="263"/>
      <c r="E38" s="263"/>
      <c r="F38" s="302">
        <f>'数据-取费表'!B36</f>
        <v>1.4999999999999999E-2</v>
      </c>
      <c r="G38" s="262" t="s">
        <v>117</v>
      </c>
    </row>
    <row r="39" spans="1:7" s="257" customFormat="1" ht="13.5" customHeight="1">
      <c r="A39" s="944" t="s">
        <v>783</v>
      </c>
      <c r="B39" s="253" t="s">
        <v>104</v>
      </c>
      <c r="C39" s="275">
        <f>ROUND(C33*F20,0)</f>
        <v>29</v>
      </c>
      <c r="D39" s="275"/>
      <c r="E39" s="275"/>
      <c r="F39" s="276"/>
      <c r="G39" s="1284" t="s">
        <v>1071</v>
      </c>
    </row>
    <row r="40" spans="1:7" s="257" customFormat="1" ht="13.5" customHeight="1">
      <c r="A40" s="944" t="s">
        <v>784</v>
      </c>
      <c r="B40" s="253" t="s">
        <v>105</v>
      </c>
      <c r="C40" s="305">
        <f>F21</f>
        <v>0.01</v>
      </c>
      <c r="D40" s="279" t="s">
        <v>129</v>
      </c>
      <c r="E40" s="275"/>
      <c r="F40" s="276"/>
      <c r="G40" s="277" t="s">
        <v>120</v>
      </c>
    </row>
    <row r="41" spans="1:7" s="257" customFormat="1" ht="13.5" customHeight="1">
      <c r="A41" s="944" t="s">
        <v>785</v>
      </c>
      <c r="B41" s="253" t="s">
        <v>107</v>
      </c>
      <c r="C41" s="275">
        <f ca="1">ROUND(SUM(C42:C43),0)</f>
        <v>33</v>
      </c>
      <c r="D41" s="278">
        <f ca="1">C44</f>
        <v>2.0000000000000001E-4</v>
      </c>
      <c r="E41" s="279" t="s">
        <v>129</v>
      </c>
      <c r="F41" s="280"/>
      <c r="G41" s="1284" t="str">
        <f>IF('数据-取费表'!B22&lt;=1,"单利计息","复利计息")</f>
        <v>单利计息</v>
      </c>
    </row>
    <row r="42" spans="1:7" ht="13.5" customHeight="1">
      <c r="A42" s="947" t="s">
        <v>794</v>
      </c>
      <c r="B42" s="258" t="s">
        <v>1061</v>
      </c>
      <c r="C42" s="281">
        <f ca="1">ROUND(IF('数据-取费表'!B22&lt;=1,C33*F22*'数据-取费表'!B21/2,C33*(POWER((1+F22),'数据-取费表'!B21/2)-1)),0)</f>
        <v>32</v>
      </c>
      <c r="D42" s="281"/>
      <c r="E42" s="281"/>
      <c r="F42" s="282"/>
      <c r="G42" s="3241" t="s">
        <v>121</v>
      </c>
    </row>
    <row r="43" spans="1:7" ht="13.5" customHeight="1">
      <c r="A43" s="947" t="s">
        <v>792</v>
      </c>
      <c r="B43" s="258" t="s">
        <v>1064</v>
      </c>
      <c r="C43" s="281">
        <f ca="1">ROUND(IF('数据-取费表'!B22&lt;=1,C39*F22*'数据-取费表'!B21/2,C39*(POWER((1+F22),'数据-取费表'!B21/2)-1)),0)</f>
        <v>1</v>
      </c>
      <c r="D43" s="281"/>
      <c r="E43" s="281"/>
      <c r="F43" s="282"/>
      <c r="G43" s="3242"/>
    </row>
    <row r="44" spans="1:7" ht="13.5" customHeight="1">
      <c r="A44" s="947" t="s">
        <v>793</v>
      </c>
      <c r="B44" s="258" t="s">
        <v>1066</v>
      </c>
      <c r="C44" s="281">
        <f ca="1">ROUND(IF('数据-取费表'!B22&lt;=1,C40*F22*'数据-取费表'!B21/2,C40*(POWER((1+F22),'数据-取费表'!B21/2)-1)),4)</f>
        <v>2.0000000000000001E-4</v>
      </c>
      <c r="D44" s="281"/>
      <c r="E44" s="281"/>
      <c r="F44" s="282"/>
      <c r="G44" s="3243"/>
    </row>
    <row r="45" spans="1:7" s="257" customFormat="1" ht="13.5" customHeight="1">
      <c r="A45" s="944" t="s">
        <v>786</v>
      </c>
      <c r="B45" s="287" t="s">
        <v>112</v>
      </c>
      <c r="C45" s="288">
        <f>C46</f>
        <v>135</v>
      </c>
      <c r="D45" s="278">
        <f>C47</f>
        <v>8.9999999999999998E-4</v>
      </c>
      <c r="E45" s="279" t="s">
        <v>129</v>
      </c>
      <c r="F45" s="289"/>
      <c r="G45" s="290" t="s">
        <v>1072</v>
      </c>
    </row>
    <row r="46" spans="1:7" s="257" customFormat="1" ht="13.5" customHeight="1">
      <c r="A46" s="947" t="s">
        <v>794</v>
      </c>
      <c r="B46" s="291" t="s">
        <v>1065</v>
      </c>
      <c r="C46" s="292">
        <f>ROUND((C33+C39)*F27,0)</f>
        <v>135</v>
      </c>
      <c r="D46" s="306"/>
      <c r="E46" s="279"/>
      <c r="F46" s="289"/>
      <c r="G46" s="290"/>
    </row>
    <row r="47" spans="1:7" s="257" customFormat="1" ht="13.5" customHeight="1">
      <c r="A47" s="947" t="s">
        <v>792</v>
      </c>
      <c r="B47" s="291" t="s">
        <v>1067</v>
      </c>
      <c r="C47" s="281">
        <f>ROUND(C40*F27,4)</f>
        <v>8.9999999999999998E-4</v>
      </c>
      <c r="D47" s="306"/>
      <c r="E47" s="279"/>
      <c r="F47" s="289"/>
      <c r="G47" s="290"/>
    </row>
    <row r="48" spans="1:7" s="257" customFormat="1" ht="13.5" customHeight="1">
      <c r="A48" s="944" t="s">
        <v>787</v>
      </c>
      <c r="B48" s="253" t="s">
        <v>122</v>
      </c>
      <c r="C48" s="305">
        <f>F30</f>
        <v>5.6000000000000001E-2</v>
      </c>
      <c r="D48" s="279" t="s">
        <v>130</v>
      </c>
      <c r="E48" s="275"/>
      <c r="F48" s="280"/>
      <c r="G48" s="277" t="s">
        <v>123</v>
      </c>
    </row>
    <row r="49" spans="1:7" ht="16.5" customHeight="1">
      <c r="A49" s="944" t="s">
        <v>788</v>
      </c>
      <c r="B49" s="253" t="s">
        <v>131</v>
      </c>
      <c r="C49" s="275">
        <f ca="1">ROUND((C33+C39+C41+C45)/(1-C40-D41-D45-C48/(1+'数据-取费表'!B42)),0)</f>
        <v>1784</v>
      </c>
      <c r="D49" s="275"/>
      <c r="E49" s="275"/>
      <c r="F49" s="307"/>
      <c r="G49" s="277" t="s">
        <v>1073</v>
      </c>
    </row>
    <row r="50" spans="1:7" s="301" customFormat="1" ht="24">
      <c r="A50" s="944" t="s">
        <v>789</v>
      </c>
      <c r="B50" s="253" t="s">
        <v>124</v>
      </c>
      <c r="C50" s="275"/>
      <c r="D50" s="275"/>
      <c r="E50" s="275"/>
      <c r="F50" s="307">
        <f>IF('数据-取费表'!B24=0,'数据-取费表'!N16,1)</f>
        <v>0.78</v>
      </c>
      <c r="G50" s="290" t="s">
        <v>125</v>
      </c>
    </row>
    <row r="51" spans="1:7" ht="16.5" customHeight="1">
      <c r="A51" s="944" t="s">
        <v>790</v>
      </c>
      <c r="B51" s="253" t="s">
        <v>132</v>
      </c>
      <c r="C51" s="275">
        <f ca="1">ROUND(C49*F50,0)</f>
        <v>1392</v>
      </c>
      <c r="D51" s="275"/>
      <c r="E51" s="275"/>
      <c r="F51" s="307"/>
      <c r="G51" s="277" t="s">
        <v>64</v>
      </c>
    </row>
    <row r="52" spans="1:7" s="251" customFormat="1" ht="16.5" thickBot="1">
      <c r="A52" s="308" t="s">
        <v>65</v>
      </c>
      <c r="B52" s="309"/>
      <c r="C52" s="310">
        <f ca="1">C31+C51</f>
        <v>27060</v>
      </c>
      <c r="D52" s="309"/>
      <c r="E52" s="309"/>
      <c r="F52" s="309"/>
      <c r="G52" s="311"/>
    </row>
    <row r="55" spans="1:7" ht="15">
      <c r="B55" s="313" t="s">
        <v>66</v>
      </c>
      <c r="C55" s="314"/>
    </row>
    <row r="56" spans="1:7">
      <c r="B56" s="316" t="s">
        <v>67</v>
      </c>
      <c r="C56" s="317">
        <f ca="1">ROUND(C51/C52,3)</f>
        <v>5.0999999999999997E-2</v>
      </c>
    </row>
    <row r="57" spans="1:7">
      <c r="B57" s="316" t="s">
        <v>68</v>
      </c>
      <c r="C57" s="318">
        <f ca="1">1-C56</f>
        <v>0.94899999999999995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1621</v>
      </c>
      <c r="B1" s="1952"/>
      <c r="C1" s="1952"/>
      <c r="D1" s="1952"/>
      <c r="E1" s="1952"/>
    </row>
    <row r="2" spans="1:5" ht="78" customHeight="1">
      <c r="A2" s="30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7"/>
      <c r="C2" s="3017"/>
      <c r="D2" s="3017"/>
      <c r="E2" s="3017"/>
    </row>
    <row r="3" spans="1:5" ht="18">
      <c r="A3" s="3018" t="str">
        <f>IF(项目基本情况!B9="房地产市场价值","估价结果一览表（市场价值不需“结果表-1”）","估价结果一览表")</f>
        <v>估价结果一览表</v>
      </c>
      <c r="B3" s="3018"/>
      <c r="C3" s="3018"/>
      <c r="D3" s="3018"/>
      <c r="E3" s="3018"/>
    </row>
    <row r="4" spans="1:5" ht="19.5" thickBot="1">
      <c r="A4" s="1954"/>
      <c r="B4" s="3016" t="s">
        <v>1630</v>
      </c>
      <c r="C4" s="3016"/>
      <c r="D4" s="3016"/>
      <c r="E4" s="1954"/>
    </row>
    <row r="5" spans="1:5" ht="16.5" thickTop="1">
      <c r="A5" s="1952"/>
      <c r="B5" s="3014" t="s">
        <v>1622</v>
      </c>
      <c r="C5" s="1955" t="s">
        <v>1623</v>
      </c>
      <c r="D5" s="1035">
        <f ca="1">结果表!H101</f>
        <v>7509</v>
      </c>
      <c r="E5" s="1952"/>
    </row>
    <row r="6" spans="1:5" ht="15.75">
      <c r="A6" s="1952"/>
      <c r="B6" s="3014"/>
      <c r="C6" s="1955" t="s">
        <v>1624</v>
      </c>
      <c r="D6" s="1035" t="str">
        <f ca="1">NUMBERSTRING(INT(D5*10000),2)&amp;"元整"</f>
        <v>柒仟伍佰零玖万元整</v>
      </c>
      <c r="E6" s="1952"/>
    </row>
    <row r="7" spans="1:5" ht="15.75">
      <c r="A7" s="1952"/>
      <c r="B7" s="3019"/>
      <c r="C7" s="1956" t="s">
        <v>1625</v>
      </c>
      <c r="D7" s="1036">
        <f ca="1">结果表!H102</f>
        <v>8963</v>
      </c>
      <c r="E7" s="1952"/>
    </row>
    <row r="8" spans="1:5" ht="15.75">
      <c r="A8" s="1952"/>
      <c r="B8" s="3020" t="str">
        <f>结果表!E103</f>
        <v>2.估价师知悉的法定优先受偿款</v>
      </c>
      <c r="C8" s="1957" t="s">
        <v>1626</v>
      </c>
      <c r="D8" s="1036">
        <f>结果表!H103</f>
        <v>0</v>
      </c>
      <c r="E8" s="1952"/>
    </row>
    <row r="9" spans="1:5" ht="15.75">
      <c r="A9" s="1952"/>
      <c r="B9" s="3022"/>
      <c r="C9" s="1955" t="s">
        <v>1624</v>
      </c>
      <c r="D9" s="1035" t="str">
        <f>NUMBERSTRING(INT(D8*10000),2)&amp;"元整"</f>
        <v>零元整</v>
      </c>
      <c r="E9" s="1952"/>
    </row>
    <row r="10" spans="1:5" ht="15">
      <c r="A10" s="1952"/>
      <c r="B10" s="1958" t="s">
        <v>1629</v>
      </c>
      <c r="C10" s="1959" t="s">
        <v>1627</v>
      </c>
      <c r="D10" s="1037">
        <f>结果表!H104</f>
        <v>0</v>
      </c>
      <c r="E10" s="1952"/>
    </row>
    <row r="11" spans="1:5" ht="15">
      <c r="A11" s="1952"/>
      <c r="B11" s="1958" t="s">
        <v>1631</v>
      </c>
      <c r="C11" s="1959" t="s">
        <v>1632</v>
      </c>
      <c r="D11" s="1037">
        <f>结果表!H105</f>
        <v>0</v>
      </c>
      <c r="E11" s="1952"/>
    </row>
    <row r="12" spans="1:5" ht="15">
      <c r="A12" s="1952"/>
      <c r="B12" s="1958" t="s">
        <v>1633</v>
      </c>
      <c r="C12" s="1959" t="s">
        <v>1632</v>
      </c>
      <c r="D12" s="1037">
        <f>结果表!H106</f>
        <v>0</v>
      </c>
      <c r="E12" s="1952"/>
    </row>
    <row r="13" spans="1:5" ht="15.75">
      <c r="A13" s="1952"/>
      <c r="B13" s="3013" t="str">
        <f>结果表!E107</f>
        <v>——</v>
      </c>
      <c r="C13" s="1960" t="s">
        <v>1623</v>
      </c>
      <c r="D13" s="1038" t="str">
        <f>结果表!H107</f>
        <v>——</v>
      </c>
      <c r="E13" s="1952"/>
    </row>
    <row r="14" spans="1:5" ht="15.75">
      <c r="A14" s="1952"/>
      <c r="B14" s="3014"/>
      <c r="C14" s="1955" t="s">
        <v>1624</v>
      </c>
      <c r="D14" s="1035" t="e">
        <f>NUMBERSTRING(INT(D13*10000),2)&amp;"元整"</f>
        <v>#VALUE!</v>
      </c>
      <c r="E14" s="1952"/>
    </row>
    <row r="15" spans="1:5" ht="15">
      <c r="A15" s="1952"/>
      <c r="B15" s="3019"/>
      <c r="C15" s="1956" t="s">
        <v>1634</v>
      </c>
      <c r="D15" s="1047" t="e">
        <f>结果表!H108</f>
        <v>#VALUE!</v>
      </c>
      <c r="E15" s="1952"/>
    </row>
    <row r="16" spans="1:5" ht="15">
      <c r="A16" s="1952"/>
      <c r="B16" s="3020" t="str">
        <f>结果表!E109</f>
        <v>3.抵押担保权已注销时的房地产抵押价值</v>
      </c>
      <c r="C16" s="1960" t="s">
        <v>1635</v>
      </c>
      <c r="D16" s="1961">
        <f ca="1">结果表!H109</f>
        <v>7509</v>
      </c>
      <c r="E16" s="1952"/>
    </row>
    <row r="17" spans="1:5" ht="15.75">
      <c r="A17" s="1952"/>
      <c r="B17" s="3021"/>
      <c r="C17" s="1955" t="s">
        <v>1636</v>
      </c>
      <c r="D17" s="1035" t="str">
        <f ca="1">NUMBERSTRING(INT(D16*10000),2)&amp;"元整"</f>
        <v>柒仟伍佰零玖万元整</v>
      </c>
      <c r="E17" s="1952"/>
    </row>
    <row r="18" spans="1:5" ht="15">
      <c r="A18" s="1952"/>
      <c r="B18" s="3022"/>
      <c r="C18" s="1956" t="s">
        <v>1625</v>
      </c>
      <c r="D18" s="1047">
        <f ca="1">结果表!H110</f>
        <v>8963</v>
      </c>
      <c r="E18" s="1952"/>
    </row>
    <row r="19" spans="1:5" ht="15.75">
      <c r="A19" s="1952"/>
      <c r="B19" s="3013" t="str">
        <f>结果表!E111</f>
        <v>——</v>
      </c>
      <c r="C19" s="1960" t="s">
        <v>1623</v>
      </c>
      <c r="D19" s="1036" t="str">
        <f>结果表!H111</f>
        <v>——</v>
      </c>
      <c r="E19" s="1952"/>
    </row>
    <row r="20" spans="1:5" ht="15.75">
      <c r="A20" s="1952"/>
      <c r="B20" s="3014"/>
      <c r="C20" s="1955" t="s">
        <v>1636</v>
      </c>
      <c r="D20" s="1035" t="e">
        <f>NUMBERSTRING(INT(D19*10000),2)&amp;"元整"</f>
        <v>#VALUE!</v>
      </c>
      <c r="E20" s="1952"/>
    </row>
    <row r="21" spans="1:5" ht="15.75" thickBot="1">
      <c r="A21" s="1952"/>
      <c r="B21" s="3015"/>
      <c r="C21" s="1962" t="s">
        <v>1634</v>
      </c>
      <c r="D21" s="1048" t="str">
        <f>结果表!H112</f>
        <v>——</v>
      </c>
      <c r="E21" s="1952"/>
    </row>
    <row r="22" spans="1:5" ht="15" thickTop="1">
      <c r="A22" s="1952"/>
      <c r="B22" s="1963" t="s">
        <v>1637</v>
      </c>
      <c r="C22" s="1952"/>
      <c r="D22" s="1952"/>
      <c r="E22" s="1952"/>
    </row>
    <row r="23" spans="1:5">
      <c r="A23" s="1952"/>
      <c r="B23" s="1952"/>
      <c r="C23" s="1952"/>
      <c r="D23" s="1952"/>
      <c r="E23" s="1952"/>
    </row>
    <row r="24" spans="1:5" ht="18.75">
      <c r="A24" s="1964"/>
      <c r="B24" s="1965" t="s">
        <v>1628</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35" t="s">
        <v>156</v>
      </c>
      <c r="B1" s="3335"/>
      <c r="C1" s="3335"/>
      <c r="D1" s="3335"/>
      <c r="E1" s="3335"/>
      <c r="F1" s="3335"/>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36" t="s">
        <v>169</v>
      </c>
      <c r="B2" s="3336"/>
      <c r="C2" s="3336"/>
      <c r="D2" s="3336"/>
      <c r="E2" s="3336"/>
      <c r="F2" s="3336"/>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37"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38"/>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35" t="s">
        <v>871</v>
      </c>
      <c r="B1" s="3335"/>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3" t="s">
        <v>878</v>
      </c>
      <c r="B5" s="834" t="s">
        <v>879</v>
      </c>
      <c r="C5" s="1057">
        <v>8.8999999999999996E-2</v>
      </c>
      <c r="D5" s="1057">
        <v>7.3999999999999996E-2</v>
      </c>
      <c r="E5" s="1057">
        <v>7.4999999999999997E-2</v>
      </c>
      <c r="F5" s="1058">
        <v>0.1</v>
      </c>
    </row>
    <row r="6" spans="1:6" ht="14.25" thickBot="1">
      <c r="A6" s="833" t="s">
        <v>212</v>
      </c>
      <c r="B6" s="827" t="s">
        <v>880</v>
      </c>
      <c r="C6" s="1059">
        <v>0.1</v>
      </c>
      <c r="D6" s="1059">
        <v>9.0999999999999998E-2</v>
      </c>
      <c r="E6" s="1059">
        <v>9.0999999999999998E-2</v>
      </c>
      <c r="F6" s="1060">
        <v>0.1</v>
      </c>
    </row>
    <row r="7" spans="1:6" ht="14.25" thickBot="1">
      <c r="A7" s="833" t="s">
        <v>212</v>
      </c>
      <c r="B7" s="837" t="s">
        <v>201</v>
      </c>
      <c r="C7" s="1059">
        <v>8.5999999999999993E-2</v>
      </c>
      <c r="D7" s="1059">
        <v>9.6000000000000002E-2</v>
      </c>
      <c r="E7" s="1059">
        <v>7.5999999999999998E-2</v>
      </c>
      <c r="F7" s="1060">
        <v>0.1</v>
      </c>
    </row>
    <row r="8" spans="1:6" ht="14.25" thickBot="1">
      <c r="A8" s="833" t="s">
        <v>212</v>
      </c>
      <c r="B8" s="827" t="s">
        <v>213</v>
      </c>
      <c r="C8" s="1059">
        <v>9.9000000000000005E-2</v>
      </c>
      <c r="D8" s="1059">
        <v>9.8000000000000004E-2</v>
      </c>
      <c r="E8" s="1059">
        <v>9.8000000000000004E-2</v>
      </c>
      <c r="F8" s="1060">
        <v>0.1</v>
      </c>
    </row>
    <row r="9" spans="1:6" ht="14.25" thickBot="1">
      <c r="A9" s="843" t="s">
        <v>212</v>
      </c>
      <c r="B9" s="838" t="s">
        <v>225</v>
      </c>
      <c r="C9" s="1061">
        <v>0.05</v>
      </c>
      <c r="D9" s="1069"/>
      <c r="E9" s="1069"/>
      <c r="F9" s="1070"/>
    </row>
    <row r="10" spans="1:6" ht="14.25" thickBot="1">
      <c r="A10" s="833" t="s">
        <v>269</v>
      </c>
      <c r="B10" s="834" t="s">
        <v>881</v>
      </c>
      <c r="C10" s="1057">
        <v>8.8999999999999996E-2</v>
      </c>
      <c r="D10" s="1057">
        <v>7.2999999999999995E-2</v>
      </c>
      <c r="E10" s="1057">
        <v>8.2000000000000003E-2</v>
      </c>
      <c r="F10" s="1058">
        <v>0.1</v>
      </c>
    </row>
    <row r="11" spans="1:6" ht="14.25" thickBot="1">
      <c r="A11" s="833" t="s">
        <v>269</v>
      </c>
      <c r="B11" s="837" t="s">
        <v>188</v>
      </c>
      <c r="C11" s="1059">
        <v>8.8999999999999996E-2</v>
      </c>
      <c r="D11" s="1059">
        <v>7.2999999999999995E-2</v>
      </c>
      <c r="E11" s="1059">
        <v>8.2000000000000003E-2</v>
      </c>
      <c r="F11" s="1060">
        <v>0.1</v>
      </c>
    </row>
    <row r="12" spans="1:6" ht="14.25" thickBot="1">
      <c r="A12" s="833" t="s">
        <v>269</v>
      </c>
      <c r="B12" s="837" t="s">
        <v>138</v>
      </c>
      <c r="C12" s="1059">
        <v>6.0999999999999999E-2</v>
      </c>
      <c r="D12" s="1059">
        <v>7.0999999999999994E-2</v>
      </c>
      <c r="E12" s="1059">
        <v>9.6000000000000002E-2</v>
      </c>
      <c r="F12" s="1060">
        <v>0.1</v>
      </c>
    </row>
    <row r="13" spans="1:6" ht="14.25" thickBot="1">
      <c r="A13" s="833" t="s">
        <v>269</v>
      </c>
      <c r="B13" s="837" t="s">
        <v>214</v>
      </c>
      <c r="C13" s="1059">
        <v>6.9000000000000006E-2</v>
      </c>
      <c r="D13" s="1059">
        <v>6.5000000000000002E-2</v>
      </c>
      <c r="E13" s="1059">
        <v>6.6000000000000003E-2</v>
      </c>
      <c r="F13" s="1060">
        <v>0.1</v>
      </c>
    </row>
    <row r="14" spans="1:6" ht="14.25" thickBot="1">
      <c r="A14" s="833" t="s">
        <v>269</v>
      </c>
      <c r="B14" s="837" t="s">
        <v>226</v>
      </c>
      <c r="C14" s="1059">
        <v>0.1</v>
      </c>
      <c r="D14" s="1059">
        <v>6.5000000000000002E-2</v>
      </c>
      <c r="E14" s="1059">
        <v>7.0000000000000007E-2</v>
      </c>
      <c r="F14" s="1060">
        <v>0.1</v>
      </c>
    </row>
    <row r="15" spans="1:6" ht="14.25" thickBot="1">
      <c r="A15" s="833" t="s">
        <v>269</v>
      </c>
      <c r="B15" s="837" t="s">
        <v>237</v>
      </c>
      <c r="C15" s="1059">
        <v>9.8000000000000004E-2</v>
      </c>
      <c r="D15" s="1059">
        <v>8.8999999999999996E-2</v>
      </c>
      <c r="E15" s="1059">
        <v>8.8999999999999996E-2</v>
      </c>
      <c r="F15" s="1060">
        <v>0.1</v>
      </c>
    </row>
    <row r="16" spans="1:6" ht="14.25" thickBot="1">
      <c r="A16" s="833" t="s">
        <v>269</v>
      </c>
      <c r="B16" s="837" t="s">
        <v>248</v>
      </c>
      <c r="C16" s="1059">
        <v>7.0000000000000007E-2</v>
      </c>
      <c r="D16" s="1059">
        <v>9.2999999999999999E-2</v>
      </c>
      <c r="E16" s="1059">
        <v>9.6000000000000002E-2</v>
      </c>
      <c r="F16" s="1060">
        <v>0.1</v>
      </c>
    </row>
    <row r="17" spans="1:6" ht="14.25" thickBot="1">
      <c r="A17" s="833" t="s">
        <v>269</v>
      </c>
      <c r="B17" s="837" t="s">
        <v>259</v>
      </c>
      <c r="C17" s="1059">
        <v>9.5000000000000001E-2</v>
      </c>
      <c r="D17" s="1059">
        <v>0.1</v>
      </c>
      <c r="E17" s="1059">
        <v>0.1</v>
      </c>
      <c r="F17" s="1071"/>
    </row>
    <row r="18" spans="1:6" ht="14.25" thickBot="1">
      <c r="A18" s="833" t="s">
        <v>269</v>
      </c>
      <c r="B18" s="837" t="s">
        <v>271</v>
      </c>
      <c r="C18" s="1059">
        <v>7.3999999999999996E-2</v>
      </c>
      <c r="D18" s="1059">
        <v>9.9000000000000005E-2</v>
      </c>
      <c r="E18" s="1059">
        <v>0.1</v>
      </c>
      <c r="F18" s="1071"/>
    </row>
    <row r="19" spans="1:6" ht="14.25" thickBot="1">
      <c r="A19" s="833" t="s">
        <v>269</v>
      </c>
      <c r="B19" s="837" t="s">
        <v>281</v>
      </c>
      <c r="C19" s="1059">
        <v>9.9000000000000005E-2</v>
      </c>
      <c r="D19" s="1059">
        <v>7.5999999999999998E-2</v>
      </c>
      <c r="E19" s="1059">
        <v>8.6999999999999994E-2</v>
      </c>
      <c r="F19" s="1071"/>
    </row>
    <row r="20" spans="1:6" ht="14.25" thickBot="1">
      <c r="A20" s="833" t="s">
        <v>269</v>
      </c>
      <c r="B20" s="837" t="s">
        <v>291</v>
      </c>
      <c r="C20" s="1059">
        <v>9.8000000000000004E-2</v>
      </c>
      <c r="D20" s="1059">
        <v>8.5000000000000006E-2</v>
      </c>
      <c r="E20" s="1059">
        <v>8.2000000000000003E-2</v>
      </c>
      <c r="F20" s="1071"/>
    </row>
    <row r="21" spans="1:6" ht="14.25" thickBot="1">
      <c r="A21" s="833" t="s">
        <v>269</v>
      </c>
      <c r="B21" s="837" t="s">
        <v>301</v>
      </c>
      <c r="C21" s="1059">
        <v>6.6000000000000003E-2</v>
      </c>
      <c r="D21" s="1059">
        <v>6.4000000000000001E-2</v>
      </c>
      <c r="E21" s="1059">
        <v>6.5000000000000002E-2</v>
      </c>
      <c r="F21" s="1071"/>
    </row>
    <row r="22" spans="1:6" ht="14.25" thickBot="1">
      <c r="A22" s="833" t="s">
        <v>269</v>
      </c>
      <c r="B22" s="837" t="s">
        <v>882</v>
      </c>
      <c r="C22" s="1059">
        <v>0.08</v>
      </c>
      <c r="D22" s="1059">
        <v>9.8000000000000004E-2</v>
      </c>
      <c r="E22" s="1059">
        <v>9.8000000000000004E-2</v>
      </c>
      <c r="F22" s="1071"/>
    </row>
    <row r="23" spans="1:6" ht="14.25" thickBot="1">
      <c r="A23" s="833" t="s">
        <v>269</v>
      </c>
      <c r="B23" s="837" t="s">
        <v>322</v>
      </c>
      <c r="C23" s="1059">
        <v>9.9000000000000005E-2</v>
      </c>
      <c r="D23" s="1059">
        <v>9.8000000000000004E-2</v>
      </c>
      <c r="E23" s="1059">
        <v>9.0999999999999998E-2</v>
      </c>
      <c r="F23" s="1071"/>
    </row>
    <row r="24" spans="1:6" ht="14.25" thickBot="1">
      <c r="A24" s="833" t="s">
        <v>269</v>
      </c>
      <c r="B24" s="837" t="s">
        <v>333</v>
      </c>
      <c r="C24" s="1059">
        <v>8.8999999999999996E-2</v>
      </c>
      <c r="D24" s="1059">
        <v>9.7000000000000003E-2</v>
      </c>
      <c r="E24" s="1059">
        <v>7.0000000000000007E-2</v>
      </c>
      <c r="F24" s="1071"/>
    </row>
    <row r="25" spans="1:6" ht="14.25" thickBot="1">
      <c r="A25" s="833" t="s">
        <v>269</v>
      </c>
      <c r="B25" s="837" t="s">
        <v>343</v>
      </c>
      <c r="C25" s="1059">
        <v>8.8999999999999996E-2</v>
      </c>
      <c r="D25" s="1059">
        <v>0.1</v>
      </c>
      <c r="E25" s="1059">
        <v>8.1000000000000003E-2</v>
      </c>
      <c r="F25" s="1071"/>
    </row>
    <row r="26" spans="1:6" ht="14.25" thickBot="1">
      <c r="A26" s="833" t="s">
        <v>269</v>
      </c>
      <c r="B26" s="837" t="s">
        <v>353</v>
      </c>
      <c r="C26" s="1072"/>
      <c r="D26" s="1059">
        <v>9.6000000000000002E-2</v>
      </c>
      <c r="E26" s="1059">
        <v>9.2999999999999999E-2</v>
      </c>
      <c r="F26" s="1071"/>
    </row>
    <row r="27" spans="1:6" ht="14.25" thickBot="1">
      <c r="A27" s="833" t="s">
        <v>269</v>
      </c>
      <c r="B27" s="837" t="s">
        <v>363</v>
      </c>
      <c r="C27" s="1072"/>
      <c r="D27" s="1059">
        <v>7.5999999999999998E-2</v>
      </c>
      <c r="E27" s="1059">
        <v>9.1999999999999998E-2</v>
      </c>
      <c r="F27" s="1071"/>
    </row>
    <row r="28" spans="1:6" ht="14.25" thickBot="1">
      <c r="A28" s="843" t="s">
        <v>269</v>
      </c>
      <c r="B28" s="838" t="s">
        <v>373</v>
      </c>
      <c r="C28" s="1069"/>
      <c r="D28" s="1061">
        <v>7.5999999999999998E-2</v>
      </c>
      <c r="E28" s="1061">
        <v>9.1999999999999998E-2</v>
      </c>
      <c r="F28" s="1070"/>
    </row>
    <row r="29" spans="1:6" ht="14.25" thickBot="1">
      <c r="A29" s="833" t="s">
        <v>442</v>
      </c>
      <c r="B29" s="834" t="s">
        <v>883</v>
      </c>
      <c r="C29" s="1057">
        <v>6.4000000000000001E-2</v>
      </c>
      <c r="D29" s="1057">
        <v>6.5000000000000002E-2</v>
      </c>
      <c r="E29" s="1057">
        <v>6.9000000000000006E-2</v>
      </c>
      <c r="F29" s="1058">
        <v>0.1</v>
      </c>
    </row>
    <row r="30" spans="1:6" ht="14.25" thickBot="1">
      <c r="A30" s="833" t="s">
        <v>442</v>
      </c>
      <c r="B30" s="837" t="s">
        <v>189</v>
      </c>
      <c r="C30" s="1059">
        <v>6.4000000000000001E-2</v>
      </c>
      <c r="D30" s="1059">
        <v>9.9000000000000005E-2</v>
      </c>
      <c r="E30" s="1059">
        <v>0.1</v>
      </c>
      <c r="F30" s="1060">
        <v>0.1</v>
      </c>
    </row>
    <row r="31" spans="1:6" ht="14.25" thickBot="1">
      <c r="A31" s="833" t="s">
        <v>442</v>
      </c>
      <c r="B31" s="837" t="s">
        <v>202</v>
      </c>
      <c r="C31" s="1059">
        <v>0.1</v>
      </c>
      <c r="D31" s="1059">
        <v>9.5000000000000001E-2</v>
      </c>
      <c r="E31" s="1059">
        <v>8.8999999999999996E-2</v>
      </c>
      <c r="F31" s="1060">
        <v>0.1</v>
      </c>
    </row>
    <row r="32" spans="1:6" ht="14.25" thickBot="1">
      <c r="A32" s="833" t="s">
        <v>442</v>
      </c>
      <c r="B32" s="837" t="s">
        <v>215</v>
      </c>
      <c r="C32" s="1059">
        <v>0.05</v>
      </c>
      <c r="D32" s="1059">
        <v>0.05</v>
      </c>
      <c r="E32" s="1059">
        <v>8.7999999999999995E-2</v>
      </c>
      <c r="F32" s="1060">
        <v>0.1</v>
      </c>
    </row>
    <row r="33" spans="1:6" ht="14.25" thickBot="1">
      <c r="A33" s="833" t="s">
        <v>442</v>
      </c>
      <c r="B33" s="837" t="s">
        <v>227</v>
      </c>
      <c r="C33" s="1059">
        <v>7.4999999999999997E-2</v>
      </c>
      <c r="D33" s="1059">
        <v>9.4E-2</v>
      </c>
      <c r="E33" s="1059">
        <v>9.7000000000000003E-2</v>
      </c>
      <c r="F33" s="1060">
        <v>0.1</v>
      </c>
    </row>
    <row r="34" spans="1:6" ht="14.25" thickBot="1">
      <c r="A34" s="833" t="s">
        <v>442</v>
      </c>
      <c r="B34" s="837" t="s">
        <v>238</v>
      </c>
      <c r="C34" s="1059">
        <v>9.8000000000000004E-2</v>
      </c>
      <c r="D34" s="1059">
        <v>8.5999999999999993E-2</v>
      </c>
      <c r="E34" s="1059">
        <v>9.7000000000000003E-2</v>
      </c>
      <c r="F34" s="1060">
        <v>0.1</v>
      </c>
    </row>
    <row r="35" spans="1:6" ht="14.25" thickBot="1">
      <c r="A35" s="833" t="s">
        <v>442</v>
      </c>
      <c r="B35" s="837" t="s">
        <v>249</v>
      </c>
      <c r="C35" s="1059">
        <v>5.8999999999999997E-2</v>
      </c>
      <c r="D35" s="1059">
        <v>6.5000000000000002E-2</v>
      </c>
      <c r="E35" s="1059">
        <v>7.0000000000000007E-2</v>
      </c>
      <c r="F35" s="1060">
        <v>0.1</v>
      </c>
    </row>
    <row r="36" spans="1:6" ht="14.25" thickBot="1">
      <c r="A36" s="833" t="s">
        <v>442</v>
      </c>
      <c r="B36" s="837" t="s">
        <v>260</v>
      </c>
      <c r="C36" s="1059">
        <v>6.3E-2</v>
      </c>
      <c r="D36" s="1059">
        <v>0.1</v>
      </c>
      <c r="E36" s="1059">
        <v>0.1</v>
      </c>
      <c r="F36" s="1060">
        <v>0.1</v>
      </c>
    </row>
    <row r="37" spans="1:6" ht="14.25" thickBot="1">
      <c r="A37" s="833" t="s">
        <v>442</v>
      </c>
      <c r="B37" s="837" t="s">
        <v>272</v>
      </c>
      <c r="C37" s="1059">
        <v>7.3999999999999996E-2</v>
      </c>
      <c r="D37" s="1059">
        <v>0.1</v>
      </c>
      <c r="E37" s="1059">
        <v>0.1</v>
      </c>
      <c r="F37" s="1060">
        <v>0.1</v>
      </c>
    </row>
    <row r="38" spans="1:6" ht="14.25" thickBot="1">
      <c r="A38" s="833" t="s">
        <v>442</v>
      </c>
      <c r="B38" s="837" t="s">
        <v>282</v>
      </c>
      <c r="C38" s="1059">
        <v>0.1</v>
      </c>
      <c r="D38" s="1059">
        <v>9.6000000000000002E-2</v>
      </c>
      <c r="E38" s="1059">
        <v>9.6000000000000002E-2</v>
      </c>
      <c r="F38" s="1071"/>
    </row>
    <row r="39" spans="1:6" ht="14.25" thickBot="1">
      <c r="A39" s="833" t="s">
        <v>442</v>
      </c>
      <c r="B39" s="837" t="s">
        <v>292</v>
      </c>
      <c r="C39" s="1059">
        <v>0.1</v>
      </c>
      <c r="D39" s="1059">
        <v>9.6000000000000002E-2</v>
      </c>
      <c r="E39" s="1059">
        <v>9.6000000000000002E-2</v>
      </c>
      <c r="F39" s="1071"/>
    </row>
    <row r="40" spans="1:6" ht="14.25" thickBot="1">
      <c r="A40" s="833" t="s">
        <v>442</v>
      </c>
      <c r="B40" s="837" t="s">
        <v>302</v>
      </c>
      <c r="C40" s="1059">
        <v>9.6000000000000002E-2</v>
      </c>
      <c r="D40" s="1059">
        <v>0.1</v>
      </c>
      <c r="E40" s="1059">
        <v>9.9000000000000005E-2</v>
      </c>
      <c r="F40" s="1071"/>
    </row>
    <row r="41" spans="1:6" ht="14.25" thickBot="1">
      <c r="A41" s="833" t="s">
        <v>442</v>
      </c>
      <c r="B41" s="837" t="s">
        <v>312</v>
      </c>
      <c r="C41" s="1059">
        <v>9.6000000000000002E-2</v>
      </c>
      <c r="D41" s="1059">
        <v>9.8000000000000004E-2</v>
      </c>
      <c r="E41" s="1059">
        <v>9.8000000000000004E-2</v>
      </c>
      <c r="F41" s="1071"/>
    </row>
    <row r="42" spans="1:6" ht="14.25" thickBot="1">
      <c r="A42" s="833" t="s">
        <v>442</v>
      </c>
      <c r="B42" s="837" t="s">
        <v>323</v>
      </c>
      <c r="C42" s="1059">
        <v>0.1</v>
      </c>
      <c r="D42" s="1059">
        <v>8.7999999999999995E-2</v>
      </c>
      <c r="E42" s="1059">
        <v>0.1</v>
      </c>
      <c r="F42" s="1071"/>
    </row>
    <row r="43" spans="1:6" ht="14.25" thickBot="1">
      <c r="A43" s="833" t="s">
        <v>442</v>
      </c>
      <c r="B43" s="837" t="s">
        <v>334</v>
      </c>
      <c r="C43" s="1059">
        <v>9.8000000000000004E-2</v>
      </c>
      <c r="D43" s="1059">
        <v>9.7000000000000003E-2</v>
      </c>
      <c r="E43" s="1059">
        <v>9.6000000000000002E-2</v>
      </c>
      <c r="F43" s="1071"/>
    </row>
    <row r="44" spans="1:6" ht="14.25" thickBot="1">
      <c r="A44" s="833" t="s">
        <v>442</v>
      </c>
      <c r="B44" s="837" t="s">
        <v>344</v>
      </c>
      <c r="C44" s="1059">
        <v>8.5999999999999993E-2</v>
      </c>
      <c r="D44" s="1059">
        <v>7.9000000000000001E-2</v>
      </c>
      <c r="E44" s="1059">
        <v>7.0999999999999994E-2</v>
      </c>
      <c r="F44" s="1071"/>
    </row>
    <row r="45" spans="1:6" ht="14.25" thickBot="1">
      <c r="A45" s="833" t="s">
        <v>442</v>
      </c>
      <c r="B45" s="837" t="s">
        <v>354</v>
      </c>
      <c r="C45" s="1059">
        <v>9.8000000000000004E-2</v>
      </c>
      <c r="D45" s="1059">
        <v>9.6000000000000002E-2</v>
      </c>
      <c r="E45" s="1059">
        <v>9.6000000000000002E-2</v>
      </c>
      <c r="F45" s="1071"/>
    </row>
    <row r="46" spans="1:6" ht="14.25" thickBot="1">
      <c r="A46" s="833" t="s">
        <v>442</v>
      </c>
      <c r="B46" s="837" t="s">
        <v>364</v>
      </c>
      <c r="C46" s="1059">
        <v>8.5999999999999993E-2</v>
      </c>
      <c r="D46" s="1059">
        <v>9.8000000000000004E-2</v>
      </c>
      <c r="E46" s="1059">
        <v>8.7999999999999995E-2</v>
      </c>
      <c r="F46" s="1071"/>
    </row>
    <row r="47" spans="1:6" ht="14.25" thickBot="1">
      <c r="A47" s="833" t="s">
        <v>442</v>
      </c>
      <c r="B47" s="837" t="s">
        <v>374</v>
      </c>
      <c r="C47" s="1059">
        <v>9.6000000000000002E-2</v>
      </c>
      <c r="D47" s="1072"/>
      <c r="E47" s="1059">
        <v>6.9000000000000006E-2</v>
      </c>
      <c r="F47" s="1071"/>
    </row>
    <row r="48" spans="1:6" ht="14.25" thickBot="1">
      <c r="A48" s="843" t="s">
        <v>442</v>
      </c>
      <c r="B48" s="838" t="s">
        <v>383</v>
      </c>
      <c r="C48" s="1061">
        <v>9.8000000000000004E-2</v>
      </c>
      <c r="D48" s="1069"/>
      <c r="E48" s="1061">
        <v>9.5000000000000001E-2</v>
      </c>
      <c r="F48" s="1070"/>
    </row>
    <row r="49" spans="1:6" ht="14.25" thickBot="1">
      <c r="A49" s="833" t="s">
        <v>137</v>
      </c>
      <c r="B49" s="834" t="s">
        <v>884</v>
      </c>
      <c r="C49" s="1057">
        <v>9.7000000000000003E-2</v>
      </c>
      <c r="D49" s="1057">
        <v>9.5000000000000001E-2</v>
      </c>
      <c r="E49" s="1057">
        <v>9.7000000000000003E-2</v>
      </c>
      <c r="F49" s="1058">
        <v>0.1</v>
      </c>
    </row>
    <row r="50" spans="1:6" ht="14.25" thickBot="1">
      <c r="A50" s="833" t="s">
        <v>137</v>
      </c>
      <c r="B50" s="827" t="s">
        <v>190</v>
      </c>
      <c r="C50" s="1059">
        <v>7.4999999999999997E-2</v>
      </c>
      <c r="D50" s="1059">
        <v>9.5000000000000001E-2</v>
      </c>
      <c r="E50" s="1059">
        <v>0.1</v>
      </c>
      <c r="F50" s="1060">
        <v>0.1</v>
      </c>
    </row>
    <row r="51" spans="1:6" ht="14.25" thickBot="1">
      <c r="A51" s="833" t="s">
        <v>137</v>
      </c>
      <c r="B51" s="827" t="s">
        <v>203</v>
      </c>
      <c r="C51" s="1059">
        <v>9.8000000000000004E-2</v>
      </c>
      <c r="D51" s="1059">
        <v>8.8999999999999996E-2</v>
      </c>
      <c r="E51" s="1059">
        <v>0.1</v>
      </c>
      <c r="F51" s="1060">
        <v>0.1</v>
      </c>
    </row>
    <row r="52" spans="1:6" ht="14.25" thickBot="1">
      <c r="A52" s="833" t="s">
        <v>137</v>
      </c>
      <c r="B52" s="827" t="s">
        <v>216</v>
      </c>
      <c r="C52" s="1059">
        <v>9.8000000000000004E-2</v>
      </c>
      <c r="D52" s="1059">
        <v>9.7000000000000003E-2</v>
      </c>
      <c r="E52" s="1059">
        <v>8.1000000000000003E-2</v>
      </c>
      <c r="F52" s="1060">
        <v>0.1</v>
      </c>
    </row>
    <row r="53" spans="1:6" ht="14.25" thickBot="1">
      <c r="A53" s="833" t="s">
        <v>137</v>
      </c>
      <c r="B53" s="827" t="s">
        <v>228</v>
      </c>
      <c r="C53" s="1059">
        <v>9.7000000000000003E-2</v>
      </c>
      <c r="D53" s="1059">
        <v>7.5999999999999998E-2</v>
      </c>
      <c r="E53" s="1059">
        <v>7.0999999999999994E-2</v>
      </c>
      <c r="F53" s="1060">
        <v>0.1</v>
      </c>
    </row>
    <row r="54" spans="1:6" ht="14.25" thickBot="1">
      <c r="A54" s="833" t="s">
        <v>137</v>
      </c>
      <c r="B54" s="827" t="s">
        <v>239</v>
      </c>
      <c r="C54" s="1059">
        <v>7.5999999999999998E-2</v>
      </c>
      <c r="D54" s="1059">
        <v>0.1</v>
      </c>
      <c r="E54" s="1059">
        <v>9.9000000000000005E-2</v>
      </c>
      <c r="F54" s="1060">
        <v>0.1</v>
      </c>
    </row>
    <row r="55" spans="1:6" ht="14.25" thickBot="1">
      <c r="A55" s="833" t="s">
        <v>137</v>
      </c>
      <c r="B55" s="827" t="s">
        <v>250</v>
      </c>
      <c r="C55" s="1059">
        <v>0.1</v>
      </c>
      <c r="D55" s="1059">
        <v>0.1</v>
      </c>
      <c r="E55" s="1059">
        <v>9.6000000000000002E-2</v>
      </c>
      <c r="F55" s="1060">
        <v>0.1</v>
      </c>
    </row>
    <row r="56" spans="1:6" ht="14.25" thickBot="1">
      <c r="A56" s="833" t="s">
        <v>137</v>
      </c>
      <c r="B56" s="827" t="s">
        <v>261</v>
      </c>
      <c r="C56" s="1059">
        <v>0.1</v>
      </c>
      <c r="D56" s="1059">
        <v>9.6000000000000002E-2</v>
      </c>
      <c r="E56" s="1059">
        <v>5.1999999999999998E-2</v>
      </c>
      <c r="F56" s="1060">
        <v>0.1</v>
      </c>
    </row>
    <row r="57" spans="1:6" ht="14.25" thickBot="1">
      <c r="A57" s="833" t="s">
        <v>137</v>
      </c>
      <c r="B57" s="827" t="s">
        <v>273</v>
      </c>
      <c r="C57" s="1059">
        <v>9.7000000000000003E-2</v>
      </c>
      <c r="D57" s="1059">
        <v>9.6000000000000002E-2</v>
      </c>
      <c r="E57" s="1059">
        <v>9.6000000000000002E-2</v>
      </c>
      <c r="F57" s="1060">
        <v>0.1</v>
      </c>
    </row>
    <row r="58" spans="1:6" ht="14.25" thickBot="1">
      <c r="A58" s="833" t="s">
        <v>137</v>
      </c>
      <c r="B58" s="827" t="s">
        <v>283</v>
      </c>
      <c r="C58" s="1059">
        <v>9.6000000000000002E-2</v>
      </c>
      <c r="D58" s="1059">
        <v>9.9000000000000005E-2</v>
      </c>
      <c r="E58" s="1059">
        <v>9.6000000000000002E-2</v>
      </c>
      <c r="F58" s="1060">
        <v>0.1</v>
      </c>
    </row>
    <row r="59" spans="1:6" ht="14.25" thickBot="1">
      <c r="A59" s="833" t="s">
        <v>137</v>
      </c>
      <c r="B59" s="827" t="s">
        <v>293</v>
      </c>
      <c r="C59" s="1059">
        <v>7.1999999999999995E-2</v>
      </c>
      <c r="D59" s="1059">
        <v>9.6000000000000002E-2</v>
      </c>
      <c r="E59" s="1059">
        <v>7.0999999999999994E-2</v>
      </c>
      <c r="F59" s="1060">
        <v>0.1</v>
      </c>
    </row>
    <row r="60" spans="1:6" ht="14.25" thickBot="1">
      <c r="A60" s="833" t="s">
        <v>137</v>
      </c>
      <c r="B60" s="827" t="s">
        <v>303</v>
      </c>
      <c r="C60" s="1059">
        <v>9.6000000000000002E-2</v>
      </c>
      <c r="D60" s="1059">
        <v>8.8999999999999996E-2</v>
      </c>
      <c r="E60" s="1059">
        <v>9.6000000000000002E-2</v>
      </c>
      <c r="F60" s="1060">
        <v>0.1</v>
      </c>
    </row>
    <row r="61" spans="1:6" ht="14.25" thickBot="1">
      <c r="A61" s="833" t="s">
        <v>137</v>
      </c>
      <c r="B61" s="827" t="s">
        <v>313</v>
      </c>
      <c r="C61" s="1059">
        <v>8.8999999999999996E-2</v>
      </c>
      <c r="D61" s="1059">
        <v>9.8000000000000004E-2</v>
      </c>
      <c r="E61" s="1059">
        <v>8.7999999999999995E-2</v>
      </c>
      <c r="F61" s="1071"/>
    </row>
    <row r="62" spans="1:6" ht="14.25" thickBot="1">
      <c r="A62" s="833" t="s">
        <v>137</v>
      </c>
      <c r="B62" s="827" t="s">
        <v>324</v>
      </c>
      <c r="C62" s="1059">
        <v>9.8000000000000004E-2</v>
      </c>
      <c r="D62" s="1059">
        <v>9.2999999999999999E-2</v>
      </c>
      <c r="E62" s="1059">
        <v>9.7000000000000003E-2</v>
      </c>
      <c r="F62" s="1071"/>
    </row>
    <row r="63" spans="1:6" ht="14.25" thickBot="1">
      <c r="A63" s="833" t="s">
        <v>137</v>
      </c>
      <c r="B63" s="827" t="s">
        <v>335</v>
      </c>
      <c r="C63" s="1059">
        <v>9.6000000000000002E-2</v>
      </c>
      <c r="D63" s="1059">
        <v>9.8000000000000004E-2</v>
      </c>
      <c r="E63" s="1059">
        <v>0.09</v>
      </c>
      <c r="F63" s="1071"/>
    </row>
    <row r="64" spans="1:6" ht="14.25" thickBot="1">
      <c r="A64" s="833" t="s">
        <v>137</v>
      </c>
      <c r="B64" s="827" t="s">
        <v>345</v>
      </c>
      <c r="C64" s="1059">
        <v>9.9000000000000005E-2</v>
      </c>
      <c r="D64" s="1059">
        <v>9.7000000000000003E-2</v>
      </c>
      <c r="E64" s="1059">
        <v>9.9000000000000005E-2</v>
      </c>
      <c r="F64" s="1071"/>
    </row>
    <row r="65" spans="1:6" ht="14.25" thickBot="1">
      <c r="A65" s="833" t="s">
        <v>137</v>
      </c>
      <c r="B65" s="827" t="s">
        <v>355</v>
      </c>
      <c r="C65" s="1059">
        <v>9.8000000000000004E-2</v>
      </c>
      <c r="D65" s="1059">
        <v>9.6000000000000002E-2</v>
      </c>
      <c r="E65" s="1059">
        <v>9.6000000000000002E-2</v>
      </c>
      <c r="F65" s="1071"/>
    </row>
    <row r="66" spans="1:6" ht="14.25" thickBot="1">
      <c r="A66" s="833" t="s">
        <v>137</v>
      </c>
      <c r="B66" s="827" t="s">
        <v>365</v>
      </c>
      <c r="C66" s="1059">
        <v>9.6000000000000002E-2</v>
      </c>
      <c r="D66" s="1059">
        <v>9.1999999999999998E-2</v>
      </c>
      <c r="E66" s="1059">
        <v>9.6000000000000002E-2</v>
      </c>
      <c r="F66" s="1071"/>
    </row>
    <row r="67" spans="1:6" ht="14.25" thickBot="1">
      <c r="A67" s="833" t="s">
        <v>137</v>
      </c>
      <c r="B67" s="827" t="s">
        <v>375</v>
      </c>
      <c r="C67" s="1059">
        <v>9.4E-2</v>
      </c>
      <c r="D67" s="1059">
        <v>0.1</v>
      </c>
      <c r="E67" s="1059">
        <v>8.7999999999999995E-2</v>
      </c>
      <c r="F67" s="1071"/>
    </row>
    <row r="68" spans="1:6" ht="14.25" thickBot="1">
      <c r="A68" s="833" t="s">
        <v>137</v>
      </c>
      <c r="B68" s="827" t="s">
        <v>384</v>
      </c>
      <c r="C68" s="1059">
        <v>0.1</v>
      </c>
      <c r="D68" s="1059">
        <v>8.7999999999999995E-2</v>
      </c>
      <c r="E68" s="1059">
        <v>9.7000000000000003E-2</v>
      </c>
      <c r="F68" s="1071"/>
    </row>
    <row r="69" spans="1:6" ht="14.25" thickBot="1">
      <c r="A69" s="833" t="s">
        <v>137</v>
      </c>
      <c r="B69" s="827" t="s">
        <v>393</v>
      </c>
      <c r="C69" s="1059">
        <v>6.4000000000000001E-2</v>
      </c>
      <c r="D69" s="1059">
        <v>0.1</v>
      </c>
      <c r="E69" s="1059">
        <v>0.1</v>
      </c>
      <c r="F69" s="1071"/>
    </row>
    <row r="70" spans="1:6" ht="14.25" thickBot="1">
      <c r="A70" s="833" t="s">
        <v>137</v>
      </c>
      <c r="B70" s="827" t="s">
        <v>401</v>
      </c>
      <c r="C70" s="1059">
        <v>9.0999999999999998E-2</v>
      </c>
      <c r="D70" s="1072"/>
      <c r="E70" s="1072"/>
      <c r="F70" s="1071"/>
    </row>
    <row r="71" spans="1:6" ht="14.25" thickBot="1">
      <c r="A71" s="833" t="s">
        <v>137</v>
      </c>
      <c r="B71" s="827" t="s">
        <v>408</v>
      </c>
      <c r="C71" s="1059">
        <v>0.1</v>
      </c>
      <c r="D71" s="1072"/>
      <c r="E71" s="1072"/>
      <c r="F71" s="1071"/>
    </row>
    <row r="72" spans="1:6" ht="14.25" thickBot="1">
      <c r="A72" s="833" t="s">
        <v>137</v>
      </c>
      <c r="B72" s="827" t="s">
        <v>885</v>
      </c>
      <c r="C72" s="1072"/>
      <c r="D72" s="1072"/>
      <c r="E72" s="1072"/>
      <c r="F72" s="1060">
        <v>0.05</v>
      </c>
    </row>
    <row r="73" spans="1:6" ht="14.25" thickBot="1">
      <c r="A73" s="833" t="s">
        <v>137</v>
      </c>
      <c r="B73" s="827" t="s">
        <v>886</v>
      </c>
      <c r="C73" s="1072"/>
      <c r="D73" s="1072"/>
      <c r="E73" s="1072"/>
      <c r="F73" s="1060">
        <v>0.05</v>
      </c>
    </row>
    <row r="74" spans="1:6" ht="14.25" thickBot="1">
      <c r="A74" s="833" t="s">
        <v>137</v>
      </c>
      <c r="B74" s="827" t="s">
        <v>887</v>
      </c>
      <c r="C74" s="1072"/>
      <c r="D74" s="1072"/>
      <c r="E74" s="1072"/>
      <c r="F74" s="1060">
        <v>0.05</v>
      </c>
    </row>
    <row r="75" spans="1:6" ht="14.25" thickBot="1">
      <c r="A75" s="843" t="s">
        <v>137</v>
      </c>
      <c r="B75" s="839" t="s">
        <v>888</v>
      </c>
      <c r="C75" s="1069"/>
      <c r="D75" s="1069"/>
      <c r="E75" s="1069"/>
      <c r="F75" s="1062">
        <v>0.05</v>
      </c>
    </row>
    <row r="76" spans="1:6" ht="14.25" thickBot="1">
      <c r="A76" s="833" t="s">
        <v>523</v>
      </c>
      <c r="B76" s="834" t="s">
        <v>889</v>
      </c>
      <c r="C76" s="1057">
        <v>0.1</v>
      </c>
      <c r="D76" s="1057">
        <v>0.1</v>
      </c>
      <c r="E76" s="1057">
        <v>0.1</v>
      </c>
      <c r="F76" s="1058">
        <v>0.1</v>
      </c>
    </row>
    <row r="77" spans="1:6" ht="14.25" thickBot="1">
      <c r="A77" s="833" t="s">
        <v>523</v>
      </c>
      <c r="B77" s="827" t="s">
        <v>191</v>
      </c>
      <c r="C77" s="1059">
        <v>8.7999999999999995E-2</v>
      </c>
      <c r="D77" s="1059">
        <v>8.6999999999999994E-2</v>
      </c>
      <c r="E77" s="1059">
        <v>7.9000000000000001E-2</v>
      </c>
      <c r="F77" s="1060">
        <v>0.1</v>
      </c>
    </row>
    <row r="78" spans="1:6" ht="14.25" thickBot="1">
      <c r="A78" s="833" t="s">
        <v>523</v>
      </c>
      <c r="B78" s="827" t="s">
        <v>204</v>
      </c>
      <c r="C78" s="1059">
        <v>8.6999999999999994E-2</v>
      </c>
      <c r="D78" s="1059">
        <v>8.4000000000000005E-2</v>
      </c>
      <c r="E78" s="1059">
        <v>9.6000000000000002E-2</v>
      </c>
      <c r="F78" s="1060">
        <v>0.1</v>
      </c>
    </row>
    <row r="79" spans="1:6" ht="14.25" thickBot="1">
      <c r="A79" s="833" t="s">
        <v>523</v>
      </c>
      <c r="B79" s="827" t="s">
        <v>217</v>
      </c>
      <c r="C79" s="1059">
        <v>9.8000000000000004E-2</v>
      </c>
      <c r="D79" s="1059">
        <v>9.8000000000000004E-2</v>
      </c>
      <c r="E79" s="1059">
        <v>9.0999999999999998E-2</v>
      </c>
      <c r="F79" s="1060">
        <v>0.1</v>
      </c>
    </row>
    <row r="80" spans="1:6" ht="14.25" thickBot="1">
      <c r="A80" s="833" t="s">
        <v>523</v>
      </c>
      <c r="B80" s="827" t="s">
        <v>229</v>
      </c>
      <c r="C80" s="1059">
        <v>9.6000000000000002E-2</v>
      </c>
      <c r="D80" s="1059">
        <v>9.6000000000000002E-2</v>
      </c>
      <c r="E80" s="1059">
        <v>0.1</v>
      </c>
      <c r="F80" s="1060">
        <v>0.1</v>
      </c>
    </row>
    <row r="81" spans="1:6" ht="14.25" thickBot="1">
      <c r="A81" s="833" t="s">
        <v>523</v>
      </c>
      <c r="B81" s="827" t="s">
        <v>240</v>
      </c>
      <c r="C81" s="1059">
        <v>9.9000000000000005E-2</v>
      </c>
      <c r="D81" s="1059">
        <v>9.9000000000000005E-2</v>
      </c>
      <c r="E81" s="1059">
        <v>9.8000000000000004E-2</v>
      </c>
      <c r="F81" s="1060">
        <v>0.1</v>
      </c>
    </row>
    <row r="82" spans="1:6" ht="14.25" thickBot="1">
      <c r="A82" s="833" t="s">
        <v>523</v>
      </c>
      <c r="B82" s="827" t="s">
        <v>251</v>
      </c>
      <c r="C82" s="1059">
        <v>9.9000000000000005E-2</v>
      </c>
      <c r="D82" s="1059">
        <v>9.9000000000000005E-2</v>
      </c>
      <c r="E82" s="1059">
        <v>9.7000000000000003E-2</v>
      </c>
      <c r="F82" s="1060">
        <v>0.1</v>
      </c>
    </row>
    <row r="83" spans="1:6" ht="14.25" thickBot="1">
      <c r="A83" s="833" t="s">
        <v>523</v>
      </c>
      <c r="B83" s="827" t="s">
        <v>262</v>
      </c>
      <c r="C83" s="1059">
        <v>9.8000000000000004E-2</v>
      </c>
      <c r="D83" s="1059">
        <v>9.8000000000000004E-2</v>
      </c>
      <c r="E83" s="1059">
        <v>9.8000000000000004E-2</v>
      </c>
      <c r="F83" s="1060">
        <v>0.1</v>
      </c>
    </row>
    <row r="84" spans="1:6" ht="14.25" thickBot="1">
      <c r="A84" s="833" t="s">
        <v>523</v>
      </c>
      <c r="B84" s="827" t="s">
        <v>274</v>
      </c>
      <c r="C84" s="1059">
        <v>9.9000000000000005E-2</v>
      </c>
      <c r="D84" s="1059">
        <v>9.9000000000000005E-2</v>
      </c>
      <c r="E84" s="1059">
        <v>9.9000000000000005E-2</v>
      </c>
      <c r="F84" s="1060">
        <v>0.1</v>
      </c>
    </row>
    <row r="85" spans="1:6" ht="14.25" thickBot="1">
      <c r="A85" s="833" t="s">
        <v>523</v>
      </c>
      <c r="B85" s="827" t="s">
        <v>284</v>
      </c>
      <c r="C85" s="1059">
        <v>9.9000000000000005E-2</v>
      </c>
      <c r="D85" s="1059">
        <v>9.9000000000000005E-2</v>
      </c>
      <c r="E85" s="1059">
        <v>9.9000000000000005E-2</v>
      </c>
      <c r="F85" s="1060">
        <v>0.1</v>
      </c>
    </row>
    <row r="86" spans="1:6" ht="14.25" thickBot="1">
      <c r="A86" s="833" t="s">
        <v>523</v>
      </c>
      <c r="B86" s="827" t="s">
        <v>294</v>
      </c>
      <c r="C86" s="1059">
        <v>0.1</v>
      </c>
      <c r="D86" s="1059">
        <v>0.1</v>
      </c>
      <c r="E86" s="1059">
        <v>7.6999999999999999E-2</v>
      </c>
      <c r="F86" s="1060">
        <v>0.1</v>
      </c>
    </row>
    <row r="87" spans="1:6" ht="14.25" thickBot="1">
      <c r="A87" s="833" t="s">
        <v>523</v>
      </c>
      <c r="B87" s="827" t="s">
        <v>304</v>
      </c>
      <c r="C87" s="1059">
        <v>0.1</v>
      </c>
      <c r="D87" s="1059">
        <v>0.1</v>
      </c>
      <c r="E87" s="1059">
        <v>9.8000000000000004E-2</v>
      </c>
      <c r="F87" s="1071"/>
    </row>
    <row r="88" spans="1:6" ht="14.25" thickBot="1">
      <c r="A88" s="833" t="s">
        <v>523</v>
      </c>
      <c r="B88" s="827" t="s">
        <v>314</v>
      </c>
      <c r="C88" s="1059">
        <v>9.1999999999999998E-2</v>
      </c>
      <c r="D88" s="1059">
        <v>8.5000000000000006E-2</v>
      </c>
      <c r="E88" s="1059">
        <v>9.6000000000000002E-2</v>
      </c>
      <c r="F88" s="1071"/>
    </row>
    <row r="89" spans="1:6" ht="14.25" thickBot="1">
      <c r="A89" s="833" t="s">
        <v>523</v>
      </c>
      <c r="B89" s="827" t="s">
        <v>325</v>
      </c>
      <c r="C89" s="1059">
        <v>0.1</v>
      </c>
      <c r="D89" s="1059">
        <v>0.1</v>
      </c>
      <c r="E89" s="1059">
        <v>9.7000000000000003E-2</v>
      </c>
      <c r="F89" s="1071"/>
    </row>
    <row r="90" spans="1:6" ht="14.25" thickBot="1">
      <c r="A90" s="833" t="s">
        <v>523</v>
      </c>
      <c r="B90" s="827" t="s">
        <v>336</v>
      </c>
      <c r="C90" s="1059">
        <v>9.8000000000000004E-2</v>
      </c>
      <c r="D90" s="1059">
        <v>9.8000000000000004E-2</v>
      </c>
      <c r="E90" s="1059">
        <v>8.7999999999999995E-2</v>
      </c>
      <c r="F90" s="1071"/>
    </row>
    <row r="91" spans="1:6" ht="14.25" thickBot="1">
      <c r="A91" s="833" t="s">
        <v>523</v>
      </c>
      <c r="B91" s="827" t="s">
        <v>346</v>
      </c>
      <c r="C91" s="1059">
        <v>9.9000000000000005E-2</v>
      </c>
      <c r="D91" s="1059">
        <v>9.9000000000000005E-2</v>
      </c>
      <c r="E91" s="1059">
        <v>9.0999999999999998E-2</v>
      </c>
      <c r="F91" s="1071"/>
    </row>
    <row r="92" spans="1:6" ht="14.25" thickBot="1">
      <c r="A92" s="833" t="s">
        <v>523</v>
      </c>
      <c r="B92" s="827" t="s">
        <v>356</v>
      </c>
      <c r="C92" s="1059">
        <v>9.6000000000000002E-2</v>
      </c>
      <c r="D92" s="1059">
        <v>9.6000000000000002E-2</v>
      </c>
      <c r="E92" s="1059">
        <v>7.2999999999999995E-2</v>
      </c>
      <c r="F92" s="1071"/>
    </row>
    <row r="93" spans="1:6" ht="14.25" thickBot="1">
      <c r="A93" s="833" t="s">
        <v>523</v>
      </c>
      <c r="B93" s="827" t="s">
        <v>366</v>
      </c>
      <c r="C93" s="1059">
        <v>9.6000000000000002E-2</v>
      </c>
      <c r="D93" s="1059">
        <v>9.6000000000000002E-2</v>
      </c>
      <c r="E93" s="1059">
        <v>9.9000000000000005E-2</v>
      </c>
      <c r="F93" s="1071"/>
    </row>
    <row r="94" spans="1:6" ht="14.25" thickBot="1">
      <c r="A94" s="833" t="s">
        <v>523</v>
      </c>
      <c r="B94" s="827" t="s">
        <v>376</v>
      </c>
      <c r="C94" s="1059">
        <v>7.5999999999999998E-2</v>
      </c>
      <c r="D94" s="1059">
        <v>7.3999999999999996E-2</v>
      </c>
      <c r="E94" s="1059">
        <v>9.7000000000000003E-2</v>
      </c>
      <c r="F94" s="1071"/>
    </row>
    <row r="95" spans="1:6" ht="14.25" thickBot="1">
      <c r="A95" s="833" t="s">
        <v>523</v>
      </c>
      <c r="B95" s="827" t="s">
        <v>385</v>
      </c>
      <c r="C95" s="1059">
        <v>9.9000000000000005E-2</v>
      </c>
      <c r="D95" s="1059">
        <v>9.4E-2</v>
      </c>
      <c r="E95" s="1059">
        <v>9.6000000000000002E-2</v>
      </c>
      <c r="F95" s="1071"/>
    </row>
    <row r="96" spans="1:6" ht="14.25" thickBot="1">
      <c r="A96" s="833" t="s">
        <v>523</v>
      </c>
      <c r="B96" s="827" t="s">
        <v>394</v>
      </c>
      <c r="C96" s="1059">
        <v>9.9000000000000005E-2</v>
      </c>
      <c r="D96" s="1059">
        <v>9.9000000000000005E-2</v>
      </c>
      <c r="E96" s="1059">
        <v>9.9000000000000005E-2</v>
      </c>
      <c r="F96" s="1071"/>
    </row>
    <row r="97" spans="1:6" ht="14.25" thickBot="1">
      <c r="A97" s="833" t="s">
        <v>523</v>
      </c>
      <c r="B97" s="827" t="s">
        <v>402</v>
      </c>
      <c r="C97" s="1059">
        <v>9.8000000000000004E-2</v>
      </c>
      <c r="D97" s="1059">
        <v>9.8000000000000004E-2</v>
      </c>
      <c r="E97" s="1059">
        <v>9.7000000000000003E-2</v>
      </c>
      <c r="F97" s="1071"/>
    </row>
    <row r="98" spans="1:6" ht="14.25" thickBot="1">
      <c r="A98" s="833" t="s">
        <v>523</v>
      </c>
      <c r="B98" s="827" t="s">
        <v>409</v>
      </c>
      <c r="C98" s="1059">
        <v>0.1</v>
      </c>
      <c r="D98" s="1059">
        <v>0.1</v>
      </c>
      <c r="E98" s="1059">
        <v>9.7000000000000003E-2</v>
      </c>
      <c r="F98" s="1071"/>
    </row>
    <row r="99" spans="1:6" ht="14.25" thickBot="1">
      <c r="A99" s="833" t="s">
        <v>523</v>
      </c>
      <c r="B99" s="827" t="s">
        <v>416</v>
      </c>
      <c r="C99" s="1059">
        <v>0.1</v>
      </c>
      <c r="D99" s="1059">
        <v>0.1</v>
      </c>
      <c r="E99" s="1072"/>
      <c r="F99" s="1071"/>
    </row>
    <row r="100" spans="1:6" ht="14.25" thickBot="1">
      <c r="A100" s="833" t="s">
        <v>523</v>
      </c>
      <c r="B100" s="827" t="s">
        <v>423</v>
      </c>
      <c r="C100" s="1059">
        <v>0.09</v>
      </c>
      <c r="D100" s="1059">
        <v>8.8999999999999996E-2</v>
      </c>
      <c r="E100" s="1072"/>
      <c r="F100" s="1071"/>
    </row>
    <row r="101" spans="1:6" ht="14.25" thickBot="1">
      <c r="A101" s="833" t="s">
        <v>523</v>
      </c>
      <c r="B101" s="827" t="s">
        <v>430</v>
      </c>
      <c r="C101" s="1059">
        <v>9.8000000000000004E-2</v>
      </c>
      <c r="D101" s="1059">
        <v>9.7000000000000003E-2</v>
      </c>
      <c r="E101" s="1072"/>
      <c r="F101" s="1071"/>
    </row>
    <row r="102" spans="1:6" ht="14.25" thickBot="1">
      <c r="A102" s="833" t="s">
        <v>523</v>
      </c>
      <c r="B102" s="827" t="s">
        <v>890</v>
      </c>
      <c r="C102" s="1072"/>
      <c r="D102" s="1072"/>
      <c r="E102" s="1072"/>
      <c r="F102" s="1060">
        <v>0.05</v>
      </c>
    </row>
    <row r="103" spans="1:6" ht="24.75" thickBot="1">
      <c r="A103" s="833" t="s">
        <v>523</v>
      </c>
      <c r="B103" s="827" t="s">
        <v>891</v>
      </c>
      <c r="C103" s="1072"/>
      <c r="D103" s="1072"/>
      <c r="E103" s="1072"/>
      <c r="F103" s="1060">
        <v>0.05</v>
      </c>
    </row>
    <row r="104" spans="1:6" ht="14.25" thickBot="1">
      <c r="A104" s="833" t="s">
        <v>523</v>
      </c>
      <c r="B104" s="827" t="s">
        <v>892</v>
      </c>
      <c r="C104" s="1072"/>
      <c r="D104" s="1072"/>
      <c r="E104" s="1072"/>
      <c r="F104" s="1060">
        <v>0.05</v>
      </c>
    </row>
    <row r="105" spans="1:6" ht="14.25" thickBot="1">
      <c r="A105" s="833" t="s">
        <v>523</v>
      </c>
      <c r="B105" s="827" t="s">
        <v>893</v>
      </c>
      <c r="C105" s="1072"/>
      <c r="D105" s="1072"/>
      <c r="E105" s="1072"/>
      <c r="F105" s="1060">
        <v>0.05</v>
      </c>
    </row>
    <row r="106" spans="1:6" ht="14.25" thickBot="1">
      <c r="A106" s="833" t="s">
        <v>523</v>
      </c>
      <c r="B106" s="827" t="s">
        <v>894</v>
      </c>
      <c r="C106" s="1072"/>
      <c r="D106" s="1072"/>
      <c r="E106" s="1072"/>
      <c r="F106" s="1060">
        <v>0.05</v>
      </c>
    </row>
    <row r="107" spans="1:6" ht="24.75" thickBot="1">
      <c r="A107" s="833" t="s">
        <v>523</v>
      </c>
      <c r="B107" s="827" t="s">
        <v>895</v>
      </c>
      <c r="C107" s="1072"/>
      <c r="D107" s="1072"/>
      <c r="E107" s="1072"/>
      <c r="F107" s="1060">
        <v>0.05</v>
      </c>
    </row>
    <row r="108" spans="1:6" ht="24.75" thickBot="1">
      <c r="A108" s="833" t="s">
        <v>523</v>
      </c>
      <c r="B108" s="827" t="s">
        <v>896</v>
      </c>
      <c r="C108" s="1072"/>
      <c r="D108" s="1072"/>
      <c r="E108" s="1072"/>
      <c r="F108" s="1060">
        <v>0.05</v>
      </c>
    </row>
    <row r="109" spans="1:6" ht="24.75" thickBot="1">
      <c r="A109" s="843" t="s">
        <v>523</v>
      </c>
      <c r="B109" s="839" t="s">
        <v>897</v>
      </c>
      <c r="C109" s="1069"/>
      <c r="D109" s="1069"/>
      <c r="E109" s="1069"/>
      <c r="F109" s="1062">
        <v>0.05</v>
      </c>
    </row>
    <row r="110" spans="1:6" ht="14.25" thickBot="1">
      <c r="A110" s="833" t="s">
        <v>56</v>
      </c>
      <c r="B110" s="834" t="s">
        <v>898</v>
      </c>
      <c r="C110" s="1057">
        <v>0.129</v>
      </c>
      <c r="D110" s="1057">
        <v>0.129</v>
      </c>
      <c r="E110" s="1057">
        <v>0.126</v>
      </c>
      <c r="F110" s="1058">
        <v>0.13</v>
      </c>
    </row>
    <row r="111" spans="1:6" ht="14.25" thickBot="1">
      <c r="A111" s="833" t="s">
        <v>56</v>
      </c>
      <c r="B111" s="827" t="s">
        <v>192</v>
      </c>
      <c r="C111" s="1059">
        <v>0.11</v>
      </c>
      <c r="D111" s="1059">
        <v>0.11</v>
      </c>
      <c r="E111" s="1059">
        <v>9.9000000000000005E-2</v>
      </c>
      <c r="F111" s="1060">
        <v>0.128</v>
      </c>
    </row>
    <row r="112" spans="1:6" ht="14.25" thickBot="1">
      <c r="A112" s="833" t="s">
        <v>56</v>
      </c>
      <c r="B112" s="827" t="s">
        <v>205</v>
      </c>
      <c r="C112" s="1059">
        <v>0.125</v>
      </c>
      <c r="D112" s="1059">
        <v>0.125</v>
      </c>
      <c r="E112" s="1059">
        <v>0.12</v>
      </c>
      <c r="F112" s="1060">
        <v>0.125</v>
      </c>
    </row>
    <row r="113" spans="1:6" ht="14.25" thickBot="1">
      <c r="A113" s="833" t="s">
        <v>56</v>
      </c>
      <c r="B113" s="827" t="s">
        <v>218</v>
      </c>
      <c r="C113" s="1059">
        <v>0.13</v>
      </c>
      <c r="D113" s="1059">
        <v>0.13</v>
      </c>
      <c r="E113" s="1059">
        <v>0.13</v>
      </c>
      <c r="F113" s="1060">
        <v>0.13</v>
      </c>
    </row>
    <row r="114" spans="1:6" ht="14.25" thickBot="1">
      <c r="A114" s="833" t="s">
        <v>56</v>
      </c>
      <c r="B114" s="827" t="s">
        <v>230</v>
      </c>
      <c r="C114" s="1059">
        <v>0.123</v>
      </c>
      <c r="D114" s="1059">
        <v>0.123</v>
      </c>
      <c r="E114" s="1059">
        <v>0.12</v>
      </c>
      <c r="F114" s="1060">
        <v>0.13</v>
      </c>
    </row>
    <row r="115" spans="1:6" ht="14.25" thickBot="1">
      <c r="A115" s="833" t="s">
        <v>56</v>
      </c>
      <c r="B115" s="827" t="s">
        <v>241</v>
      </c>
      <c r="C115" s="1059">
        <v>0.125</v>
      </c>
      <c r="D115" s="1059">
        <v>0.125</v>
      </c>
      <c r="E115" s="1059">
        <v>0.11700000000000001</v>
      </c>
      <c r="F115" s="1060">
        <v>0.13</v>
      </c>
    </row>
    <row r="116" spans="1:6" ht="14.25" thickBot="1">
      <c r="A116" s="833" t="s">
        <v>56</v>
      </c>
      <c r="B116" s="827" t="s">
        <v>252</v>
      </c>
      <c r="C116" s="1059">
        <v>0.11700000000000001</v>
      </c>
      <c r="D116" s="1059">
        <v>0.11700000000000001</v>
      </c>
      <c r="E116" s="1059">
        <v>8.7999999999999995E-2</v>
      </c>
      <c r="F116" s="1060">
        <v>0.13</v>
      </c>
    </row>
    <row r="117" spans="1:6" ht="14.25" thickBot="1">
      <c r="A117" s="833" t="s">
        <v>56</v>
      </c>
      <c r="B117" s="827" t="s">
        <v>263</v>
      </c>
      <c r="C117" s="1059">
        <v>0.13</v>
      </c>
      <c r="D117" s="1059">
        <v>0.13</v>
      </c>
      <c r="E117" s="1059">
        <v>0.129</v>
      </c>
      <c r="F117" s="1060">
        <v>0.13</v>
      </c>
    </row>
    <row r="118" spans="1:6" ht="14.25" thickBot="1">
      <c r="A118" s="833" t="s">
        <v>56</v>
      </c>
      <c r="B118" s="827" t="s">
        <v>275</v>
      </c>
      <c r="C118" s="1059">
        <v>0.123</v>
      </c>
      <c r="D118" s="1059">
        <v>0.123</v>
      </c>
      <c r="E118" s="1059">
        <v>0.11600000000000001</v>
      </c>
      <c r="F118" s="1060">
        <v>0.13</v>
      </c>
    </row>
    <row r="119" spans="1:6" ht="14.25" thickBot="1">
      <c r="A119" s="833" t="s">
        <v>56</v>
      </c>
      <c r="B119" s="827" t="s">
        <v>285</v>
      </c>
      <c r="C119" s="1059">
        <v>0.127</v>
      </c>
      <c r="D119" s="1059">
        <v>0.127</v>
      </c>
      <c r="E119" s="1059">
        <v>0.124</v>
      </c>
      <c r="F119" s="1060">
        <v>0.13</v>
      </c>
    </row>
    <row r="120" spans="1:6" ht="14.25" thickBot="1">
      <c r="A120" s="833" t="s">
        <v>56</v>
      </c>
      <c r="B120" s="827" t="s">
        <v>295</v>
      </c>
      <c r="C120" s="1059">
        <v>0.125</v>
      </c>
      <c r="D120" s="1059">
        <v>0.125</v>
      </c>
      <c r="E120" s="1059">
        <v>0.122</v>
      </c>
      <c r="F120" s="1060">
        <v>0.13</v>
      </c>
    </row>
    <row r="121" spans="1:6" ht="14.25" thickBot="1">
      <c r="A121" s="833" t="s">
        <v>56</v>
      </c>
      <c r="B121" s="827" t="s">
        <v>305</v>
      </c>
      <c r="C121" s="1059">
        <v>0.13</v>
      </c>
      <c r="D121" s="1059">
        <v>0.13</v>
      </c>
      <c r="E121" s="1059">
        <v>0.13</v>
      </c>
      <c r="F121" s="1060">
        <v>0.13</v>
      </c>
    </row>
    <row r="122" spans="1:6" ht="14.25" thickBot="1">
      <c r="A122" s="833" t="s">
        <v>56</v>
      </c>
      <c r="B122" s="827" t="s">
        <v>315</v>
      </c>
      <c r="C122" s="1059">
        <v>0.13</v>
      </c>
      <c r="D122" s="1059">
        <v>0.13</v>
      </c>
      <c r="E122" s="1059">
        <v>0.125</v>
      </c>
      <c r="F122" s="1060">
        <v>0.13</v>
      </c>
    </row>
    <row r="123" spans="1:6" ht="14.25" thickBot="1">
      <c r="A123" s="833" t="s">
        <v>56</v>
      </c>
      <c r="B123" s="827" t="s">
        <v>326</v>
      </c>
      <c r="C123" s="1059">
        <v>0.129</v>
      </c>
      <c r="D123" s="1059">
        <v>0.129</v>
      </c>
      <c r="E123" s="1059">
        <v>0.123</v>
      </c>
      <c r="F123" s="1060">
        <v>0.13</v>
      </c>
    </row>
    <row r="124" spans="1:6" ht="14.25" thickBot="1">
      <c r="A124" s="833" t="s">
        <v>56</v>
      </c>
      <c r="B124" s="827" t="s">
        <v>337</v>
      </c>
      <c r="C124" s="1059">
        <v>0.10199999999999999</v>
      </c>
      <c r="D124" s="1059">
        <v>0.10100000000000001</v>
      </c>
      <c r="E124" s="1059">
        <v>0.08</v>
      </c>
      <c r="F124" s="1071"/>
    </row>
    <row r="125" spans="1:6" ht="14.25" thickBot="1">
      <c r="A125" s="833" t="s">
        <v>56</v>
      </c>
      <c r="B125" s="827" t="s">
        <v>347</v>
      </c>
      <c r="C125" s="1059">
        <v>0.13</v>
      </c>
      <c r="D125" s="1059">
        <v>0.13</v>
      </c>
      <c r="E125" s="1059">
        <v>0.129</v>
      </c>
      <c r="F125" s="1071"/>
    </row>
    <row r="126" spans="1:6" ht="14.25" thickBot="1">
      <c r="A126" s="833" t="s">
        <v>56</v>
      </c>
      <c r="B126" s="827" t="s">
        <v>357</v>
      </c>
      <c r="C126" s="1059">
        <v>0.13</v>
      </c>
      <c r="D126" s="1059">
        <v>0.13</v>
      </c>
      <c r="E126" s="1059">
        <v>0.126</v>
      </c>
      <c r="F126" s="1071"/>
    </row>
    <row r="127" spans="1:6" ht="14.25" thickBot="1">
      <c r="A127" s="833" t="s">
        <v>56</v>
      </c>
      <c r="B127" s="827" t="s">
        <v>367</v>
      </c>
      <c r="C127" s="1059">
        <v>0.125</v>
      </c>
      <c r="D127" s="1059">
        <v>0.125</v>
      </c>
      <c r="E127" s="1059">
        <v>0.121</v>
      </c>
      <c r="F127" s="1071"/>
    </row>
    <row r="128" spans="1:6" ht="14.25" thickBot="1">
      <c r="A128" s="833" t="s">
        <v>56</v>
      </c>
      <c r="B128" s="827" t="s">
        <v>377</v>
      </c>
      <c r="C128" s="1059">
        <v>0.12</v>
      </c>
      <c r="D128" s="1059">
        <v>0.12</v>
      </c>
      <c r="E128" s="1059">
        <v>0.105</v>
      </c>
      <c r="F128" s="1071"/>
    </row>
    <row r="129" spans="1:6" ht="14.25" thickBot="1">
      <c r="A129" s="833" t="s">
        <v>56</v>
      </c>
      <c r="B129" s="827" t="s">
        <v>386</v>
      </c>
      <c r="C129" s="1059">
        <v>0.13</v>
      </c>
      <c r="D129" s="1059">
        <v>0.13</v>
      </c>
      <c r="E129" s="1059">
        <v>0.126</v>
      </c>
      <c r="F129" s="1071"/>
    </row>
    <row r="130" spans="1:6" ht="14.25" thickBot="1">
      <c r="A130" s="833" t="s">
        <v>56</v>
      </c>
      <c r="B130" s="827" t="s">
        <v>395</v>
      </c>
      <c r="C130" s="1059">
        <v>0.125</v>
      </c>
      <c r="D130" s="1059">
        <v>0.125</v>
      </c>
      <c r="E130" s="1059">
        <v>0.122</v>
      </c>
      <c r="F130" s="1071"/>
    </row>
    <row r="131" spans="1:6" ht="14.25" thickBot="1">
      <c r="A131" s="833" t="s">
        <v>56</v>
      </c>
      <c r="B131" s="827" t="s">
        <v>403</v>
      </c>
      <c r="C131" s="1059">
        <v>0.127</v>
      </c>
      <c r="D131" s="1059">
        <v>0.126</v>
      </c>
      <c r="E131" s="1059">
        <v>0.123</v>
      </c>
      <c r="F131" s="1071"/>
    </row>
    <row r="132" spans="1:6" ht="14.25" thickBot="1">
      <c r="A132" s="833" t="s">
        <v>56</v>
      </c>
      <c r="B132" s="827" t="s">
        <v>410</v>
      </c>
      <c r="C132" s="1059">
        <v>9.0999999999999998E-2</v>
      </c>
      <c r="D132" s="1059">
        <v>0.121</v>
      </c>
      <c r="E132" s="1059">
        <v>9.9000000000000005E-2</v>
      </c>
      <c r="F132" s="1071"/>
    </row>
    <row r="133" spans="1:6" ht="14.25" thickBot="1">
      <c r="A133" s="833" t="s">
        <v>56</v>
      </c>
      <c r="B133" s="827" t="s">
        <v>417</v>
      </c>
      <c r="C133" s="1059">
        <v>0.13</v>
      </c>
      <c r="D133" s="1059">
        <v>0.13</v>
      </c>
      <c r="E133" s="1059">
        <v>0.129</v>
      </c>
      <c r="F133" s="1071"/>
    </row>
    <row r="134" spans="1:6" ht="14.25" thickBot="1">
      <c r="A134" s="833" t="s">
        <v>56</v>
      </c>
      <c r="B134" s="827" t="s">
        <v>899</v>
      </c>
      <c r="C134" s="1059">
        <v>6.8000000000000005E-2</v>
      </c>
      <c r="D134" s="1059">
        <v>6.5000000000000002E-2</v>
      </c>
      <c r="E134" s="1059">
        <v>6.5000000000000002E-2</v>
      </c>
      <c r="F134" s="1060">
        <v>0.13</v>
      </c>
    </row>
    <row r="135" spans="1:6" ht="14.25" thickBot="1">
      <c r="A135" s="833" t="s">
        <v>56</v>
      </c>
      <c r="B135" s="827" t="s">
        <v>431</v>
      </c>
      <c r="C135" s="1059">
        <v>0.123</v>
      </c>
      <c r="D135" s="1059">
        <v>0.123</v>
      </c>
      <c r="E135" s="1059">
        <v>0.11</v>
      </c>
      <c r="F135" s="1071"/>
    </row>
    <row r="136" spans="1:6" ht="14.25" thickBot="1">
      <c r="A136" s="833" t="s">
        <v>56</v>
      </c>
      <c r="B136" s="827" t="s">
        <v>438</v>
      </c>
      <c r="C136" s="1059">
        <v>0.13</v>
      </c>
      <c r="D136" s="1059">
        <v>0.13</v>
      </c>
      <c r="E136" s="1059">
        <v>0.125</v>
      </c>
      <c r="F136" s="1071"/>
    </row>
    <row r="137" spans="1:6" ht="14.25" thickBot="1">
      <c r="A137" s="833" t="s">
        <v>56</v>
      </c>
      <c r="B137" s="827" t="s">
        <v>445</v>
      </c>
      <c r="C137" s="1059">
        <v>0.121</v>
      </c>
      <c r="D137" s="1059">
        <v>0.122</v>
      </c>
      <c r="E137" s="1059">
        <v>0.115</v>
      </c>
      <c r="F137" s="1071"/>
    </row>
    <row r="138" spans="1:6" ht="14.25" thickBot="1">
      <c r="A138" s="833" t="s">
        <v>56</v>
      </c>
      <c r="B138" s="827" t="s">
        <v>900</v>
      </c>
      <c r="C138" s="1059">
        <v>0.105</v>
      </c>
      <c r="D138" s="1059">
        <v>0.125</v>
      </c>
      <c r="E138" s="1059">
        <v>0.112</v>
      </c>
      <c r="F138" s="1071"/>
    </row>
    <row r="139" spans="1:6" ht="14.25" thickBot="1">
      <c r="A139" s="833" t="s">
        <v>56</v>
      </c>
      <c r="B139" s="827" t="s">
        <v>901</v>
      </c>
      <c r="C139" s="1059">
        <v>0.127</v>
      </c>
      <c r="D139" s="1059">
        <v>0.127</v>
      </c>
      <c r="E139" s="1059">
        <v>0.122</v>
      </c>
      <c r="F139" s="1060">
        <v>0.13</v>
      </c>
    </row>
    <row r="140" spans="1:6" ht="14.25" thickBot="1">
      <c r="A140" s="833" t="s">
        <v>56</v>
      </c>
      <c r="B140" s="827" t="s">
        <v>902</v>
      </c>
      <c r="C140" s="1059">
        <v>0.125</v>
      </c>
      <c r="D140" s="1059">
        <v>0.125</v>
      </c>
      <c r="E140" s="1059">
        <v>0.11899999999999999</v>
      </c>
      <c r="F140" s="1060">
        <v>0.13</v>
      </c>
    </row>
    <row r="141" spans="1:6" ht="14.25" thickBot="1">
      <c r="A141" s="833" t="s">
        <v>56</v>
      </c>
      <c r="B141" s="827" t="s">
        <v>464</v>
      </c>
      <c r="C141" s="1059">
        <v>0.125</v>
      </c>
      <c r="D141" s="1059">
        <v>0.125</v>
      </c>
      <c r="E141" s="1059">
        <v>0.11700000000000001</v>
      </c>
      <c r="F141" s="1071"/>
    </row>
    <row r="142" spans="1:6" ht="14.25" thickBot="1">
      <c r="A142" s="833" t="s">
        <v>56</v>
      </c>
      <c r="B142" s="827" t="s">
        <v>469</v>
      </c>
      <c r="C142" s="1059">
        <v>0.125</v>
      </c>
      <c r="D142" s="1059">
        <v>0.125</v>
      </c>
      <c r="E142" s="1059">
        <v>0.115</v>
      </c>
      <c r="F142" s="1071"/>
    </row>
    <row r="143" spans="1:6" ht="14.25" thickBot="1">
      <c r="A143" s="833" t="s">
        <v>56</v>
      </c>
      <c r="B143" s="827" t="s">
        <v>474</v>
      </c>
      <c r="C143" s="1059">
        <v>0.121</v>
      </c>
      <c r="D143" s="1059">
        <v>0.121</v>
      </c>
      <c r="E143" s="1059">
        <v>0.108</v>
      </c>
      <c r="F143" s="1071"/>
    </row>
    <row r="144" spans="1:6" ht="14.25" thickBot="1">
      <c r="A144" s="833" t="s">
        <v>56</v>
      </c>
      <c r="B144" s="1063" t="s">
        <v>903</v>
      </c>
      <c r="C144" s="1064">
        <v>0.126</v>
      </c>
      <c r="D144" s="1064">
        <v>0.126</v>
      </c>
      <c r="E144" s="1064">
        <v>0.121</v>
      </c>
      <c r="F144" s="1071"/>
    </row>
    <row r="145" spans="1:6" ht="14.25" thickBot="1">
      <c r="A145" s="843" t="s">
        <v>56</v>
      </c>
      <c r="B145" s="1065" t="s">
        <v>904</v>
      </c>
      <c r="C145" s="1073"/>
      <c r="D145" s="1073"/>
      <c r="E145" s="1073"/>
      <c r="F145" s="1066">
        <v>0.05</v>
      </c>
    </row>
    <row r="146" spans="1:6" ht="24.75" thickBot="1">
      <c r="A146" s="1067" t="s">
        <v>56</v>
      </c>
      <c r="B146" s="837" t="s">
        <v>905</v>
      </c>
      <c r="C146" s="1072"/>
      <c r="D146" s="1072"/>
      <c r="E146" s="1072"/>
      <c r="F146" s="1068">
        <v>0.05</v>
      </c>
    </row>
    <row r="147" spans="1:6" ht="24.75" thickBot="1">
      <c r="A147" s="833" t="s">
        <v>56</v>
      </c>
      <c r="B147" s="827" t="s">
        <v>906</v>
      </c>
      <c r="C147" s="1072"/>
      <c r="D147" s="1072"/>
      <c r="E147" s="1072"/>
      <c r="F147" s="1060">
        <v>0.05</v>
      </c>
    </row>
    <row r="148" spans="1:6" ht="24.75" thickBot="1">
      <c r="A148" s="833" t="s">
        <v>56</v>
      </c>
      <c r="B148" s="827" t="s">
        <v>907</v>
      </c>
      <c r="C148" s="1072"/>
      <c r="D148" s="1072"/>
      <c r="E148" s="1072"/>
      <c r="F148" s="1060">
        <v>0.05</v>
      </c>
    </row>
    <row r="149" spans="1:6" ht="24.75" thickBot="1">
      <c r="A149" s="833" t="s">
        <v>56</v>
      </c>
      <c r="B149" s="827" t="s">
        <v>908</v>
      </c>
      <c r="C149" s="1072"/>
      <c r="D149" s="1072"/>
      <c r="E149" s="1072"/>
      <c r="F149" s="1060">
        <v>0.05</v>
      </c>
    </row>
    <row r="150" spans="1:6" ht="24.75" thickBot="1">
      <c r="A150" s="833" t="s">
        <v>56</v>
      </c>
      <c r="B150" s="827" t="s">
        <v>909</v>
      </c>
      <c r="C150" s="1072"/>
      <c r="D150" s="1072"/>
      <c r="E150" s="1072"/>
      <c r="F150" s="1060">
        <v>0.05</v>
      </c>
    </row>
    <row r="151" spans="1:6" ht="24.75" thickBot="1">
      <c r="A151" s="833" t="s">
        <v>56</v>
      </c>
      <c r="B151" s="827" t="s">
        <v>910</v>
      </c>
      <c r="C151" s="1072"/>
      <c r="D151" s="1072"/>
      <c r="E151" s="1072"/>
      <c r="F151" s="1060">
        <v>0.05</v>
      </c>
    </row>
    <row r="152" spans="1:6" ht="24.75" thickBot="1">
      <c r="A152" s="833" t="s">
        <v>56</v>
      </c>
      <c r="B152" s="827" t="s">
        <v>507</v>
      </c>
      <c r="C152" s="1072"/>
      <c r="D152" s="1072"/>
      <c r="E152" s="1072"/>
      <c r="F152" s="1060">
        <v>0.05</v>
      </c>
    </row>
    <row r="153" spans="1:6" ht="14.25" thickBot="1">
      <c r="A153" s="833" t="s">
        <v>56</v>
      </c>
      <c r="B153" s="827" t="s">
        <v>911</v>
      </c>
      <c r="C153" s="1072"/>
      <c r="D153" s="1072"/>
      <c r="E153" s="1072"/>
      <c r="F153" s="1060">
        <v>0.05</v>
      </c>
    </row>
    <row r="154" spans="1:6" ht="14.25" thickBot="1">
      <c r="A154" s="833" t="s">
        <v>56</v>
      </c>
      <c r="B154" s="827" t="s">
        <v>912</v>
      </c>
      <c r="C154" s="1072"/>
      <c r="D154" s="1072"/>
      <c r="E154" s="1072"/>
      <c r="F154" s="1060">
        <v>0.05</v>
      </c>
    </row>
    <row r="155" spans="1:6" ht="24.75" thickBot="1">
      <c r="A155" s="833" t="s">
        <v>56</v>
      </c>
      <c r="B155" s="827" t="s">
        <v>913</v>
      </c>
      <c r="C155" s="1072"/>
      <c r="D155" s="1072"/>
      <c r="E155" s="1072"/>
      <c r="F155" s="1060">
        <v>0.05</v>
      </c>
    </row>
    <row r="156" spans="1:6" ht="24.75" thickBot="1">
      <c r="A156" s="833" t="s">
        <v>56</v>
      </c>
      <c r="B156" s="827" t="s">
        <v>914</v>
      </c>
      <c r="C156" s="1072"/>
      <c r="D156" s="1072"/>
      <c r="E156" s="1072"/>
      <c r="F156" s="1060">
        <v>0.05</v>
      </c>
    </row>
    <row r="157" spans="1:6" ht="14.25" thickBot="1">
      <c r="A157" s="843" t="s">
        <v>56</v>
      </c>
      <c r="B157" s="839" t="s">
        <v>915</v>
      </c>
      <c r="C157" s="1069"/>
      <c r="D157" s="1069"/>
      <c r="E157" s="1069"/>
      <c r="F157" s="1062">
        <v>0.05</v>
      </c>
    </row>
    <row r="158" spans="1:6" ht="14.25" thickBot="1">
      <c r="A158" s="833" t="s">
        <v>526</v>
      </c>
      <c r="B158" s="834" t="s">
        <v>916</v>
      </c>
      <c r="C158" s="1057">
        <v>0.13</v>
      </c>
      <c r="D158" s="1057">
        <v>0.13</v>
      </c>
      <c r="E158" s="1057">
        <v>0.13</v>
      </c>
      <c r="F158" s="1058">
        <v>0.13</v>
      </c>
    </row>
    <row r="159" spans="1:6" ht="14.25" thickBot="1">
      <c r="A159" s="833" t="s">
        <v>526</v>
      </c>
      <c r="B159" s="827" t="s">
        <v>193</v>
      </c>
      <c r="C159" s="1059">
        <v>0.13</v>
      </c>
      <c r="D159" s="1059">
        <v>0.13</v>
      </c>
      <c r="E159" s="1059">
        <v>0.13</v>
      </c>
      <c r="F159" s="1060">
        <v>0.13</v>
      </c>
    </row>
    <row r="160" spans="1:6" ht="14.25" thickBot="1">
      <c r="A160" s="833" t="s">
        <v>526</v>
      </c>
      <c r="B160" s="827" t="s">
        <v>206</v>
      </c>
      <c r="C160" s="1059">
        <v>0.13</v>
      </c>
      <c r="D160" s="1059">
        <v>0.13</v>
      </c>
      <c r="E160" s="1059">
        <v>0.129</v>
      </c>
      <c r="F160" s="1060">
        <v>0.13</v>
      </c>
    </row>
    <row r="161" spans="1:6" ht="14.25" thickBot="1">
      <c r="A161" s="833" t="s">
        <v>526</v>
      </c>
      <c r="B161" s="827" t="s">
        <v>219</v>
      </c>
      <c r="C161" s="1059">
        <v>0.128</v>
      </c>
      <c r="D161" s="1059">
        <v>0.128</v>
      </c>
      <c r="E161" s="1059">
        <v>0.125</v>
      </c>
      <c r="F161" s="1060">
        <v>0.13</v>
      </c>
    </row>
    <row r="162" spans="1:6" ht="14.25" thickBot="1">
      <c r="A162" s="833" t="s">
        <v>526</v>
      </c>
      <c r="B162" s="827" t="s">
        <v>231</v>
      </c>
      <c r="C162" s="1059">
        <v>0.122</v>
      </c>
      <c r="D162" s="1059">
        <v>0.122</v>
      </c>
      <c r="E162" s="1059">
        <v>0.126</v>
      </c>
      <c r="F162" s="1060">
        <v>0.122</v>
      </c>
    </row>
    <row r="163" spans="1:6" ht="14.25" thickBot="1">
      <c r="A163" s="833" t="s">
        <v>526</v>
      </c>
      <c r="B163" s="827" t="s">
        <v>242</v>
      </c>
      <c r="C163" s="1059">
        <v>0.13</v>
      </c>
      <c r="D163" s="1059">
        <v>0.13</v>
      </c>
      <c r="E163" s="1059">
        <v>0.125</v>
      </c>
      <c r="F163" s="1060">
        <v>0.13</v>
      </c>
    </row>
    <row r="164" spans="1:6" ht="14.25" thickBot="1">
      <c r="A164" s="833" t="s">
        <v>526</v>
      </c>
      <c r="B164" s="827" t="s">
        <v>253</v>
      </c>
      <c r="C164" s="1059">
        <v>0.13</v>
      </c>
      <c r="D164" s="1059">
        <v>0.13</v>
      </c>
      <c r="E164" s="1059">
        <v>0.13</v>
      </c>
      <c r="F164" s="1060">
        <v>0.13</v>
      </c>
    </row>
    <row r="165" spans="1:6" ht="14.25" thickBot="1">
      <c r="A165" s="833" t="s">
        <v>526</v>
      </c>
      <c r="B165" s="827" t="s">
        <v>264</v>
      </c>
      <c r="C165" s="1059">
        <v>0.13</v>
      </c>
      <c r="D165" s="1059">
        <v>0.13</v>
      </c>
      <c r="E165" s="1059">
        <v>0.124</v>
      </c>
      <c r="F165" s="1060">
        <v>0.13</v>
      </c>
    </row>
    <row r="166" spans="1:6" ht="14.25" thickBot="1">
      <c r="A166" s="833" t="s">
        <v>526</v>
      </c>
      <c r="B166" s="827" t="s">
        <v>276</v>
      </c>
      <c r="C166" s="1059">
        <v>0.13</v>
      </c>
      <c r="D166" s="1059">
        <v>0.13</v>
      </c>
      <c r="E166" s="1059">
        <v>0.13</v>
      </c>
      <c r="F166" s="1060">
        <v>0.13</v>
      </c>
    </row>
    <row r="167" spans="1:6" ht="14.25" thickBot="1">
      <c r="A167" s="833" t="s">
        <v>526</v>
      </c>
      <c r="B167" s="827" t="s">
        <v>286</v>
      </c>
      <c r="C167" s="1059">
        <v>0.125</v>
      </c>
      <c r="D167" s="1059">
        <v>0.125</v>
      </c>
      <c r="E167" s="1059">
        <v>0.121</v>
      </c>
      <c r="F167" s="1071"/>
    </row>
    <row r="168" spans="1:6" ht="14.25" thickBot="1">
      <c r="A168" s="833" t="s">
        <v>526</v>
      </c>
      <c r="B168" s="827" t="s">
        <v>296</v>
      </c>
      <c r="C168" s="1059">
        <v>0.13</v>
      </c>
      <c r="D168" s="1059">
        <v>0.13</v>
      </c>
      <c r="E168" s="1059">
        <v>0.126</v>
      </c>
      <c r="F168" s="1071"/>
    </row>
    <row r="169" spans="1:6" ht="14.25" thickBot="1">
      <c r="A169" s="833" t="s">
        <v>526</v>
      </c>
      <c r="B169" s="827" t="s">
        <v>306</v>
      </c>
      <c r="C169" s="1059">
        <v>0.128</v>
      </c>
      <c r="D169" s="1059">
        <v>0.129</v>
      </c>
      <c r="E169" s="1059">
        <v>0.13</v>
      </c>
      <c r="F169" s="1071"/>
    </row>
    <row r="170" spans="1:6" ht="14.25" thickBot="1">
      <c r="A170" s="833" t="s">
        <v>526</v>
      </c>
      <c r="B170" s="827" t="s">
        <v>316</v>
      </c>
      <c r="C170" s="1059">
        <v>0.14099999999999999</v>
      </c>
      <c r="D170" s="1059">
        <v>0.13</v>
      </c>
      <c r="E170" s="1059">
        <v>0.125</v>
      </c>
      <c r="F170" s="1071"/>
    </row>
    <row r="171" spans="1:6" ht="14.25" thickBot="1">
      <c r="A171" s="833" t="s">
        <v>526</v>
      </c>
      <c r="B171" s="827" t="s">
        <v>917</v>
      </c>
      <c r="C171" s="1059">
        <v>0.127</v>
      </c>
      <c r="D171" s="1059">
        <v>0.126</v>
      </c>
      <c r="E171" s="1059">
        <v>0.126</v>
      </c>
      <c r="F171" s="1060">
        <v>0.11799999999999999</v>
      </c>
    </row>
    <row r="172" spans="1:6" ht="14.25" thickBot="1">
      <c r="A172" s="833" t="s">
        <v>526</v>
      </c>
      <c r="B172" s="827" t="s">
        <v>918</v>
      </c>
      <c r="C172" s="1059">
        <v>0.13</v>
      </c>
      <c r="D172" s="1059">
        <v>0.13</v>
      </c>
      <c r="E172" s="1059">
        <v>0.13</v>
      </c>
      <c r="F172" s="1071"/>
    </row>
    <row r="173" spans="1:6" ht="14.25" thickBot="1">
      <c r="A173" s="833" t="s">
        <v>526</v>
      </c>
      <c r="B173" s="827" t="s">
        <v>348</v>
      </c>
      <c r="C173" s="1059">
        <v>0.13</v>
      </c>
      <c r="D173" s="1059">
        <v>0.13</v>
      </c>
      <c r="E173" s="1059">
        <v>0.13</v>
      </c>
      <c r="F173" s="1071"/>
    </row>
    <row r="174" spans="1:6" ht="14.25" thickBot="1">
      <c r="A174" s="833" t="s">
        <v>526</v>
      </c>
      <c r="B174" s="827" t="s">
        <v>919</v>
      </c>
      <c r="C174" s="1059">
        <v>0.13</v>
      </c>
      <c r="D174" s="1059">
        <v>0.13</v>
      </c>
      <c r="E174" s="1059">
        <v>0.13</v>
      </c>
      <c r="F174" s="1060">
        <v>0.13</v>
      </c>
    </row>
    <row r="175" spans="1:6" ht="14.25" thickBot="1">
      <c r="A175" s="833" t="s">
        <v>526</v>
      </c>
      <c r="B175" s="827" t="s">
        <v>920</v>
      </c>
      <c r="C175" s="1059">
        <v>0.13</v>
      </c>
      <c r="D175" s="1059">
        <v>0.13</v>
      </c>
      <c r="E175" s="1059">
        <v>0.13</v>
      </c>
      <c r="F175" s="1060">
        <v>0.13</v>
      </c>
    </row>
    <row r="176" spans="1:6" ht="14.25" thickBot="1">
      <c r="A176" s="833" t="s">
        <v>526</v>
      </c>
      <c r="B176" s="827" t="s">
        <v>378</v>
      </c>
      <c r="C176" s="1059">
        <v>0.13</v>
      </c>
      <c r="D176" s="1059">
        <v>0.13</v>
      </c>
      <c r="E176" s="1059">
        <v>0.13</v>
      </c>
      <c r="F176" s="1060">
        <v>0.13</v>
      </c>
    </row>
    <row r="177" spans="1:6" ht="14.25" thickBot="1">
      <c r="A177" s="833" t="s">
        <v>526</v>
      </c>
      <c r="B177" s="827" t="s">
        <v>921</v>
      </c>
      <c r="C177" s="1059">
        <v>0.13</v>
      </c>
      <c r="D177" s="1059">
        <v>0.13</v>
      </c>
      <c r="E177" s="1059">
        <v>0.13</v>
      </c>
      <c r="F177" s="1060">
        <v>0.13</v>
      </c>
    </row>
    <row r="178" spans="1:6" ht="14.25" thickBot="1">
      <c r="A178" s="833" t="s">
        <v>526</v>
      </c>
      <c r="B178" s="827" t="s">
        <v>396</v>
      </c>
      <c r="C178" s="1059">
        <v>0.13</v>
      </c>
      <c r="D178" s="1059">
        <v>0.13</v>
      </c>
      <c r="E178" s="1059">
        <v>0.13</v>
      </c>
      <c r="F178" s="1060">
        <v>0.127</v>
      </c>
    </row>
    <row r="179" spans="1:6" ht="14.25" thickBot="1">
      <c r="A179" s="833" t="s">
        <v>526</v>
      </c>
      <c r="B179" s="827" t="s">
        <v>404</v>
      </c>
      <c r="C179" s="1059">
        <v>0.13</v>
      </c>
      <c r="D179" s="1059">
        <v>0.13</v>
      </c>
      <c r="E179" s="1059">
        <v>0.13</v>
      </c>
      <c r="F179" s="1071"/>
    </row>
    <row r="180" spans="1:6" ht="14.25" thickBot="1">
      <c r="A180" s="833" t="s">
        <v>526</v>
      </c>
      <c r="B180" s="827" t="s">
        <v>922</v>
      </c>
      <c r="C180" s="1059">
        <v>0.13</v>
      </c>
      <c r="D180" s="1059">
        <v>0.13</v>
      </c>
      <c r="E180" s="1059">
        <v>0.125</v>
      </c>
      <c r="F180" s="1060">
        <v>0.13</v>
      </c>
    </row>
    <row r="181" spans="1:6" ht="14.25" thickBot="1">
      <c r="A181" s="833" t="s">
        <v>526</v>
      </c>
      <c r="B181" s="827" t="s">
        <v>418</v>
      </c>
      <c r="C181" s="1059">
        <v>0.122</v>
      </c>
      <c r="D181" s="1059">
        <v>0.123</v>
      </c>
      <c r="E181" s="1059">
        <v>0.126</v>
      </c>
      <c r="F181" s="1060">
        <v>0.121</v>
      </c>
    </row>
    <row r="182" spans="1:6" ht="14.25" thickBot="1">
      <c r="A182" s="833" t="s">
        <v>526</v>
      </c>
      <c r="B182" s="827" t="s">
        <v>425</v>
      </c>
      <c r="C182" s="1059">
        <v>0.125</v>
      </c>
      <c r="D182" s="1059">
        <v>0.125</v>
      </c>
      <c r="E182" s="1059">
        <v>0.11700000000000001</v>
      </c>
      <c r="F182" s="1060">
        <v>0.13</v>
      </c>
    </row>
    <row r="183" spans="1:6" ht="14.25" thickBot="1">
      <c r="A183" s="833" t="s">
        <v>526</v>
      </c>
      <c r="B183" s="827" t="s">
        <v>432</v>
      </c>
      <c r="C183" s="1059">
        <v>0.127</v>
      </c>
      <c r="D183" s="1059">
        <v>0.127</v>
      </c>
      <c r="E183" s="1059">
        <v>0.128</v>
      </c>
      <c r="F183" s="1071"/>
    </row>
    <row r="184" spans="1:6" ht="14.25" thickBot="1">
      <c r="A184" s="833" t="s">
        <v>526</v>
      </c>
      <c r="B184" s="827" t="s">
        <v>439</v>
      </c>
      <c r="C184" s="1059">
        <v>0.125</v>
      </c>
      <c r="D184" s="1059">
        <v>0.125</v>
      </c>
      <c r="E184" s="1059">
        <v>0.127</v>
      </c>
      <c r="F184" s="1071"/>
    </row>
    <row r="185" spans="1:6" ht="14.25" thickBot="1">
      <c r="A185" s="833" t="s">
        <v>526</v>
      </c>
      <c r="B185" s="827" t="s">
        <v>923</v>
      </c>
      <c r="C185" s="1059">
        <v>0.127</v>
      </c>
      <c r="D185" s="1059">
        <v>0.127</v>
      </c>
      <c r="E185" s="1059">
        <v>0.128</v>
      </c>
      <c r="F185" s="1060">
        <v>0.13</v>
      </c>
    </row>
    <row r="186" spans="1:6" ht="24.75" thickBot="1">
      <c r="A186" s="833" t="s">
        <v>526</v>
      </c>
      <c r="B186" s="827" t="s">
        <v>924</v>
      </c>
      <c r="C186" s="1072"/>
      <c r="D186" s="1072"/>
      <c r="E186" s="1072"/>
      <c r="F186" s="1060">
        <v>0.05</v>
      </c>
    </row>
    <row r="187" spans="1:6" ht="14.25" thickBot="1">
      <c r="A187" s="833" t="s">
        <v>526</v>
      </c>
      <c r="B187" s="827" t="s">
        <v>925</v>
      </c>
      <c r="C187" s="1072"/>
      <c r="D187" s="1072"/>
      <c r="E187" s="1072"/>
      <c r="F187" s="1060">
        <v>0.05</v>
      </c>
    </row>
    <row r="188" spans="1:6" ht="14.25" thickBot="1">
      <c r="A188" s="833" t="s">
        <v>526</v>
      </c>
      <c r="B188" s="827" t="s">
        <v>926</v>
      </c>
      <c r="C188" s="1072"/>
      <c r="D188" s="1072"/>
      <c r="E188" s="1072"/>
      <c r="F188" s="1060">
        <v>0.05</v>
      </c>
    </row>
    <row r="189" spans="1:6" ht="24.75" thickBot="1">
      <c r="A189" s="833" t="s">
        <v>526</v>
      </c>
      <c r="B189" s="827" t="s">
        <v>927</v>
      </c>
      <c r="C189" s="1072"/>
      <c r="D189" s="1072"/>
      <c r="E189" s="1072"/>
      <c r="F189" s="1060">
        <v>0.05</v>
      </c>
    </row>
    <row r="190" spans="1:6" ht="24.75" thickBot="1">
      <c r="A190" s="833" t="s">
        <v>526</v>
      </c>
      <c r="B190" s="827" t="s">
        <v>928</v>
      </c>
      <c r="C190" s="1072"/>
      <c r="D190" s="1072"/>
      <c r="E190" s="1072"/>
      <c r="F190" s="1060">
        <v>0.05</v>
      </c>
    </row>
    <row r="191" spans="1:6" ht="24.75" thickBot="1">
      <c r="A191" s="833" t="s">
        <v>526</v>
      </c>
      <c r="B191" s="827" t="s">
        <v>929</v>
      </c>
      <c r="C191" s="1072"/>
      <c r="D191" s="1072"/>
      <c r="E191" s="1072"/>
      <c r="F191" s="1060">
        <v>0.05</v>
      </c>
    </row>
    <row r="192" spans="1:6" ht="24.75" thickBot="1">
      <c r="A192" s="833" t="s">
        <v>526</v>
      </c>
      <c r="B192" s="827" t="s">
        <v>930</v>
      </c>
      <c r="C192" s="1072"/>
      <c r="D192" s="1072"/>
      <c r="E192" s="1072"/>
      <c r="F192" s="1060">
        <v>0.05</v>
      </c>
    </row>
    <row r="193" spans="1:6" ht="24.75" thickBot="1">
      <c r="A193" s="833" t="s">
        <v>526</v>
      </c>
      <c r="B193" s="827" t="s">
        <v>931</v>
      </c>
      <c r="C193" s="1072"/>
      <c r="D193" s="1072"/>
      <c r="E193" s="1072"/>
      <c r="F193" s="1060">
        <v>0.05</v>
      </c>
    </row>
    <row r="194" spans="1:6" ht="24.75" thickBot="1">
      <c r="A194" s="833" t="s">
        <v>526</v>
      </c>
      <c r="B194" s="827" t="s">
        <v>932</v>
      </c>
      <c r="C194" s="1072"/>
      <c r="D194" s="1072"/>
      <c r="E194" s="1072"/>
      <c r="F194" s="1060">
        <v>0.05</v>
      </c>
    </row>
    <row r="195" spans="1:6" ht="14.25" thickBot="1">
      <c r="A195" s="833" t="s">
        <v>526</v>
      </c>
      <c r="B195" s="827" t="s">
        <v>933</v>
      </c>
      <c r="C195" s="1072"/>
      <c r="D195" s="1072"/>
      <c r="E195" s="1072"/>
      <c r="F195" s="1060">
        <v>0.05</v>
      </c>
    </row>
    <row r="196" spans="1:6" ht="24.75" thickBot="1">
      <c r="A196" s="833" t="s">
        <v>526</v>
      </c>
      <c r="B196" s="827" t="s">
        <v>934</v>
      </c>
      <c r="C196" s="1072"/>
      <c r="D196" s="1072"/>
      <c r="E196" s="1072"/>
      <c r="F196" s="1060">
        <v>0.05</v>
      </c>
    </row>
    <row r="197" spans="1:6" ht="24.75" thickBot="1">
      <c r="A197" s="833" t="s">
        <v>526</v>
      </c>
      <c r="B197" s="827" t="s">
        <v>935</v>
      </c>
      <c r="C197" s="1072"/>
      <c r="D197" s="1072"/>
      <c r="E197" s="1072"/>
      <c r="F197" s="1060">
        <v>0.05</v>
      </c>
    </row>
    <row r="198" spans="1:6" ht="24.75" thickBot="1">
      <c r="A198" s="833" t="s">
        <v>526</v>
      </c>
      <c r="B198" s="827" t="s">
        <v>936</v>
      </c>
      <c r="C198" s="1072"/>
      <c r="D198" s="1072"/>
      <c r="E198" s="1072"/>
      <c r="F198" s="1060">
        <v>0.05</v>
      </c>
    </row>
    <row r="199" spans="1:6" ht="24.75" thickBot="1">
      <c r="A199" s="833" t="s">
        <v>526</v>
      </c>
      <c r="B199" s="827" t="s">
        <v>937</v>
      </c>
      <c r="C199" s="1072"/>
      <c r="D199" s="1072"/>
      <c r="E199" s="1072"/>
      <c r="F199" s="1060">
        <v>0.05</v>
      </c>
    </row>
    <row r="200" spans="1:6" ht="24.75" thickBot="1">
      <c r="A200" s="833" t="s">
        <v>526</v>
      </c>
      <c r="B200" s="827" t="s">
        <v>938</v>
      </c>
      <c r="C200" s="1072"/>
      <c r="D200" s="1072"/>
      <c r="E200" s="1072"/>
      <c r="F200" s="1060">
        <v>0.05</v>
      </c>
    </row>
    <row r="201" spans="1:6" ht="24.75" thickBot="1">
      <c r="A201" s="833" t="s">
        <v>526</v>
      </c>
      <c r="B201" s="827" t="s">
        <v>939</v>
      </c>
      <c r="C201" s="1072"/>
      <c r="D201" s="1072"/>
      <c r="E201" s="1072"/>
      <c r="F201" s="1060">
        <v>0.05</v>
      </c>
    </row>
    <row r="202" spans="1:6" ht="24.75" thickBot="1">
      <c r="A202" s="833" t="s">
        <v>526</v>
      </c>
      <c r="B202" s="827" t="s">
        <v>940</v>
      </c>
      <c r="C202" s="1072"/>
      <c r="D202" s="1072"/>
      <c r="E202" s="1072"/>
      <c r="F202" s="1060">
        <v>0.05</v>
      </c>
    </row>
    <row r="203" spans="1:6" ht="24.75" thickBot="1">
      <c r="A203" s="833" t="s">
        <v>526</v>
      </c>
      <c r="B203" s="827" t="s">
        <v>941</v>
      </c>
      <c r="C203" s="1072"/>
      <c r="D203" s="1072"/>
      <c r="E203" s="1072"/>
      <c r="F203" s="1060">
        <v>0.05</v>
      </c>
    </row>
    <row r="204" spans="1:6" ht="14.25" thickBot="1">
      <c r="A204" s="833" t="s">
        <v>526</v>
      </c>
      <c r="B204" s="827" t="s">
        <v>942</v>
      </c>
      <c r="C204" s="1072"/>
      <c r="D204" s="1072"/>
      <c r="E204" s="1072"/>
      <c r="F204" s="1060">
        <v>0.05</v>
      </c>
    </row>
    <row r="205" spans="1:6" ht="14.25" thickBot="1">
      <c r="A205" s="843" t="s">
        <v>526</v>
      </c>
      <c r="B205" s="839" t="s">
        <v>943</v>
      </c>
      <c r="C205" s="1069"/>
      <c r="D205" s="1069"/>
      <c r="E205" s="1069"/>
      <c r="F205" s="1062">
        <v>0.05</v>
      </c>
    </row>
    <row r="206" spans="1:6" ht="14.25" thickBot="1">
      <c r="A206" s="833" t="s">
        <v>528</v>
      </c>
      <c r="B206" s="834" t="s">
        <v>944</v>
      </c>
      <c r="C206" s="1057">
        <v>0.15</v>
      </c>
      <c r="D206" s="1057">
        <v>0.15</v>
      </c>
      <c r="E206" s="1057">
        <v>0.15</v>
      </c>
      <c r="F206" s="1058">
        <v>0.15</v>
      </c>
    </row>
    <row r="207" spans="1:6" ht="14.25" thickBot="1">
      <c r="A207" s="833" t="s">
        <v>528</v>
      </c>
      <c r="B207" s="827" t="s">
        <v>194</v>
      </c>
      <c r="C207" s="1059">
        <v>0.15</v>
      </c>
      <c r="D207" s="1059">
        <v>0.15</v>
      </c>
      <c r="E207" s="1059">
        <v>0.15</v>
      </c>
      <c r="F207" s="1060">
        <v>0.14399999999999999</v>
      </c>
    </row>
    <row r="208" spans="1:6" ht="14.25" thickBot="1">
      <c r="A208" s="833" t="s">
        <v>528</v>
      </c>
      <c r="B208" s="827" t="s">
        <v>207</v>
      </c>
      <c r="C208" s="1059">
        <v>0.15</v>
      </c>
      <c r="D208" s="1059">
        <v>0.15</v>
      </c>
      <c r="E208" s="1059">
        <v>0.15</v>
      </c>
      <c r="F208" s="1060">
        <v>0.15</v>
      </c>
    </row>
    <row r="209" spans="1:6" ht="14.25" thickBot="1">
      <c r="A209" s="833" t="s">
        <v>528</v>
      </c>
      <c r="B209" s="827" t="s">
        <v>220</v>
      </c>
      <c r="C209" s="1059">
        <v>0.13700000000000001</v>
      </c>
      <c r="D209" s="1059">
        <v>0.13700000000000001</v>
      </c>
      <c r="E209" s="1059">
        <v>0.14000000000000001</v>
      </c>
      <c r="F209" s="1060">
        <v>0.11700000000000001</v>
      </c>
    </row>
    <row r="210" spans="1:6" ht="14.25" thickBot="1">
      <c r="A210" s="833" t="s">
        <v>528</v>
      </c>
      <c r="B210" s="827" t="s">
        <v>945</v>
      </c>
      <c r="C210" s="1059">
        <v>0.15</v>
      </c>
      <c r="D210" s="1059">
        <v>0.15</v>
      </c>
      <c r="E210" s="1059">
        <v>0.15</v>
      </c>
      <c r="F210" s="1060">
        <v>0.13800000000000001</v>
      </c>
    </row>
    <row r="211" spans="1:6" ht="14.25" thickBot="1">
      <c r="A211" s="833" t="s">
        <v>528</v>
      </c>
      <c r="B211" s="827" t="s">
        <v>946</v>
      </c>
      <c r="C211" s="1059">
        <v>0.13700000000000001</v>
      </c>
      <c r="D211" s="1059">
        <v>0.13500000000000001</v>
      </c>
      <c r="E211" s="1059">
        <v>0.13600000000000001</v>
      </c>
      <c r="F211" s="1060">
        <v>0.1</v>
      </c>
    </row>
    <row r="212" spans="1:6" ht="14.25" thickBot="1">
      <c r="A212" s="833" t="s">
        <v>528</v>
      </c>
      <c r="B212" s="827" t="s">
        <v>947</v>
      </c>
      <c r="C212" s="1059">
        <v>0.15</v>
      </c>
      <c r="D212" s="1059">
        <v>0.15</v>
      </c>
      <c r="E212" s="1059">
        <v>0.14799999999999999</v>
      </c>
      <c r="F212" s="1060">
        <v>0.13600000000000001</v>
      </c>
    </row>
    <row r="213" spans="1:6" ht="14.25" thickBot="1">
      <c r="A213" s="833" t="s">
        <v>528</v>
      </c>
      <c r="B213" s="827" t="s">
        <v>265</v>
      </c>
      <c r="C213" s="1059">
        <v>0.15</v>
      </c>
      <c r="D213" s="1059">
        <v>0.15</v>
      </c>
      <c r="E213" s="1059">
        <v>0.15</v>
      </c>
      <c r="F213" s="1060">
        <v>0.13800000000000001</v>
      </c>
    </row>
    <row r="214" spans="1:6" ht="14.25" thickBot="1">
      <c r="A214" s="833" t="s">
        <v>528</v>
      </c>
      <c r="B214" s="827" t="s">
        <v>277</v>
      </c>
      <c r="C214" s="1059">
        <v>9.0999999999999998E-2</v>
      </c>
      <c r="D214" s="1059">
        <v>0.09</v>
      </c>
      <c r="E214" s="1059">
        <v>9.1999999999999998E-2</v>
      </c>
      <c r="F214" s="1071"/>
    </row>
    <row r="215" spans="1:6" ht="14.25" thickBot="1">
      <c r="A215" s="833" t="s">
        <v>528</v>
      </c>
      <c r="B215" s="827" t="s">
        <v>948</v>
      </c>
      <c r="C215" s="1059">
        <v>0.15</v>
      </c>
      <c r="D215" s="1059">
        <v>0.15</v>
      </c>
      <c r="E215" s="1059">
        <v>0.15</v>
      </c>
      <c r="F215" s="1060">
        <v>0.15</v>
      </c>
    </row>
    <row r="216" spans="1:6" ht="14.25" thickBot="1">
      <c r="A216" s="833" t="s">
        <v>528</v>
      </c>
      <c r="B216" s="827" t="s">
        <v>297</v>
      </c>
      <c r="C216" s="1059">
        <v>0.14699999999999999</v>
      </c>
      <c r="D216" s="1059">
        <v>0.14699999999999999</v>
      </c>
      <c r="E216" s="1059">
        <v>0.15</v>
      </c>
      <c r="F216" s="1060">
        <v>0.14000000000000001</v>
      </c>
    </row>
    <row r="217" spans="1:6" ht="14.25" thickBot="1">
      <c r="A217" s="833" t="s">
        <v>528</v>
      </c>
      <c r="B217" s="827" t="s">
        <v>307</v>
      </c>
      <c r="C217" s="1059">
        <v>0.15</v>
      </c>
      <c r="D217" s="1059">
        <v>0.15</v>
      </c>
      <c r="E217" s="1059">
        <v>0.15</v>
      </c>
      <c r="F217" s="1060">
        <v>0.15</v>
      </c>
    </row>
    <row r="218" spans="1:6" ht="14.25" thickBot="1">
      <c r="A218" s="833" t="s">
        <v>528</v>
      </c>
      <c r="B218" s="827" t="s">
        <v>949</v>
      </c>
      <c r="C218" s="1059">
        <v>0.15</v>
      </c>
      <c r="D218" s="1059">
        <v>0.15</v>
      </c>
      <c r="E218" s="1059">
        <v>0.15</v>
      </c>
      <c r="F218" s="1060">
        <v>0.15</v>
      </c>
    </row>
    <row r="219" spans="1:6" ht="14.25" thickBot="1">
      <c r="A219" s="833" t="s">
        <v>528</v>
      </c>
      <c r="B219" s="827" t="s">
        <v>328</v>
      </c>
      <c r="C219" s="1059">
        <v>0.15</v>
      </c>
      <c r="D219" s="1059">
        <v>0.15</v>
      </c>
      <c r="E219" s="1059">
        <v>0.15</v>
      </c>
      <c r="F219" s="1060">
        <v>0.14799999999999999</v>
      </c>
    </row>
    <row r="220" spans="1:6" ht="14.25" thickBot="1">
      <c r="A220" s="833" t="s">
        <v>528</v>
      </c>
      <c r="B220" s="827" t="s">
        <v>950</v>
      </c>
      <c r="C220" s="1059">
        <v>0.15</v>
      </c>
      <c r="D220" s="1059">
        <v>0.15</v>
      </c>
      <c r="E220" s="1059">
        <v>0.15</v>
      </c>
      <c r="F220" s="1060">
        <v>0.15</v>
      </c>
    </row>
    <row r="221" spans="1:6" ht="14.25" thickBot="1">
      <c r="A221" s="833" t="s">
        <v>528</v>
      </c>
      <c r="B221" s="827" t="s">
        <v>349</v>
      </c>
      <c r="C221" s="1059"/>
      <c r="D221" s="1072"/>
      <c r="E221" s="1072"/>
      <c r="F221" s="1060">
        <v>0.14799999999999999</v>
      </c>
    </row>
    <row r="222" spans="1:6" ht="14.25" thickBot="1">
      <c r="A222" s="833" t="s">
        <v>528</v>
      </c>
      <c r="B222" s="827" t="s">
        <v>359</v>
      </c>
      <c r="C222" s="1059"/>
      <c r="D222" s="1072"/>
      <c r="E222" s="1072"/>
      <c r="F222" s="1060">
        <v>0.1</v>
      </c>
    </row>
    <row r="223" spans="1:6" ht="14.25" thickBot="1">
      <c r="A223" s="833" t="s">
        <v>528</v>
      </c>
      <c r="B223" s="827" t="s">
        <v>369</v>
      </c>
      <c r="C223" s="1059"/>
      <c r="D223" s="1072"/>
      <c r="E223" s="1072"/>
      <c r="F223" s="1060">
        <v>0.15</v>
      </c>
    </row>
    <row r="224" spans="1:6" ht="14.25" thickBot="1">
      <c r="A224" s="833" t="s">
        <v>528</v>
      </c>
      <c r="B224" s="827" t="s">
        <v>379</v>
      </c>
      <c r="C224" s="1059"/>
      <c r="D224" s="1072"/>
      <c r="E224" s="1072"/>
      <c r="F224" s="1060">
        <v>0.15</v>
      </c>
    </row>
    <row r="225" spans="1:6" ht="14.25" thickBot="1">
      <c r="A225" s="833" t="s">
        <v>528</v>
      </c>
      <c r="B225" s="827" t="s">
        <v>951</v>
      </c>
      <c r="C225" s="1059">
        <v>0.15</v>
      </c>
      <c r="D225" s="1059">
        <v>0.15</v>
      </c>
      <c r="E225" s="1059">
        <v>0.15</v>
      </c>
      <c r="F225" s="1060">
        <v>0.15</v>
      </c>
    </row>
    <row r="226" spans="1:6" ht="14.25" thickBot="1">
      <c r="A226" s="833" t="s">
        <v>528</v>
      </c>
      <c r="B226" s="827" t="s">
        <v>397</v>
      </c>
      <c r="C226" s="1059">
        <v>0.15</v>
      </c>
      <c r="D226" s="1059">
        <v>0.15</v>
      </c>
      <c r="E226" s="1059">
        <v>0.15</v>
      </c>
      <c r="F226" s="1060">
        <v>0.14799999999999999</v>
      </c>
    </row>
    <row r="227" spans="1:6" ht="14.25" thickBot="1">
      <c r="A227" s="833" t="s">
        <v>528</v>
      </c>
      <c r="B227" s="827" t="s">
        <v>952</v>
      </c>
      <c r="C227" s="1059">
        <v>0.15</v>
      </c>
      <c r="D227" s="1059">
        <v>0.15</v>
      </c>
      <c r="E227" s="1059">
        <v>0.15</v>
      </c>
      <c r="F227" s="1060">
        <v>0.15</v>
      </c>
    </row>
    <row r="228" spans="1:6" ht="14.25" thickBot="1">
      <c r="A228" s="833" t="s">
        <v>528</v>
      </c>
      <c r="B228" s="827" t="s">
        <v>412</v>
      </c>
      <c r="C228" s="1059">
        <v>0.15</v>
      </c>
      <c r="D228" s="1059">
        <v>0.15</v>
      </c>
      <c r="E228" s="1059">
        <v>0.15</v>
      </c>
      <c r="F228" s="1060">
        <v>0.15</v>
      </c>
    </row>
    <row r="229" spans="1:6" ht="14.25" thickBot="1">
      <c r="A229" s="833" t="s">
        <v>528</v>
      </c>
      <c r="B229" s="827" t="s">
        <v>419</v>
      </c>
      <c r="C229" s="1059">
        <v>0.15</v>
      </c>
      <c r="D229" s="1059">
        <v>0.15</v>
      </c>
      <c r="E229" s="1059">
        <v>0.15</v>
      </c>
      <c r="F229" s="1071"/>
    </row>
    <row r="230" spans="1:6" ht="14.25" thickBot="1">
      <c r="A230" s="833" t="s">
        <v>528</v>
      </c>
      <c r="B230" s="827" t="s">
        <v>426</v>
      </c>
      <c r="C230" s="1059">
        <v>0.14499999999999999</v>
      </c>
      <c r="D230" s="1059">
        <v>0.14499999999999999</v>
      </c>
      <c r="E230" s="1059">
        <v>0.14399999999999999</v>
      </c>
      <c r="F230" s="1071"/>
    </row>
    <row r="231" spans="1:6" ht="14.25" thickBot="1">
      <c r="A231" s="833" t="s">
        <v>528</v>
      </c>
      <c r="B231" s="827" t="s">
        <v>953</v>
      </c>
      <c r="C231" s="1059">
        <v>0.128</v>
      </c>
      <c r="D231" s="1059">
        <v>0.125</v>
      </c>
      <c r="E231" s="1059">
        <v>0.13200000000000001</v>
      </c>
      <c r="F231" s="1071"/>
    </row>
    <row r="232" spans="1:6" ht="14.25" thickBot="1">
      <c r="A232" s="833" t="s">
        <v>528</v>
      </c>
      <c r="B232" s="827" t="s">
        <v>954</v>
      </c>
      <c r="C232" s="1059">
        <v>0.14499999999999999</v>
      </c>
      <c r="D232" s="1059">
        <v>0.14399999999999999</v>
      </c>
      <c r="E232" s="1059">
        <v>0.14599999999999999</v>
      </c>
      <c r="F232" s="1060">
        <v>0.13800000000000001</v>
      </c>
    </row>
    <row r="233" spans="1:6" ht="14.25" thickBot="1">
      <c r="A233" s="833" t="s">
        <v>528</v>
      </c>
      <c r="B233" s="827" t="s">
        <v>955</v>
      </c>
      <c r="C233" s="1059">
        <v>0.14499999999999999</v>
      </c>
      <c r="D233" s="1059">
        <v>0.14299999999999999</v>
      </c>
      <c r="E233" s="1059">
        <v>0.14199999999999999</v>
      </c>
      <c r="F233" s="1071"/>
    </row>
    <row r="234" spans="1:6" ht="14.25" thickBot="1">
      <c r="A234" s="833" t="s">
        <v>528</v>
      </c>
      <c r="B234" s="827" t="s">
        <v>956</v>
      </c>
      <c r="C234" s="1059">
        <v>0.14000000000000001</v>
      </c>
      <c r="D234" s="1059">
        <v>0.14000000000000001</v>
      </c>
      <c r="E234" s="1059">
        <v>0.14399999999999999</v>
      </c>
      <c r="F234" s="1071"/>
    </row>
    <row r="235" spans="1:6" ht="14.25" thickBot="1">
      <c r="A235" s="833" t="s">
        <v>528</v>
      </c>
      <c r="B235" s="827" t="s">
        <v>957</v>
      </c>
      <c r="C235" s="1059">
        <v>0.14099999999999999</v>
      </c>
      <c r="D235" s="1059">
        <v>0.14199999999999999</v>
      </c>
      <c r="E235" s="1059">
        <v>0.14499999999999999</v>
      </c>
      <c r="F235" s="1060">
        <v>0.15</v>
      </c>
    </row>
    <row r="236" spans="1:6" ht="14.25" thickBot="1">
      <c r="A236" s="833" t="s">
        <v>528</v>
      </c>
      <c r="B236" s="827" t="s">
        <v>461</v>
      </c>
      <c r="C236" s="1072"/>
      <c r="D236" s="1072"/>
      <c r="E236" s="1072"/>
      <c r="F236" s="1060">
        <v>0.14299999999999999</v>
      </c>
    </row>
    <row r="237" spans="1:6" ht="24.75" thickBot="1">
      <c r="A237" s="833" t="s">
        <v>528</v>
      </c>
      <c r="B237" s="827" t="s">
        <v>958</v>
      </c>
      <c r="C237" s="1072"/>
      <c r="D237" s="1072"/>
      <c r="E237" s="1072"/>
      <c r="F237" s="1060">
        <v>0.05</v>
      </c>
    </row>
    <row r="238" spans="1:6" ht="24.75" thickBot="1">
      <c r="A238" s="833" t="s">
        <v>528</v>
      </c>
      <c r="B238" s="827" t="s">
        <v>959</v>
      </c>
      <c r="C238" s="1072"/>
      <c r="D238" s="1072"/>
      <c r="E238" s="1072"/>
      <c r="F238" s="1060">
        <v>0.05</v>
      </c>
    </row>
    <row r="239" spans="1:6" ht="24.75" thickBot="1">
      <c r="A239" s="833" t="s">
        <v>528</v>
      </c>
      <c r="B239" s="827" t="s">
        <v>960</v>
      </c>
      <c r="C239" s="1072"/>
      <c r="D239" s="1072"/>
      <c r="E239" s="1072"/>
      <c r="F239" s="1060">
        <v>0.05</v>
      </c>
    </row>
    <row r="240" spans="1:6" ht="24.75" thickBot="1">
      <c r="A240" s="833" t="s">
        <v>528</v>
      </c>
      <c r="B240" s="827" t="s">
        <v>961</v>
      </c>
      <c r="C240" s="1072"/>
      <c r="D240" s="1072"/>
      <c r="E240" s="1072"/>
      <c r="F240" s="1060">
        <v>0.05</v>
      </c>
    </row>
    <row r="241" spans="1:6" ht="24.75" thickBot="1">
      <c r="A241" s="833" t="s">
        <v>528</v>
      </c>
      <c r="B241" s="827" t="s">
        <v>962</v>
      </c>
      <c r="C241" s="1072"/>
      <c r="D241" s="1072"/>
      <c r="E241" s="1072"/>
      <c r="F241" s="1060">
        <v>0.05</v>
      </c>
    </row>
    <row r="242" spans="1:6" ht="24.75" thickBot="1">
      <c r="A242" s="833" t="s">
        <v>528</v>
      </c>
      <c r="B242" s="827" t="s">
        <v>963</v>
      </c>
      <c r="C242" s="1072"/>
      <c r="D242" s="1072"/>
      <c r="E242" s="1072"/>
      <c r="F242" s="1060">
        <v>0.05</v>
      </c>
    </row>
    <row r="243" spans="1:6" ht="24.75" thickBot="1">
      <c r="A243" s="833" t="s">
        <v>528</v>
      </c>
      <c r="B243" s="827" t="s">
        <v>964</v>
      </c>
      <c r="C243" s="1072"/>
      <c r="D243" s="1072"/>
      <c r="E243" s="1072"/>
      <c r="F243" s="1060">
        <v>0.05</v>
      </c>
    </row>
    <row r="244" spans="1:6" ht="24.75" thickBot="1">
      <c r="A244" s="843" t="s">
        <v>528</v>
      </c>
      <c r="B244" s="839" t="s">
        <v>965</v>
      </c>
      <c r="C244" s="1069"/>
      <c r="D244" s="1069"/>
      <c r="E244" s="1069"/>
      <c r="F244" s="1062">
        <v>0.05</v>
      </c>
    </row>
    <row r="245" spans="1:6" ht="14.25" thickBot="1">
      <c r="A245" s="833" t="s">
        <v>530</v>
      </c>
      <c r="B245" s="834" t="s">
        <v>966</v>
      </c>
      <c r="C245" s="1057">
        <v>0.15</v>
      </c>
      <c r="D245" s="1057">
        <v>0.15</v>
      </c>
      <c r="E245" s="1057">
        <v>0.15</v>
      </c>
      <c r="F245" s="1058">
        <v>0.14299999999999999</v>
      </c>
    </row>
    <row r="246" spans="1:6" ht="14.25" thickBot="1">
      <c r="A246" s="833" t="s">
        <v>530</v>
      </c>
      <c r="B246" s="827" t="s">
        <v>195</v>
      </c>
      <c r="C246" s="1059">
        <v>0.15</v>
      </c>
      <c r="D246" s="1059">
        <v>0.15</v>
      </c>
      <c r="E246" s="1059">
        <v>0.15</v>
      </c>
      <c r="F246" s="1060">
        <v>0.114</v>
      </c>
    </row>
    <row r="247" spans="1:6" ht="14.25" thickBot="1">
      <c r="A247" s="833" t="s">
        <v>530</v>
      </c>
      <c r="B247" s="827" t="s">
        <v>967</v>
      </c>
      <c r="C247" s="1059">
        <v>0.15</v>
      </c>
      <c r="D247" s="1059">
        <v>0.15</v>
      </c>
      <c r="E247" s="1059">
        <v>0.15</v>
      </c>
      <c r="F247" s="1060">
        <v>0.15</v>
      </c>
    </row>
    <row r="248" spans="1:6" ht="14.25" thickBot="1">
      <c r="A248" s="833" t="s">
        <v>530</v>
      </c>
      <c r="B248" s="827" t="s">
        <v>968</v>
      </c>
      <c r="C248" s="1059">
        <v>0.15</v>
      </c>
      <c r="D248" s="1059">
        <v>0.15</v>
      </c>
      <c r="E248" s="1059">
        <v>0.15</v>
      </c>
      <c r="F248" s="1060">
        <v>0.14000000000000001</v>
      </c>
    </row>
    <row r="249" spans="1:6" ht="14.25" thickBot="1">
      <c r="A249" s="833" t="s">
        <v>530</v>
      </c>
      <c r="B249" s="827" t="s">
        <v>969</v>
      </c>
      <c r="C249" s="1059">
        <v>0.15</v>
      </c>
      <c r="D249" s="1059">
        <v>0.14899999999999999</v>
      </c>
      <c r="E249" s="1059">
        <v>0.15</v>
      </c>
      <c r="F249" s="1060">
        <v>0.1</v>
      </c>
    </row>
    <row r="250" spans="1:6" ht="14.25" thickBot="1">
      <c r="A250" s="833" t="s">
        <v>530</v>
      </c>
      <c r="B250" s="827" t="s">
        <v>970</v>
      </c>
      <c r="C250" s="1059">
        <v>0.15</v>
      </c>
      <c r="D250" s="1059">
        <v>0.15</v>
      </c>
      <c r="E250" s="1059">
        <v>0.15</v>
      </c>
      <c r="F250" s="1060">
        <v>0.14399999999999999</v>
      </c>
    </row>
    <row r="251" spans="1:6" ht="14.25" thickBot="1">
      <c r="A251" s="833" t="s">
        <v>530</v>
      </c>
      <c r="B251" s="827" t="s">
        <v>255</v>
      </c>
      <c r="C251" s="1059">
        <v>0.15</v>
      </c>
      <c r="D251" s="1059">
        <v>0.15</v>
      </c>
      <c r="E251" s="1059">
        <v>0.15</v>
      </c>
      <c r="F251" s="1060">
        <v>0.14299999999999999</v>
      </c>
    </row>
    <row r="252" spans="1:6" ht="14.25" thickBot="1">
      <c r="A252" s="833" t="s">
        <v>530</v>
      </c>
      <c r="B252" s="827" t="s">
        <v>266</v>
      </c>
      <c r="C252" s="1059">
        <v>0.15</v>
      </c>
      <c r="D252" s="1059">
        <v>0.15</v>
      </c>
      <c r="E252" s="1059">
        <v>0.15</v>
      </c>
      <c r="F252" s="1060">
        <v>0.1</v>
      </c>
    </row>
    <row r="253" spans="1:6" ht="14.25" thickBot="1">
      <c r="A253" s="833" t="s">
        <v>530</v>
      </c>
      <c r="B253" s="827" t="s">
        <v>278</v>
      </c>
      <c r="C253" s="1059">
        <v>0.15</v>
      </c>
      <c r="D253" s="1059">
        <v>0.15</v>
      </c>
      <c r="E253" s="1059">
        <v>0.15</v>
      </c>
      <c r="F253" s="1060">
        <v>0.1</v>
      </c>
    </row>
    <row r="254" spans="1:6" ht="14.25" thickBot="1">
      <c r="A254" s="833" t="s">
        <v>530</v>
      </c>
      <c r="B254" s="827" t="s">
        <v>288</v>
      </c>
      <c r="C254" s="1072"/>
      <c r="D254" s="1072"/>
      <c r="E254" s="1072"/>
      <c r="F254" s="1060">
        <v>0.15</v>
      </c>
    </row>
    <row r="255" spans="1:6" ht="14.25" thickBot="1">
      <c r="A255" s="833" t="s">
        <v>530</v>
      </c>
      <c r="B255" s="827" t="s">
        <v>298</v>
      </c>
      <c r="C255" s="1072"/>
      <c r="D255" s="1072"/>
      <c r="E255" s="1072"/>
      <c r="F255" s="1060">
        <v>0.14299999999999999</v>
      </c>
    </row>
    <row r="256" spans="1:6" ht="14.25" thickBot="1">
      <c r="A256" s="833" t="s">
        <v>530</v>
      </c>
      <c r="B256" s="827" t="s">
        <v>971</v>
      </c>
      <c r="C256" s="1059">
        <v>0.14599999999999999</v>
      </c>
      <c r="D256" s="1059">
        <v>0.14699999999999999</v>
      </c>
      <c r="E256" s="1059">
        <v>0.15</v>
      </c>
      <c r="F256" s="1060">
        <v>0.13200000000000001</v>
      </c>
    </row>
    <row r="257" spans="1:6" ht="14.25" thickBot="1">
      <c r="A257" s="833" t="s">
        <v>530</v>
      </c>
      <c r="B257" s="827" t="s">
        <v>318</v>
      </c>
      <c r="C257" s="1059">
        <v>0.15</v>
      </c>
      <c r="D257" s="1059">
        <v>0.15</v>
      </c>
      <c r="E257" s="1059">
        <v>0.15</v>
      </c>
      <c r="F257" s="1060">
        <v>0.13900000000000001</v>
      </c>
    </row>
    <row r="258" spans="1:6" ht="14.25" thickBot="1">
      <c r="A258" s="833" t="s">
        <v>530</v>
      </c>
      <c r="B258" s="827" t="s">
        <v>329</v>
      </c>
      <c r="C258" s="1059">
        <v>0.15</v>
      </c>
      <c r="D258" s="1059">
        <v>0.15</v>
      </c>
      <c r="E258" s="1059">
        <v>0.15</v>
      </c>
      <c r="F258" s="1060">
        <v>0.13</v>
      </c>
    </row>
    <row r="259" spans="1:6" ht="14.25" thickBot="1">
      <c r="A259" s="833" t="s">
        <v>530</v>
      </c>
      <c r="B259" s="827" t="s">
        <v>972</v>
      </c>
      <c r="C259" s="1059">
        <v>0.14799999999999999</v>
      </c>
      <c r="D259" s="1059">
        <v>0.14899999999999999</v>
      </c>
      <c r="E259" s="1059">
        <v>0.15</v>
      </c>
      <c r="F259" s="1060">
        <v>0.13700000000000001</v>
      </c>
    </row>
    <row r="260" spans="1:6" ht="14.25" thickBot="1">
      <c r="A260" s="833" t="s">
        <v>530</v>
      </c>
      <c r="B260" s="827" t="s">
        <v>350</v>
      </c>
      <c r="C260" s="1059">
        <v>0.15</v>
      </c>
      <c r="D260" s="1059">
        <v>0.15</v>
      </c>
      <c r="E260" s="1059">
        <v>0.15</v>
      </c>
      <c r="F260" s="1060">
        <v>0.14199999999999999</v>
      </c>
    </row>
    <row r="261" spans="1:6" ht="14.25" thickBot="1">
      <c r="A261" s="833" t="s">
        <v>530</v>
      </c>
      <c r="B261" s="827" t="s">
        <v>360</v>
      </c>
      <c r="C261" s="1059">
        <v>0.15</v>
      </c>
      <c r="D261" s="1059">
        <v>0.15</v>
      </c>
      <c r="E261" s="1059">
        <v>0.14899999999999999</v>
      </c>
      <c r="F261" s="1060">
        <v>0.14799999999999999</v>
      </c>
    </row>
    <row r="262" spans="1:6" ht="14.25" thickBot="1">
      <c r="A262" s="833" t="s">
        <v>530</v>
      </c>
      <c r="B262" s="827" t="s">
        <v>370</v>
      </c>
      <c r="C262" s="1059">
        <v>0.15</v>
      </c>
      <c r="D262" s="1059">
        <v>0.15</v>
      </c>
      <c r="E262" s="1059">
        <v>0.15</v>
      </c>
      <c r="F262" s="1071"/>
    </row>
    <row r="263" spans="1:6" ht="14.25" thickBot="1">
      <c r="A263" s="833" t="s">
        <v>530</v>
      </c>
      <c r="B263" s="827" t="s">
        <v>973</v>
      </c>
      <c r="C263" s="1059">
        <v>0.14899999999999999</v>
      </c>
      <c r="D263" s="1059">
        <v>0.14899999999999999</v>
      </c>
      <c r="E263" s="1059">
        <v>0.15</v>
      </c>
      <c r="F263" s="1060">
        <v>0.13</v>
      </c>
    </row>
    <row r="264" spans="1:6" ht="14.25" thickBot="1">
      <c r="A264" s="833" t="s">
        <v>530</v>
      </c>
      <c r="B264" s="827" t="s">
        <v>389</v>
      </c>
      <c r="C264" s="1059">
        <v>0.14799999999999999</v>
      </c>
      <c r="D264" s="1059">
        <v>0.14699999999999999</v>
      </c>
      <c r="E264" s="1059">
        <v>0.15</v>
      </c>
      <c r="F264" s="1060">
        <v>7.8E-2</v>
      </c>
    </row>
    <row r="265" spans="1:6" ht="14.25" thickBot="1">
      <c r="A265" s="833" t="s">
        <v>530</v>
      </c>
      <c r="B265" s="827" t="s">
        <v>398</v>
      </c>
      <c r="C265" s="1059">
        <v>0.15</v>
      </c>
      <c r="D265" s="1059">
        <v>0.15</v>
      </c>
      <c r="E265" s="1059">
        <v>0.15</v>
      </c>
      <c r="F265" s="1060">
        <v>7.3999999999999996E-2</v>
      </c>
    </row>
    <row r="266" spans="1:6" ht="14.25" thickBot="1">
      <c r="A266" s="833" t="s">
        <v>530</v>
      </c>
      <c r="B266" s="827" t="s">
        <v>406</v>
      </c>
      <c r="C266" s="1059">
        <v>0.14699999999999999</v>
      </c>
      <c r="D266" s="1059">
        <v>0.14699999999999999</v>
      </c>
      <c r="E266" s="1059">
        <v>0.15</v>
      </c>
      <c r="F266" s="1060">
        <v>0.14299999999999999</v>
      </c>
    </row>
    <row r="267" spans="1:6" ht="14.25" thickBot="1">
      <c r="A267" s="833" t="s">
        <v>530</v>
      </c>
      <c r="B267" s="827" t="s">
        <v>413</v>
      </c>
      <c r="C267" s="1059">
        <v>0.14199999999999999</v>
      </c>
      <c r="D267" s="1059">
        <v>0.14299999999999999</v>
      </c>
      <c r="E267" s="1059">
        <v>0.15</v>
      </c>
      <c r="F267" s="1071"/>
    </row>
    <row r="268" spans="1:6" ht="14.25" thickBot="1">
      <c r="A268" s="833" t="s">
        <v>530</v>
      </c>
      <c r="B268" s="827" t="s">
        <v>974</v>
      </c>
      <c r="C268" s="1059">
        <v>0.15</v>
      </c>
      <c r="D268" s="1059">
        <v>0.15</v>
      </c>
      <c r="E268" s="1059">
        <v>0.15</v>
      </c>
      <c r="F268" s="1060">
        <v>0.13</v>
      </c>
    </row>
    <row r="269" spans="1:6" ht="14.25" thickBot="1">
      <c r="A269" s="833" t="s">
        <v>530</v>
      </c>
      <c r="B269" s="827" t="s">
        <v>427</v>
      </c>
      <c r="C269" s="1059">
        <v>0.15</v>
      </c>
      <c r="D269" s="1059">
        <v>0.15</v>
      </c>
      <c r="E269" s="1059">
        <v>0.15</v>
      </c>
      <c r="F269" s="1060">
        <v>0.14299999999999999</v>
      </c>
    </row>
    <row r="270" spans="1:6" ht="14.25" thickBot="1">
      <c r="A270" s="833" t="s">
        <v>530</v>
      </c>
      <c r="B270" s="827" t="s">
        <v>434</v>
      </c>
      <c r="C270" s="1059">
        <v>0.14499999999999999</v>
      </c>
      <c r="D270" s="1059">
        <v>0.14499999999999999</v>
      </c>
      <c r="E270" s="1059">
        <v>0.15</v>
      </c>
      <c r="F270" s="1060">
        <v>0.14699999999999999</v>
      </c>
    </row>
    <row r="271" spans="1:6" ht="14.25" thickBot="1">
      <c r="A271" s="833" t="s">
        <v>530</v>
      </c>
      <c r="B271" s="827" t="s">
        <v>441</v>
      </c>
      <c r="C271" s="1059">
        <v>0.15</v>
      </c>
      <c r="D271" s="1059">
        <v>0.15</v>
      </c>
      <c r="E271" s="1059">
        <v>0.15</v>
      </c>
      <c r="F271" s="1060">
        <v>0.13800000000000001</v>
      </c>
    </row>
    <row r="272" spans="1:6" ht="14.25" thickBot="1">
      <c r="A272" s="833" t="s">
        <v>530</v>
      </c>
      <c r="B272" s="827" t="s">
        <v>448</v>
      </c>
      <c r="C272" s="1072"/>
      <c r="D272" s="1072"/>
      <c r="E272" s="1072"/>
      <c r="F272" s="1060">
        <v>0.14000000000000001</v>
      </c>
    </row>
    <row r="273" spans="1:6" ht="14.25" thickBot="1">
      <c r="A273" s="833" t="s">
        <v>530</v>
      </c>
      <c r="B273" s="827" t="s">
        <v>975</v>
      </c>
      <c r="C273" s="1059">
        <v>0.14199999999999999</v>
      </c>
      <c r="D273" s="1059">
        <v>0.14299999999999999</v>
      </c>
      <c r="E273" s="1059">
        <v>0.15</v>
      </c>
      <c r="F273" s="1060">
        <v>0.1</v>
      </c>
    </row>
    <row r="274" spans="1:6" ht="14.25" thickBot="1">
      <c r="A274" s="833" t="s">
        <v>530</v>
      </c>
      <c r="B274" s="827" t="s">
        <v>976</v>
      </c>
      <c r="C274" s="1059">
        <v>0.14799999999999999</v>
      </c>
      <c r="D274" s="1059">
        <v>0.14799999999999999</v>
      </c>
      <c r="E274" s="1059">
        <v>0.15</v>
      </c>
      <c r="F274" s="1060">
        <v>6.7000000000000004E-2</v>
      </c>
    </row>
    <row r="275" spans="1:6" ht="14.25" thickBot="1">
      <c r="A275" s="833" t="s">
        <v>530</v>
      </c>
      <c r="B275" s="827" t="s">
        <v>977</v>
      </c>
      <c r="C275" s="1059">
        <v>0.15</v>
      </c>
      <c r="D275" s="1059">
        <v>0.15</v>
      </c>
      <c r="E275" s="1059">
        <v>0.15</v>
      </c>
      <c r="F275" s="1060">
        <v>0.15</v>
      </c>
    </row>
    <row r="276" spans="1:6" ht="14.25" thickBot="1">
      <c r="A276" s="833" t="s">
        <v>530</v>
      </c>
      <c r="B276" s="827" t="s">
        <v>978</v>
      </c>
      <c r="C276" s="1059">
        <v>0.14499999999999999</v>
      </c>
      <c r="D276" s="1059">
        <v>0.14299999999999999</v>
      </c>
      <c r="E276" s="1059">
        <v>0.15</v>
      </c>
      <c r="F276" s="1060">
        <v>5.8999999999999997E-2</v>
      </c>
    </row>
    <row r="277" spans="1:6" ht="14.25" thickBot="1">
      <c r="A277" s="833" t="s">
        <v>530</v>
      </c>
      <c r="B277" s="827" t="s">
        <v>979</v>
      </c>
      <c r="C277" s="1059">
        <v>0.15</v>
      </c>
      <c r="D277" s="1059">
        <v>0.15</v>
      </c>
      <c r="E277" s="1059">
        <v>0.15</v>
      </c>
      <c r="F277" s="1060">
        <v>0.121</v>
      </c>
    </row>
    <row r="278" spans="1:6" ht="14.25" thickBot="1">
      <c r="A278" s="833" t="s">
        <v>530</v>
      </c>
      <c r="B278" s="827" t="s">
        <v>980</v>
      </c>
      <c r="C278" s="1059">
        <v>0.15</v>
      </c>
      <c r="D278" s="1059">
        <v>0.15</v>
      </c>
      <c r="E278" s="1059">
        <v>0.15</v>
      </c>
      <c r="F278" s="1060">
        <v>0.13800000000000001</v>
      </c>
    </row>
    <row r="279" spans="1:6" ht="24.75" thickBot="1">
      <c r="A279" s="833" t="s">
        <v>530</v>
      </c>
      <c r="B279" s="827" t="s">
        <v>981</v>
      </c>
      <c r="C279" s="1072"/>
      <c r="D279" s="1072"/>
      <c r="E279" s="1072"/>
      <c r="F279" s="1060">
        <v>0.05</v>
      </c>
    </row>
    <row r="280" spans="1:6" ht="24.75" thickBot="1">
      <c r="A280" s="833" t="s">
        <v>530</v>
      </c>
      <c r="B280" s="827" t="s">
        <v>982</v>
      </c>
      <c r="C280" s="1072"/>
      <c r="D280" s="1072"/>
      <c r="E280" s="1072"/>
      <c r="F280" s="1060">
        <v>0.05</v>
      </c>
    </row>
    <row r="281" spans="1:6" ht="24.75" thickBot="1">
      <c r="A281" s="833" t="s">
        <v>530</v>
      </c>
      <c r="B281" s="827" t="s">
        <v>983</v>
      </c>
      <c r="C281" s="1072"/>
      <c r="D281" s="1072"/>
      <c r="E281" s="1072"/>
      <c r="F281" s="1060">
        <v>0.05</v>
      </c>
    </row>
    <row r="282" spans="1:6" ht="24.75" thickBot="1">
      <c r="A282" s="833" t="s">
        <v>530</v>
      </c>
      <c r="B282" s="827" t="s">
        <v>984</v>
      </c>
      <c r="C282" s="1072"/>
      <c r="D282" s="1072"/>
      <c r="E282" s="1072"/>
      <c r="F282" s="1060">
        <v>0.05</v>
      </c>
    </row>
    <row r="283" spans="1:6" ht="24.75" thickBot="1">
      <c r="A283" s="833" t="s">
        <v>530</v>
      </c>
      <c r="B283" s="827" t="s">
        <v>985</v>
      </c>
      <c r="C283" s="1072"/>
      <c r="D283" s="1072"/>
      <c r="E283" s="1072"/>
      <c r="F283" s="1060">
        <v>0.05</v>
      </c>
    </row>
    <row r="284" spans="1:6" ht="24.75" thickBot="1">
      <c r="A284" s="833" t="s">
        <v>530</v>
      </c>
      <c r="B284" s="827" t="s">
        <v>986</v>
      </c>
      <c r="C284" s="1072"/>
      <c r="D284" s="1072"/>
      <c r="E284" s="1072"/>
      <c r="F284" s="1060">
        <v>0.05</v>
      </c>
    </row>
    <row r="285" spans="1:6" ht="24.75" thickBot="1">
      <c r="A285" s="833" t="s">
        <v>530</v>
      </c>
      <c r="B285" s="827" t="s">
        <v>987</v>
      </c>
      <c r="C285" s="1072"/>
      <c r="D285" s="1072"/>
      <c r="E285" s="1072"/>
      <c r="F285" s="1060">
        <v>0.05</v>
      </c>
    </row>
    <row r="286" spans="1:6" ht="24.75" thickBot="1">
      <c r="A286" s="833" t="s">
        <v>530</v>
      </c>
      <c r="B286" s="827" t="s">
        <v>988</v>
      </c>
      <c r="C286" s="1072"/>
      <c r="D286" s="1072"/>
      <c r="E286" s="1072"/>
      <c r="F286" s="1060">
        <v>0.05</v>
      </c>
    </row>
    <row r="287" spans="1:6" ht="24.75" thickBot="1">
      <c r="A287" s="833" t="s">
        <v>530</v>
      </c>
      <c r="B287" s="827" t="s">
        <v>989</v>
      </c>
      <c r="C287" s="1072"/>
      <c r="D287" s="1072"/>
      <c r="E287" s="1072"/>
      <c r="F287" s="1060">
        <v>0.05</v>
      </c>
    </row>
    <row r="288" spans="1:6" ht="24.75" thickBot="1">
      <c r="A288" s="833" t="s">
        <v>530</v>
      </c>
      <c r="B288" s="827" t="s">
        <v>990</v>
      </c>
      <c r="C288" s="1072"/>
      <c r="D288" s="1072"/>
      <c r="E288" s="1072"/>
      <c r="F288" s="1060">
        <v>0.05</v>
      </c>
    </row>
    <row r="289" spans="1:6" ht="24.75" thickBot="1">
      <c r="A289" s="843" t="s">
        <v>530</v>
      </c>
      <c r="B289" s="839" t="s">
        <v>991</v>
      </c>
      <c r="C289" s="1069"/>
      <c r="D289" s="1069"/>
      <c r="E289" s="1069"/>
      <c r="F289" s="1062">
        <v>0.05</v>
      </c>
    </row>
    <row r="290" spans="1:6" ht="14.25" thickBot="1">
      <c r="A290" s="833" t="s">
        <v>534</v>
      </c>
      <c r="B290" s="834" t="s">
        <v>992</v>
      </c>
      <c r="C290" s="1057">
        <v>0.15</v>
      </c>
      <c r="D290" s="1057">
        <v>0.15</v>
      </c>
      <c r="E290" s="1057">
        <v>0.15</v>
      </c>
      <c r="F290" s="1074"/>
    </row>
    <row r="291" spans="1:6" ht="14.25" thickBot="1">
      <c r="A291" s="833" t="s">
        <v>534</v>
      </c>
      <c r="B291" s="827" t="s">
        <v>196</v>
      </c>
      <c r="C291" s="1059">
        <v>0.15</v>
      </c>
      <c r="D291" s="1059">
        <v>0.15</v>
      </c>
      <c r="E291" s="1059">
        <v>0.15</v>
      </c>
      <c r="F291" s="1071"/>
    </row>
    <row r="292" spans="1:6" ht="14.25" thickBot="1">
      <c r="A292" s="833" t="s">
        <v>534</v>
      </c>
      <c r="B292" s="827" t="s">
        <v>993</v>
      </c>
      <c r="C292" s="1059">
        <v>0.15</v>
      </c>
      <c r="D292" s="1059">
        <v>0.15</v>
      </c>
      <c r="E292" s="1059">
        <v>0.15</v>
      </c>
      <c r="F292" s="1060">
        <v>0.14699999999999999</v>
      </c>
    </row>
    <row r="293" spans="1:6" ht="14.25" thickBot="1">
      <c r="A293" s="833" t="s">
        <v>534</v>
      </c>
      <c r="B293" s="827" t="s">
        <v>994</v>
      </c>
      <c r="C293" s="1072"/>
      <c r="D293" s="1072"/>
      <c r="E293" s="1072"/>
      <c r="F293" s="1060">
        <v>0.1</v>
      </c>
    </row>
    <row r="294" spans="1:6" ht="14.25" thickBot="1">
      <c r="A294" s="833" t="s">
        <v>534</v>
      </c>
      <c r="B294" s="827" t="s">
        <v>995</v>
      </c>
      <c r="C294" s="1059">
        <v>0.15</v>
      </c>
      <c r="D294" s="1059">
        <v>0.15</v>
      </c>
      <c r="E294" s="1059">
        <v>0.15</v>
      </c>
      <c r="F294" s="1060">
        <v>0.15</v>
      </c>
    </row>
    <row r="295" spans="1:6" ht="14.25" thickBot="1">
      <c r="A295" s="833" t="s">
        <v>534</v>
      </c>
      <c r="B295" s="827" t="s">
        <v>234</v>
      </c>
      <c r="C295" s="1059">
        <v>0.15</v>
      </c>
      <c r="D295" s="1059">
        <v>0.15</v>
      </c>
      <c r="E295" s="1059">
        <v>0.15</v>
      </c>
      <c r="F295" s="1060">
        <v>0.15</v>
      </c>
    </row>
    <row r="296" spans="1:6" ht="14.25" thickBot="1">
      <c r="A296" s="833" t="s">
        <v>534</v>
      </c>
      <c r="B296" s="827" t="s">
        <v>996</v>
      </c>
      <c r="C296" s="1059">
        <v>0.15</v>
      </c>
      <c r="D296" s="1059">
        <v>0.15</v>
      </c>
      <c r="E296" s="1059">
        <v>0.15</v>
      </c>
      <c r="F296" s="1060">
        <v>0.15</v>
      </c>
    </row>
    <row r="297" spans="1:6" ht="14.25" thickBot="1">
      <c r="A297" s="833" t="s">
        <v>534</v>
      </c>
      <c r="B297" s="827" t="s">
        <v>997</v>
      </c>
      <c r="C297" s="1059">
        <v>0.14799999999999999</v>
      </c>
      <c r="D297" s="1059">
        <v>0.14899999999999999</v>
      </c>
      <c r="E297" s="1059">
        <v>0.15</v>
      </c>
      <c r="F297" s="1060">
        <v>0.13700000000000001</v>
      </c>
    </row>
    <row r="298" spans="1:6" ht="14.25" thickBot="1">
      <c r="A298" s="833" t="s">
        <v>534</v>
      </c>
      <c r="B298" s="827" t="s">
        <v>267</v>
      </c>
      <c r="C298" s="1059">
        <v>0.13400000000000001</v>
      </c>
      <c r="D298" s="1059">
        <v>0.13400000000000001</v>
      </c>
      <c r="E298" s="1059">
        <v>0.14499999999999999</v>
      </c>
      <c r="F298" s="1060">
        <v>0.14799999999999999</v>
      </c>
    </row>
    <row r="299" spans="1:6" ht="14.25" thickBot="1">
      <c r="A299" s="833" t="s">
        <v>534</v>
      </c>
      <c r="B299" s="827" t="s">
        <v>279</v>
      </c>
      <c r="C299" s="1059">
        <v>0.15</v>
      </c>
      <c r="D299" s="1059">
        <v>0.15</v>
      </c>
      <c r="E299" s="1059">
        <v>0.15</v>
      </c>
      <c r="F299" s="1071"/>
    </row>
    <row r="300" spans="1:6" ht="14.25" thickBot="1">
      <c r="A300" s="833" t="s">
        <v>534</v>
      </c>
      <c r="B300" s="827" t="s">
        <v>998</v>
      </c>
      <c r="C300" s="1059">
        <v>0.15</v>
      </c>
      <c r="D300" s="1059">
        <v>0.15</v>
      </c>
      <c r="E300" s="1059">
        <v>0.15</v>
      </c>
      <c r="F300" s="1060">
        <v>0.15</v>
      </c>
    </row>
    <row r="301" spans="1:6" ht="14.25" thickBot="1">
      <c r="A301" s="833" t="s">
        <v>534</v>
      </c>
      <c r="B301" s="827" t="s">
        <v>299</v>
      </c>
      <c r="C301" s="1059">
        <v>0.15</v>
      </c>
      <c r="D301" s="1059">
        <v>0.15</v>
      </c>
      <c r="E301" s="1059">
        <v>0.15</v>
      </c>
      <c r="F301" s="1071"/>
    </row>
    <row r="302" spans="1:6" ht="14.25" thickBot="1">
      <c r="A302" s="833" t="s">
        <v>534</v>
      </c>
      <c r="B302" s="827" t="s">
        <v>999</v>
      </c>
      <c r="C302" s="1059">
        <v>0.15</v>
      </c>
      <c r="D302" s="1059">
        <v>0.15</v>
      </c>
      <c r="E302" s="1059">
        <v>0.15</v>
      </c>
      <c r="F302" s="1060">
        <v>0.15</v>
      </c>
    </row>
    <row r="303" spans="1:6" ht="14.25" thickBot="1">
      <c r="A303" s="833" t="s">
        <v>534</v>
      </c>
      <c r="B303" s="827" t="s">
        <v>319</v>
      </c>
      <c r="C303" s="1059">
        <v>0.15</v>
      </c>
      <c r="D303" s="1059">
        <v>0.15</v>
      </c>
      <c r="E303" s="1059">
        <v>0.15</v>
      </c>
      <c r="F303" s="1060">
        <v>0.15</v>
      </c>
    </row>
    <row r="304" spans="1:6" ht="14.25" thickBot="1">
      <c r="A304" s="833" t="s">
        <v>534</v>
      </c>
      <c r="B304" s="827" t="s">
        <v>330</v>
      </c>
      <c r="C304" s="1059">
        <v>0.15</v>
      </c>
      <c r="D304" s="1059">
        <v>0.15</v>
      </c>
      <c r="E304" s="1059">
        <v>0.15</v>
      </c>
      <c r="F304" s="1071"/>
    </row>
    <row r="305" spans="1:6" ht="14.25" thickBot="1">
      <c r="A305" s="833" t="s">
        <v>534</v>
      </c>
      <c r="B305" s="827" t="s">
        <v>1000</v>
      </c>
      <c r="C305" s="1059">
        <v>0.15</v>
      </c>
      <c r="D305" s="1059">
        <v>0.15</v>
      </c>
      <c r="E305" s="1059">
        <v>0.15</v>
      </c>
      <c r="F305" s="1060">
        <v>0.14000000000000001</v>
      </c>
    </row>
    <row r="306" spans="1:6" ht="14.25" thickBot="1">
      <c r="A306" s="833" t="s">
        <v>534</v>
      </c>
      <c r="B306" s="827" t="s">
        <v>351</v>
      </c>
      <c r="C306" s="1059">
        <v>0.15</v>
      </c>
      <c r="D306" s="1059">
        <v>0.15</v>
      </c>
      <c r="E306" s="1059">
        <v>0.15</v>
      </c>
      <c r="F306" s="1071"/>
    </row>
    <row r="307" spans="1:6" ht="14.25" thickBot="1">
      <c r="A307" s="833" t="s">
        <v>534</v>
      </c>
      <c r="B307" s="827" t="s">
        <v>1001</v>
      </c>
      <c r="C307" s="1059">
        <v>0.15</v>
      </c>
      <c r="D307" s="1059">
        <v>0.15</v>
      </c>
      <c r="E307" s="1059">
        <v>0.15</v>
      </c>
      <c r="F307" s="1060">
        <v>0.14299999999999999</v>
      </c>
    </row>
    <row r="308" spans="1:6" ht="14.25" thickBot="1">
      <c r="A308" s="833" t="s">
        <v>534</v>
      </c>
      <c r="B308" s="827" t="s">
        <v>371</v>
      </c>
      <c r="C308" s="1059">
        <v>0.15</v>
      </c>
      <c r="D308" s="1059">
        <v>0.15</v>
      </c>
      <c r="E308" s="1059">
        <v>0.15</v>
      </c>
      <c r="F308" s="1060">
        <v>0.15</v>
      </c>
    </row>
    <row r="309" spans="1:6" ht="14.25" thickBot="1">
      <c r="A309" s="833" t="s">
        <v>534</v>
      </c>
      <c r="B309" s="827" t="s">
        <v>381</v>
      </c>
      <c r="C309" s="1059">
        <v>0.15</v>
      </c>
      <c r="D309" s="1059">
        <v>0.15</v>
      </c>
      <c r="E309" s="1059">
        <v>0.15</v>
      </c>
      <c r="F309" s="1071"/>
    </row>
    <row r="310" spans="1:6" ht="14.25" thickBot="1">
      <c r="A310" s="833" t="s">
        <v>534</v>
      </c>
      <c r="B310" s="827" t="s">
        <v>1002</v>
      </c>
      <c r="C310" s="1059">
        <v>0.15</v>
      </c>
      <c r="D310" s="1059">
        <v>0.15</v>
      </c>
      <c r="E310" s="1059">
        <v>0.15</v>
      </c>
      <c r="F310" s="1060">
        <v>0.13700000000000001</v>
      </c>
    </row>
    <row r="311" spans="1:6" ht="14.25" thickBot="1">
      <c r="A311" s="833" t="s">
        <v>534</v>
      </c>
      <c r="B311" s="827" t="s">
        <v>1003</v>
      </c>
      <c r="C311" s="1059">
        <v>0.15</v>
      </c>
      <c r="D311" s="1059">
        <v>0.15</v>
      </c>
      <c r="E311" s="1059">
        <v>0.15</v>
      </c>
      <c r="F311" s="1060">
        <v>0.15</v>
      </c>
    </row>
    <row r="312" spans="1:6" ht="14.25" thickBot="1">
      <c r="A312" s="833" t="s">
        <v>534</v>
      </c>
      <c r="B312" s="827" t="s">
        <v>407</v>
      </c>
      <c r="C312" s="1059">
        <v>0.15</v>
      </c>
      <c r="D312" s="1059">
        <v>0.15</v>
      </c>
      <c r="E312" s="1059">
        <v>0.15</v>
      </c>
      <c r="F312" s="1060">
        <v>0.1</v>
      </c>
    </row>
    <row r="313" spans="1:6" ht="14.25" thickBot="1">
      <c r="A313" s="833" t="s">
        <v>534</v>
      </c>
      <c r="B313" s="827" t="s">
        <v>1004</v>
      </c>
      <c r="C313" s="1059">
        <v>0.15</v>
      </c>
      <c r="D313" s="1059">
        <v>0.15</v>
      </c>
      <c r="E313" s="1059">
        <v>0.15</v>
      </c>
      <c r="F313" s="1060">
        <v>0.15</v>
      </c>
    </row>
    <row r="314" spans="1:6" ht="24.75" thickBot="1">
      <c r="A314" s="833" t="s">
        <v>534</v>
      </c>
      <c r="B314" s="827" t="s">
        <v>1005</v>
      </c>
      <c r="C314" s="1072"/>
      <c r="D314" s="1072"/>
      <c r="E314" s="1072"/>
      <c r="F314" s="1060">
        <v>0.05</v>
      </c>
    </row>
    <row r="315" spans="1:6" ht="24.75" thickBot="1">
      <c r="A315" s="833" t="s">
        <v>534</v>
      </c>
      <c r="B315" s="827" t="s">
        <v>1006</v>
      </c>
      <c r="C315" s="1072"/>
      <c r="D315" s="1072"/>
      <c r="E315" s="1072"/>
      <c r="F315" s="1060">
        <v>0.05</v>
      </c>
    </row>
    <row r="316" spans="1:6" ht="24.75" thickBot="1">
      <c r="A316" s="843" t="s">
        <v>534</v>
      </c>
      <c r="B316" s="839" t="s">
        <v>1007</v>
      </c>
      <c r="C316" s="1069"/>
      <c r="D316" s="1069"/>
      <c r="E316" s="1069"/>
      <c r="F316" s="1062">
        <v>0.05</v>
      </c>
    </row>
    <row r="317" spans="1:6" ht="14.25" thickBot="1">
      <c r="A317" s="833" t="s">
        <v>1008</v>
      </c>
      <c r="B317" s="834" t="s">
        <v>1009</v>
      </c>
      <c r="C317" s="1057">
        <v>0.15</v>
      </c>
      <c r="D317" s="1057">
        <v>0.15</v>
      </c>
      <c r="E317" s="1057">
        <v>0.15</v>
      </c>
      <c r="F317" s="1058">
        <v>0.15</v>
      </c>
    </row>
    <row r="318" spans="1:6" ht="14.25" thickBot="1">
      <c r="A318" s="833" t="s">
        <v>1008</v>
      </c>
      <c r="B318" s="827" t="s">
        <v>1010</v>
      </c>
      <c r="C318" s="1059">
        <v>0.107</v>
      </c>
      <c r="D318" s="1059">
        <v>0.11</v>
      </c>
      <c r="E318" s="1059">
        <v>0.112</v>
      </c>
      <c r="F318" s="1071"/>
    </row>
    <row r="319" spans="1:6" ht="14.25" thickBot="1">
      <c r="A319" s="833" t="s">
        <v>1008</v>
      </c>
      <c r="B319" s="827" t="s">
        <v>1011</v>
      </c>
      <c r="C319" s="1059">
        <v>0.15</v>
      </c>
      <c r="D319" s="1059">
        <v>0.15</v>
      </c>
      <c r="E319" s="1059">
        <v>0.15</v>
      </c>
      <c r="F319" s="1060">
        <v>0.15</v>
      </c>
    </row>
    <row r="320" spans="1:6" ht="14.25" thickBot="1">
      <c r="A320" s="833" t="s">
        <v>1008</v>
      </c>
      <c r="B320" s="827" t="s">
        <v>223</v>
      </c>
      <c r="C320" s="1059">
        <v>0.15</v>
      </c>
      <c r="D320" s="1059">
        <v>0.15</v>
      </c>
      <c r="E320" s="1059">
        <v>0.15</v>
      </c>
      <c r="F320" s="1071"/>
    </row>
    <row r="321" spans="1:6" ht="14.25" thickBot="1">
      <c r="A321" s="833" t="s">
        <v>1008</v>
      </c>
      <c r="B321" s="827" t="s">
        <v>1012</v>
      </c>
      <c r="C321" s="1059">
        <v>0.15</v>
      </c>
      <c r="D321" s="1059">
        <v>0.15</v>
      </c>
      <c r="E321" s="1059">
        <v>0.15</v>
      </c>
      <c r="F321" s="1071"/>
    </row>
    <row r="322" spans="1:6" ht="14.25" thickBot="1">
      <c r="A322" s="833" t="s">
        <v>1008</v>
      </c>
      <c r="B322" s="827" t="s">
        <v>1013</v>
      </c>
      <c r="C322" s="1059">
        <v>0.15</v>
      </c>
      <c r="D322" s="1059">
        <v>0.15</v>
      </c>
      <c r="E322" s="1059">
        <v>0.15</v>
      </c>
      <c r="F322" s="1060">
        <v>0.15</v>
      </c>
    </row>
    <row r="323" spans="1:6" ht="14.25" thickBot="1">
      <c r="A323" s="833" t="s">
        <v>1008</v>
      </c>
      <c r="B323" s="827" t="s">
        <v>1014</v>
      </c>
      <c r="C323" s="1059">
        <v>0.15</v>
      </c>
      <c r="D323" s="1059">
        <v>0.15</v>
      </c>
      <c r="E323" s="1059">
        <v>0.15</v>
      </c>
      <c r="F323" s="1071"/>
    </row>
    <row r="324" spans="1:6" ht="14.25" thickBot="1">
      <c r="A324" s="833" t="s">
        <v>1008</v>
      </c>
      <c r="B324" s="827" t="s">
        <v>1015</v>
      </c>
      <c r="C324" s="1059">
        <v>0.15</v>
      </c>
      <c r="D324" s="1059">
        <v>0.15</v>
      </c>
      <c r="E324" s="1059">
        <v>0.15</v>
      </c>
      <c r="F324" s="1071"/>
    </row>
    <row r="325" spans="1:6" ht="14.25" thickBot="1">
      <c r="A325" s="833" t="s">
        <v>1008</v>
      </c>
      <c r="B325" s="827" t="s">
        <v>1016</v>
      </c>
      <c r="C325" s="1059">
        <v>0.15</v>
      </c>
      <c r="D325" s="1059">
        <v>0.15</v>
      </c>
      <c r="E325" s="1059">
        <v>0.15</v>
      </c>
      <c r="F325" s="1060">
        <v>0.14699999999999999</v>
      </c>
    </row>
    <row r="326" spans="1:6" ht="14.25" thickBot="1">
      <c r="A326" s="833" t="s">
        <v>1008</v>
      </c>
      <c r="B326" s="827" t="s">
        <v>290</v>
      </c>
      <c r="C326" s="1059">
        <v>0.15</v>
      </c>
      <c r="D326" s="1059">
        <v>0.15</v>
      </c>
      <c r="E326" s="1059">
        <v>0.15</v>
      </c>
      <c r="F326" s="1071"/>
    </row>
    <row r="327" spans="1:6" ht="14.25" thickBot="1">
      <c r="A327" s="833" t="s">
        <v>1008</v>
      </c>
      <c r="B327" s="827" t="s">
        <v>1017</v>
      </c>
      <c r="C327" s="1059">
        <v>0.15</v>
      </c>
      <c r="D327" s="1059">
        <v>0.15</v>
      </c>
      <c r="E327" s="1059">
        <v>0.15</v>
      </c>
      <c r="F327" s="1060">
        <v>0.15</v>
      </c>
    </row>
    <row r="328" spans="1:6" ht="14.25" thickBot="1">
      <c r="A328" s="833" t="s">
        <v>1008</v>
      </c>
      <c r="B328" s="827" t="s">
        <v>310</v>
      </c>
      <c r="C328" s="1059">
        <v>0.15</v>
      </c>
      <c r="D328" s="1059">
        <v>0.15</v>
      </c>
      <c r="E328" s="1059">
        <v>0.15</v>
      </c>
      <c r="F328" s="1060">
        <v>0.14099999999999999</v>
      </c>
    </row>
    <row r="329" spans="1:6" ht="14.25" thickBot="1">
      <c r="A329" s="833" t="s">
        <v>1008</v>
      </c>
      <c r="B329" s="827" t="s">
        <v>320</v>
      </c>
      <c r="C329" s="1059">
        <v>0.15</v>
      </c>
      <c r="D329" s="1059">
        <v>0.15</v>
      </c>
      <c r="E329" s="1059">
        <v>0.15</v>
      </c>
      <c r="F329" s="1060">
        <v>0.15</v>
      </c>
    </row>
    <row r="330" spans="1:6" ht="14.25" thickBot="1">
      <c r="A330" s="833" t="s">
        <v>1008</v>
      </c>
      <c r="B330" s="827" t="s">
        <v>331</v>
      </c>
      <c r="C330" s="1059">
        <v>0.15</v>
      </c>
      <c r="D330" s="1059">
        <v>0.15</v>
      </c>
      <c r="E330" s="1059">
        <v>0.15</v>
      </c>
      <c r="F330" s="1071"/>
    </row>
    <row r="331" spans="1:6" ht="14.25" thickBot="1">
      <c r="A331" s="833" t="s">
        <v>1008</v>
      </c>
      <c r="B331" s="827" t="s">
        <v>1018</v>
      </c>
      <c r="C331" s="1059">
        <v>0.15</v>
      </c>
      <c r="D331" s="1059">
        <v>0.15</v>
      </c>
      <c r="E331" s="1059">
        <v>0.15</v>
      </c>
      <c r="F331" s="1060">
        <v>0.15</v>
      </c>
    </row>
    <row r="332" spans="1:6" ht="14.25" thickBot="1">
      <c r="A332" s="833" t="s">
        <v>1008</v>
      </c>
      <c r="B332" s="827" t="s">
        <v>352</v>
      </c>
      <c r="C332" s="1059">
        <v>0.15</v>
      </c>
      <c r="D332" s="1059">
        <v>0.15</v>
      </c>
      <c r="E332" s="1059">
        <v>0.15</v>
      </c>
      <c r="F332" s="1060">
        <v>0.15</v>
      </c>
    </row>
    <row r="333" spans="1:6" ht="14.25" thickBot="1">
      <c r="A333" s="833" t="s">
        <v>1008</v>
      </c>
      <c r="B333" s="827" t="s">
        <v>1019</v>
      </c>
      <c r="C333" s="1059">
        <v>0.15</v>
      </c>
      <c r="D333" s="1059">
        <v>0.15</v>
      </c>
      <c r="E333" s="1059">
        <v>0.15</v>
      </c>
      <c r="F333" s="1060">
        <v>0.14099999999999999</v>
      </c>
    </row>
    <row r="334" spans="1:6" ht="14.25" thickBot="1">
      <c r="A334" s="833" t="s">
        <v>1008</v>
      </c>
      <c r="B334" s="827" t="s">
        <v>372</v>
      </c>
      <c r="C334" s="1059">
        <v>0.15</v>
      </c>
      <c r="D334" s="1059">
        <v>0.15</v>
      </c>
      <c r="E334" s="1059">
        <v>0.15</v>
      </c>
      <c r="F334" s="1060">
        <v>0.15</v>
      </c>
    </row>
    <row r="335" spans="1:6" ht="14.25" thickBot="1">
      <c r="A335" s="833" t="s">
        <v>1008</v>
      </c>
      <c r="B335" s="827" t="s">
        <v>382</v>
      </c>
      <c r="C335" s="1059">
        <v>0.15</v>
      </c>
      <c r="D335" s="1059">
        <v>0.15</v>
      </c>
      <c r="E335" s="1059">
        <v>0.15</v>
      </c>
      <c r="F335" s="1071"/>
    </row>
    <row r="336" spans="1:6" ht="14.25" thickBot="1">
      <c r="A336" s="833" t="s">
        <v>1008</v>
      </c>
      <c r="B336" s="827" t="s">
        <v>1020</v>
      </c>
      <c r="C336" s="1059">
        <v>0.15</v>
      </c>
      <c r="D336" s="1059">
        <v>0.15</v>
      </c>
      <c r="E336" s="1059">
        <v>0.15</v>
      </c>
      <c r="F336" s="1060">
        <v>0.11799999999999999</v>
      </c>
    </row>
    <row r="337" spans="1:6" ht="14.25" thickBot="1">
      <c r="A337" s="843" t="s">
        <v>1008</v>
      </c>
      <c r="B337" s="839" t="s">
        <v>400</v>
      </c>
      <c r="C337" s="1069"/>
      <c r="D337" s="1069"/>
      <c r="E337" s="1069"/>
      <c r="F337" s="1062">
        <v>0.14299999999999999</v>
      </c>
    </row>
    <row r="338" spans="1:6" ht="14.25" thickBot="1">
      <c r="A338" s="833" t="s">
        <v>1021</v>
      </c>
      <c r="B338" s="834" t="s">
        <v>1022</v>
      </c>
      <c r="C338" s="1057">
        <v>0.15</v>
      </c>
      <c r="D338" s="1057">
        <v>0.15</v>
      </c>
      <c r="E338" s="1057">
        <v>0.15</v>
      </c>
      <c r="F338" s="1074"/>
    </row>
    <row r="339" spans="1:6" ht="14.25" thickBot="1">
      <c r="A339" s="833" t="s">
        <v>1021</v>
      </c>
      <c r="B339" s="827" t="s">
        <v>1023</v>
      </c>
      <c r="C339" s="1059">
        <v>0.15</v>
      </c>
      <c r="D339" s="1059">
        <v>0.15</v>
      </c>
      <c r="E339" s="1059">
        <v>0.15</v>
      </c>
      <c r="F339" s="1071"/>
    </row>
    <row r="340" spans="1:6" ht="14.25" thickBot="1">
      <c r="A340" s="833" t="s">
        <v>1021</v>
      </c>
      <c r="B340" s="827" t="s">
        <v>1024</v>
      </c>
      <c r="C340" s="1059">
        <v>0.15</v>
      </c>
      <c r="D340" s="1059">
        <v>0.15</v>
      </c>
      <c r="E340" s="1059">
        <v>0.15</v>
      </c>
      <c r="F340" s="1071"/>
    </row>
    <row r="341" spans="1:6" ht="14.25" thickBot="1">
      <c r="A341" s="833" t="s">
        <v>1021</v>
      </c>
      <c r="B341" s="827" t="s">
        <v>1025</v>
      </c>
      <c r="C341" s="1059">
        <v>0.15</v>
      </c>
      <c r="D341" s="1059">
        <v>0.15</v>
      </c>
      <c r="E341" s="1059">
        <v>0.15</v>
      </c>
      <c r="F341" s="1060">
        <v>0.15</v>
      </c>
    </row>
    <row r="342" spans="1:6" ht="14.25" thickBot="1">
      <c r="A342" s="833" t="s">
        <v>1021</v>
      </c>
      <c r="B342" s="827" t="s">
        <v>1026</v>
      </c>
      <c r="C342" s="1059">
        <v>0.15</v>
      </c>
      <c r="D342" s="1059">
        <v>0.15</v>
      </c>
      <c r="E342" s="1059">
        <v>0.15</v>
      </c>
      <c r="F342" s="1060">
        <v>0.15</v>
      </c>
    </row>
    <row r="343" spans="1:6" ht="14.25" thickBot="1">
      <c r="A343" s="833" t="s">
        <v>1021</v>
      </c>
      <c r="B343" s="827" t="s">
        <v>1027</v>
      </c>
      <c r="C343" s="1059">
        <v>0.15</v>
      </c>
      <c r="D343" s="1059">
        <v>0.15</v>
      </c>
      <c r="E343" s="1059">
        <v>0.15</v>
      </c>
      <c r="F343" s="1060">
        <v>0.15</v>
      </c>
    </row>
    <row r="344" spans="1:6" ht="14.25" thickBot="1">
      <c r="A344" s="843" t="s">
        <v>1021</v>
      </c>
      <c r="B344" s="839"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1300</v>
      </c>
      <c r="C1" s="1687">
        <f>项目基本情况!D3</f>
        <v>43216</v>
      </c>
      <c r="D1" s="1693" t="s">
        <v>1301</v>
      </c>
      <c r="E1" s="1688">
        <f>'数据-取费表'!B22</f>
        <v>1</v>
      </c>
      <c r="F1" s="1693" t="s">
        <v>1302</v>
      </c>
      <c r="G1" s="1689">
        <f ca="1">INDIRECT("d"&amp;$K$1)/100</f>
        <v>4.3499999999999997E-2</v>
      </c>
      <c r="H1" s="1693" t="s">
        <v>1332</v>
      </c>
      <c r="I1" s="1689">
        <f ca="1">F4/100</f>
        <v>1.4999999999999999E-2</v>
      </c>
      <c r="J1" s="1694">
        <f>IF(C1&gt;C13,0,MATCH(C1,C$13:C$100,-1))+IF(SUMIF(C13:C100,C1,D13:D100)=0,13,12)</f>
        <v>13</v>
      </c>
      <c r="K1" s="1694">
        <f ca="1">MATCH(E1,C3:C7,1)+IF(SUMIF(C3:C7,E1,D3:D7)=0,2,1)</f>
        <v>4</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1303</v>
      </c>
      <c r="E2" s="1629"/>
      <c r="F2" s="1629" t="s">
        <v>1304</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1305</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1306</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1307</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1308</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1309</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1310</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1311</v>
      </c>
      <c r="C10" s="1657"/>
      <c r="D10" s="1657"/>
      <c r="E10" s="1657"/>
      <c r="F10" s="1657"/>
      <c r="G10" s="1657"/>
      <c r="H10" s="1657"/>
      <c r="I10" s="1631"/>
      <c r="J10" s="1631"/>
      <c r="K10" s="1657"/>
      <c r="L10" s="1658" t="s">
        <v>1312</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1313</v>
      </c>
      <c r="C11" s="1662" t="s">
        <v>1314</v>
      </c>
      <c r="D11" s="1663" t="s">
        <v>1315</v>
      </c>
      <c r="E11" s="1664"/>
      <c r="F11" s="1663" t="s">
        <v>1316</v>
      </c>
      <c r="G11" s="1665"/>
      <c r="H11" s="1664"/>
      <c r="I11" s="1663" t="s">
        <v>1317</v>
      </c>
      <c r="J11" s="1664"/>
      <c r="K11" s="1660"/>
      <c r="L11" s="1661" t="s">
        <v>1313</v>
      </c>
      <c r="M11" s="1662" t="s">
        <v>1314</v>
      </c>
      <c r="N11" s="1661" t="s">
        <v>1318</v>
      </c>
      <c r="O11" s="1663" t="s">
        <v>1319</v>
      </c>
      <c r="P11" s="1665"/>
      <c r="Q11" s="1665"/>
      <c r="R11" s="1665"/>
      <c r="S11" s="1665"/>
      <c r="T11" s="1664"/>
      <c r="U11" s="1663" t="s">
        <v>1320</v>
      </c>
      <c r="V11" s="1665"/>
      <c r="W11" s="1664"/>
      <c r="X11" s="1661" t="s">
        <v>1321</v>
      </c>
      <c r="Y11" s="1661" t="s">
        <v>1322</v>
      </c>
      <c r="Z11" s="1661" t="s">
        <v>1323</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1324</v>
      </c>
      <c r="E12" s="1670" t="s">
        <v>1325</v>
      </c>
      <c r="F12" s="1670" t="s">
        <v>1326</v>
      </c>
      <c r="G12" s="1670" t="s">
        <v>1327</v>
      </c>
      <c r="H12" s="1670" t="s">
        <v>1309</v>
      </c>
      <c r="I12" s="1671" t="s">
        <v>1328</v>
      </c>
      <c r="J12" s="1671" t="s">
        <v>1328</v>
      </c>
      <c r="K12" s="1667"/>
      <c r="L12" s="1668"/>
      <c r="M12" s="1669"/>
      <c r="N12" s="1668"/>
      <c r="O12" s="1671" t="s">
        <v>1329</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1330</v>
      </c>
      <c r="C13" s="1675">
        <v>42301</v>
      </c>
      <c r="D13" s="1676">
        <v>4.3499999999999996</v>
      </c>
      <c r="E13" s="1676">
        <v>4.3499999999999996</v>
      </c>
      <c r="F13" s="1676">
        <v>4.75</v>
      </c>
      <c r="G13" s="1676">
        <v>4.75</v>
      </c>
      <c r="H13" s="1676">
        <v>4.9000000000000004</v>
      </c>
      <c r="I13" s="1676">
        <v>2.75</v>
      </c>
      <c r="J13" s="1676">
        <v>3.25</v>
      </c>
      <c r="K13" s="1673"/>
      <c r="L13" s="1674" t="s">
        <v>1330</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1331</v>
      </c>
      <c r="Y42" s="1680" t="s">
        <v>1331</v>
      </c>
      <c r="Z42" s="1680" t="s">
        <v>1331</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1331</v>
      </c>
      <c r="Y43" s="1680" t="s">
        <v>1331</v>
      </c>
      <c r="Z43" s="1680" t="s">
        <v>1331</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1331</v>
      </c>
      <c r="Y44" s="1680" t="s">
        <v>1331</v>
      </c>
      <c r="Z44" s="1680" t="s">
        <v>1331</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1331</v>
      </c>
      <c r="Y45" s="1680" t="s">
        <v>1331</v>
      </c>
      <c r="Z45" s="1680" t="s">
        <v>1331</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1331</v>
      </c>
      <c r="Y46" s="1680" t="s">
        <v>1331</v>
      </c>
      <c r="Z46" s="1680" t="s">
        <v>1331</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1331</v>
      </c>
      <c r="Y47" s="1680" t="s">
        <v>1331</v>
      </c>
      <c r="Z47" s="1680" t="s">
        <v>1331</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1331</v>
      </c>
      <c r="Y48" s="1680" t="s">
        <v>1331</v>
      </c>
      <c r="Z48" s="1680" t="s">
        <v>1331</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1331</v>
      </c>
      <c r="Y49" s="1680" t="s">
        <v>1331</v>
      </c>
      <c r="Z49" s="1680" t="s">
        <v>1331</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1331</v>
      </c>
      <c r="Y50" s="1680" t="s">
        <v>1331</v>
      </c>
      <c r="Z50" s="1680" t="s">
        <v>1331</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1331</v>
      </c>
      <c r="V51" s="1680" t="s">
        <v>1331</v>
      </c>
      <c r="W51" s="1680" t="s">
        <v>1331</v>
      </c>
      <c r="X51" s="1680" t="s">
        <v>1331</v>
      </c>
      <c r="Y51" s="1680" t="s">
        <v>1331</v>
      </c>
      <c r="Z51" s="1680" t="s">
        <v>1331</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1331</v>
      </c>
      <c r="J55" s="1680" t="s">
        <v>1331</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1372</v>
      </c>
      <c r="E1" s="1769" t="s">
        <v>1376</v>
      </c>
      <c r="F1" s="1770" t="s">
        <v>1380</v>
      </c>
    </row>
    <row r="2" spans="1:13" ht="20.25">
      <c r="A2" s="1776" t="s">
        <v>1373</v>
      </c>
    </row>
    <row r="3" spans="1:13" ht="16.5">
      <c r="A3" s="1777" t="s">
        <v>1374</v>
      </c>
    </row>
    <row r="4" spans="1:13" ht="14.25">
      <c r="A4" s="1767" t="s">
        <v>1375</v>
      </c>
      <c r="B4" s="1772" t="s">
        <v>1377</v>
      </c>
      <c r="C4" s="1773"/>
      <c r="D4" s="1774"/>
      <c r="E4" s="1772" t="s">
        <v>27</v>
      </c>
      <c r="F4" s="1773"/>
      <c r="G4" s="1774"/>
      <c r="H4" s="1772" t="s">
        <v>1378</v>
      </c>
      <c r="I4" s="1773"/>
      <c r="J4" s="1774"/>
      <c r="K4" s="1772" t="s">
        <v>6</v>
      </c>
      <c r="L4" s="1773"/>
      <c r="M4" s="1774"/>
    </row>
    <row r="5" spans="1:13" ht="14.25">
      <c r="A5" s="1768" t="s">
        <v>1379</v>
      </c>
      <c r="B5" s="1767" t="s">
        <v>1381</v>
      </c>
      <c r="C5" s="1767" t="s">
        <v>1382</v>
      </c>
      <c r="D5" s="1767" t="s">
        <v>1383</v>
      </c>
      <c r="E5" s="1767" t="s">
        <v>1381</v>
      </c>
      <c r="F5" s="1767" t="s">
        <v>1382</v>
      </c>
      <c r="G5" s="1767" t="s">
        <v>1383</v>
      </c>
      <c r="H5" s="1767" t="s">
        <v>1381</v>
      </c>
      <c r="I5" s="1767" t="s">
        <v>1382</v>
      </c>
      <c r="J5" s="1767" t="s">
        <v>1383</v>
      </c>
      <c r="K5" s="1767" t="s">
        <v>1381</v>
      </c>
      <c r="L5" s="1767" t="s">
        <v>1382</v>
      </c>
      <c r="M5" s="1767" t="s">
        <v>1383</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topLeftCell="A10" zoomScale="90" zoomScaleNormal="90" zoomScaleSheetLayoutView="90" workbookViewId="0">
      <selection activeCell="F35" sqref="F35"/>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8" customWidth="1"/>
    <col min="12" max="12" width="16.375" style="301" customWidth="1"/>
    <col min="13" max="13" width="13" style="301"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1"/>
  </cols>
  <sheetData>
    <row r="1" spans="1:37" s="336" customFormat="1" ht="21">
      <c r="A1" s="1826" t="s">
        <v>1589</v>
      </c>
      <c r="B1" s="780"/>
      <c r="C1" s="1830" t="s">
        <v>1377</v>
      </c>
      <c r="D1" s="1813" t="s">
        <v>70</v>
      </c>
      <c r="E1" s="1814" t="s">
        <v>1387</v>
      </c>
      <c r="F1" s="1278" t="e">
        <f ca="1">J53</f>
        <v>#N/A</v>
      </c>
      <c r="G1" s="1829"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1515</v>
      </c>
      <c r="B2" s="1837" t="e">
        <f ca="1">C40+J29+L46</f>
        <v>#N/A</v>
      </c>
      <c r="C2" s="1838" t="s">
        <v>1516</v>
      </c>
      <c r="D2" s="1838"/>
      <c r="E2" s="1839"/>
      <c r="F2" s="1840"/>
      <c r="G2" s="1841"/>
      <c r="H2" s="1833"/>
      <c r="I2" s="1833"/>
      <c r="J2" s="1833"/>
      <c r="K2" s="1834"/>
      <c r="L2" s="1833"/>
      <c r="M2" s="1833"/>
    </row>
    <row r="3" spans="1:37" ht="18" customHeight="1" thickBot="1">
      <c r="A3" s="1842" t="s">
        <v>1517</v>
      </c>
      <c r="B3" s="1843">
        <f ca="1">IF(ISERROR(B2*10000/F43),0,ROUND(B2*10000/F43,0))</f>
        <v>0</v>
      </c>
      <c r="C3" s="1838" t="s">
        <v>1518</v>
      </c>
      <c r="D3" s="1838"/>
      <c r="E3" s="1839"/>
      <c r="F3" s="1840"/>
      <c r="G3" s="1841"/>
      <c r="H3" s="742" t="s">
        <v>1588</v>
      </c>
      <c r="I3" s="1833"/>
      <c r="J3" s="1833"/>
      <c r="K3" s="1834"/>
      <c r="L3" s="1833"/>
      <c r="M3" s="1833"/>
    </row>
    <row r="4" spans="1:37" ht="18" customHeight="1">
      <c r="A4" s="339" t="s">
        <v>1396</v>
      </c>
      <c r="B4" s="340" t="s">
        <v>1397</v>
      </c>
      <c r="C4" s="340" t="s">
        <v>1398</v>
      </c>
      <c r="D4" s="340" t="s">
        <v>1399</v>
      </c>
      <c r="E4" s="341" t="s">
        <v>1400</v>
      </c>
      <c r="F4" s="342"/>
      <c r="G4" s="1844"/>
      <c r="H4" s="339" t="s">
        <v>1396</v>
      </c>
      <c r="I4" s="340" t="s">
        <v>1397</v>
      </c>
      <c r="J4" s="340" t="s">
        <v>1398</v>
      </c>
      <c r="K4" s="340" t="s">
        <v>1399</v>
      </c>
      <c r="L4" s="341" t="s">
        <v>1400</v>
      </c>
      <c r="M4" s="342"/>
    </row>
    <row r="5" spans="1:37" ht="18" customHeight="1">
      <c r="A5" s="343">
        <v>1</v>
      </c>
      <c r="B5" s="344" t="s">
        <v>1401</v>
      </c>
      <c r="C5" s="1287" t="e">
        <f ca="1">C6+C10+C12</f>
        <v>#N/A</v>
      </c>
      <c r="D5" s="1815" t="s">
        <v>1402</v>
      </c>
      <c r="E5" s="1288"/>
      <c r="F5" s="1289"/>
      <c r="G5" s="1844"/>
      <c r="H5" s="343">
        <v>1</v>
      </c>
      <c r="I5" s="344" t="s">
        <v>1401</v>
      </c>
      <c r="J5" s="1287" t="e">
        <f ca="1">J6+J10+J12</f>
        <v>#N/A</v>
      </c>
      <c r="K5" s="1815" t="s">
        <v>1402</v>
      </c>
      <c r="L5" s="1288"/>
      <c r="M5" s="1289"/>
    </row>
    <row r="6" spans="1:37" ht="18" customHeight="1">
      <c r="A6" s="1286" t="s">
        <v>1035</v>
      </c>
      <c r="B6" s="3251" t="s">
        <v>1403</v>
      </c>
      <c r="C6" s="1291" t="e">
        <f ca="1">ROUND(F6*F8*F7*(1-F9)/10000,0)</f>
        <v>#N/A</v>
      </c>
      <c r="D6" s="163" t="s">
        <v>3012</v>
      </c>
      <c r="E6" s="346" t="s">
        <v>1405</v>
      </c>
      <c r="F6" s="347" t="e">
        <f ca="1">INDIRECT("'数据-取费表'!u"&amp;$G$1)</f>
        <v>#N/A</v>
      </c>
      <c r="G6" s="1844"/>
      <c r="H6" s="1286" t="s">
        <v>1035</v>
      </c>
      <c r="I6" s="3251" t="s">
        <v>1403</v>
      </c>
      <c r="J6" s="345" t="e">
        <f ca="1">ROUND(M6*M8*M7*(1-M9)/10000,0)</f>
        <v>#N/A</v>
      </c>
      <c r="K6" s="163" t="s">
        <v>3011</v>
      </c>
      <c r="L6" s="346" t="s">
        <v>1405</v>
      </c>
      <c r="M6" s="347" t="e">
        <f ca="1">INDIRECT("'数据-取费表'!z"&amp;$G$1)</f>
        <v>#N/A</v>
      </c>
    </row>
    <row r="7" spans="1:37" ht="18" customHeight="1">
      <c r="A7" s="1290"/>
      <c r="B7" s="3252"/>
      <c r="C7" s="1292"/>
      <c r="D7" s="351"/>
      <c r="E7" s="2932" t="s">
        <v>1406</v>
      </c>
      <c r="F7" s="347" t="e">
        <f ca="1">IF(INDIRECT("'数据-取费表'!ah"&amp;$G$1)="",INDIRECT("'数据-取费表'!k"&amp;$G$1),INDIRECT("'数据-取费表'!ah"&amp;$G$1))</f>
        <v>#N/A</v>
      </c>
      <c r="G7" s="1844"/>
      <c r="H7" s="348"/>
      <c r="I7" s="3252"/>
      <c r="J7" s="350"/>
      <c r="K7" s="351"/>
      <c r="L7" s="346" t="s">
        <v>1406</v>
      </c>
      <c r="M7" s="347" t="e">
        <f ca="1">F7</f>
        <v>#N/A</v>
      </c>
    </row>
    <row r="8" spans="1:37" ht="18" customHeight="1">
      <c r="A8" s="348"/>
      <c r="B8" s="3252"/>
      <c r="C8" s="350"/>
      <c r="D8" s="351"/>
      <c r="E8" s="346" t="s">
        <v>1407</v>
      </c>
      <c r="F8" s="347" t="e">
        <f ca="1">INDIRECT("'数据-取费表'!ai"&amp;$G$1)</f>
        <v>#N/A</v>
      </c>
      <c r="G8" s="1844"/>
      <c r="H8" s="348"/>
      <c r="I8" s="3252"/>
      <c r="J8" s="350"/>
      <c r="K8" s="351"/>
      <c r="L8" s="346" t="s">
        <v>1407</v>
      </c>
      <c r="M8" s="347" t="e">
        <f ca="1">INDIRECT("'数据-取费表'!ai"&amp;$G$1)</f>
        <v>#N/A</v>
      </c>
    </row>
    <row r="9" spans="1:37" ht="18" customHeight="1">
      <c r="A9" s="348"/>
      <c r="B9" s="3253"/>
      <c r="C9" s="350"/>
      <c r="D9" s="351"/>
      <c r="E9" s="346" t="s">
        <v>1408</v>
      </c>
      <c r="F9" s="356" t="e">
        <f ca="1">INDIRECT("'数据-取费表'!w"&amp;$G$1)</f>
        <v>#N/A</v>
      </c>
      <c r="G9" s="1844"/>
      <c r="H9" s="348"/>
      <c r="I9" s="3253"/>
      <c r="J9" s="350"/>
      <c r="K9" s="351"/>
      <c r="L9" s="357" t="s">
        <v>1408</v>
      </c>
      <c r="M9" s="358" t="e">
        <f ca="1">INDIRECT("'数据-取费表'!ab"&amp;$G$1)</f>
        <v>#N/A</v>
      </c>
    </row>
    <row r="10" spans="1:37" ht="18" customHeight="1">
      <c r="A10" s="1286" t="s">
        <v>1039</v>
      </c>
      <c r="B10" s="1816" t="s">
        <v>1409</v>
      </c>
      <c r="C10" s="360" t="e">
        <f ca="1">ROUND(IF(F10="押一",C6/12*F11,IF(F10="押二",C6/12*2*F11,IF(F10="押三",C6/12*3*F11,C11*F11))),0)</f>
        <v>#N/A</v>
      </c>
      <c r="D10" s="1817" t="s">
        <v>3021</v>
      </c>
      <c r="E10" s="357" t="s">
        <v>1410</v>
      </c>
      <c r="F10" s="1361" t="s">
        <v>3122</v>
      </c>
      <c r="G10" s="1844"/>
      <c r="H10" s="1286" t="s">
        <v>1039</v>
      </c>
      <c r="I10" s="1816" t="s">
        <v>1409</v>
      </c>
      <c r="J10" s="345" t="e">
        <f ca="1">ROUND(IF(M10="押一",J6/12*M11,IF(M10="押二",J6/12*2*M11,IF(M10="押三",J6/12*3*M11,J11*M11))),0)</f>
        <v>#N/A</v>
      </c>
      <c r="K10" s="1817" t="s">
        <v>3020</v>
      </c>
      <c r="L10" s="357" t="s">
        <v>1410</v>
      </c>
      <c r="M10" s="1361" t="s">
        <v>1411</v>
      </c>
    </row>
    <row r="11" spans="1:37" ht="18" customHeight="1">
      <c r="A11" s="352"/>
      <c r="B11" s="1818" t="s">
        <v>1388</v>
      </c>
      <c r="C11" s="1173"/>
      <c r="D11" s="1819"/>
      <c r="E11" s="357" t="s">
        <v>1412</v>
      </c>
      <c r="F11" s="358">
        <f ca="1">'数据-取费表'!B39</f>
        <v>1.4999999999999999E-2</v>
      </c>
      <c r="G11" s="1844"/>
      <c r="H11" s="1294"/>
      <c r="I11" s="1818" t="s">
        <v>1388</v>
      </c>
      <c r="J11" s="1173"/>
      <c r="K11" s="746"/>
      <c r="L11" s="357" t="s">
        <v>1412</v>
      </c>
      <c r="M11" s="1051">
        <f ca="1">'数据-取费表'!B39</f>
        <v>1.4999999999999999E-2</v>
      </c>
    </row>
    <row r="12" spans="1:37" ht="18" customHeight="1" thickBot="1">
      <c r="A12" s="1328" t="s">
        <v>1075</v>
      </c>
      <c r="B12" s="1820" t="s">
        <v>1413</v>
      </c>
      <c r="C12" s="1329"/>
      <c r="D12" s="1330"/>
      <c r="E12" s="1335"/>
      <c r="F12" s="1331"/>
      <c r="G12" s="1844"/>
      <c r="H12" s="1328" t="s">
        <v>1075</v>
      </c>
      <c r="I12" s="1820" t="s">
        <v>1413</v>
      </c>
      <c r="J12" s="1329"/>
      <c r="K12" s="1343"/>
      <c r="L12" s="1335"/>
      <c r="M12" s="1344"/>
    </row>
    <row r="13" spans="1:37" ht="18" customHeight="1" thickTop="1">
      <c r="A13" s="1324">
        <v>2</v>
      </c>
      <c r="B13" s="1325" t="s">
        <v>1414</v>
      </c>
      <c r="C13" s="354" t="e">
        <f ca="1">ROUND(C29*F13,0)</f>
        <v>#N/A</v>
      </c>
      <c r="D13" s="1326" t="s">
        <v>1415</v>
      </c>
      <c r="E13" s="1326" t="s">
        <v>1416</v>
      </c>
      <c r="F13" s="1327" t="e">
        <f ca="1">INDIRECT("'数据-取费表'!y"&amp;$G$1)</f>
        <v>#N/A</v>
      </c>
      <c r="G13" s="1844"/>
      <c r="H13" s="1324">
        <v>2</v>
      </c>
      <c r="I13" s="1325" t="s">
        <v>1414</v>
      </c>
      <c r="J13" s="1285" t="e">
        <f ca="1">ROUND(J14*J15,0)</f>
        <v>#N/A</v>
      </c>
      <c r="K13" s="1332" t="s">
        <v>1415</v>
      </c>
      <c r="L13" s="1845"/>
      <c r="M13" s="1846"/>
    </row>
    <row r="14" spans="1:37" ht="18" customHeight="1">
      <c r="A14" s="1196" t="s">
        <v>1034</v>
      </c>
      <c r="B14" s="346" t="s">
        <v>1417</v>
      </c>
      <c r="C14" s="362" t="e">
        <f ca="1">INDIRECT("'数据-取费表'!m"&amp;$G$1)+INDIRECT("'数据-取费表'!t"&amp;$G$1)</f>
        <v>#N/A</v>
      </c>
      <c r="D14" s="2926" t="s">
        <v>1418</v>
      </c>
      <c r="E14" s="2924"/>
      <c r="F14" s="363"/>
      <c r="G14" s="1844"/>
      <c r="H14" s="1196" t="s">
        <v>1035</v>
      </c>
      <c r="I14" s="346" t="s">
        <v>1419</v>
      </c>
      <c r="J14" s="24" t="e">
        <f ca="1">C29</f>
        <v>#N/A</v>
      </c>
      <c r="K14" s="2931"/>
      <c r="L14" s="975"/>
      <c r="M14" s="976"/>
    </row>
    <row r="15" spans="1:37" s="1851" customFormat="1" ht="18" customHeight="1" thickBot="1">
      <c r="A15" s="1196" t="s">
        <v>1036</v>
      </c>
      <c r="B15" s="346" t="s">
        <v>1420</v>
      </c>
      <c r="C15" s="24" t="e">
        <f ca="1">ROUND(C14*F15,0)</f>
        <v>#N/A</v>
      </c>
      <c r="D15" s="364" t="s">
        <v>1421</v>
      </c>
      <c r="E15" s="364" t="s">
        <v>1422</v>
      </c>
      <c r="F15" s="365">
        <f>'数据-取费表'!B33</f>
        <v>0.03</v>
      </c>
      <c r="G15" s="1847"/>
      <c r="H15" s="1334" t="s">
        <v>1039</v>
      </c>
      <c r="I15" s="1335" t="s">
        <v>1416</v>
      </c>
      <c r="J15" s="1344" t="e">
        <f ca="1">INDIRECT("'数据-取费表'!ad"&amp;$G$1)</f>
        <v>#N/A</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1389</v>
      </c>
      <c r="B16" s="346" t="s">
        <v>1423</v>
      </c>
      <c r="C16" s="24" t="e">
        <f ca="1">ROUND(INDIRECT("'数据-取费表'!m"&amp;$G$1)*F16,0)</f>
        <v>#N/A</v>
      </c>
      <c r="D16" s="346" t="s">
        <v>1421</v>
      </c>
      <c r="E16" s="346" t="s">
        <v>1422</v>
      </c>
      <c r="F16" s="366" t="e">
        <f ca="1">IF(INDIRECT("'数据-取费表'!c"&amp;$G$1)="住宅",'数据-取费表'!B34,0)</f>
        <v>#N/A</v>
      </c>
      <c r="G16" s="1844"/>
      <c r="H16" s="1324" t="s">
        <v>1030</v>
      </c>
      <c r="I16" s="1325" t="s">
        <v>1424</v>
      </c>
      <c r="J16" s="354" t="e">
        <f ca="1">ROUND(J17+J22+J23+J24,0)</f>
        <v>#N/A</v>
      </c>
      <c r="K16" s="1332" t="s">
        <v>1425</v>
      </c>
      <c r="L16" s="2927"/>
      <c r="M16" s="1289"/>
    </row>
    <row r="17" spans="1:37" s="1851" customFormat="1" ht="18" customHeight="1">
      <c r="A17" s="1196" t="s">
        <v>1390</v>
      </c>
      <c r="B17" s="346" t="s">
        <v>1426</v>
      </c>
      <c r="C17" s="24" t="e">
        <f ca="1">ROUND(F17*(F43+INDIRECT("'数据-取费表'!S"&amp;$G$1))/10000,0)</f>
        <v>#N/A</v>
      </c>
      <c r="D17" s="346" t="s">
        <v>1427</v>
      </c>
      <c r="E17" s="346" t="s">
        <v>1428</v>
      </c>
      <c r="F17" s="26">
        <f>'数据-取费表'!B35</f>
        <v>200</v>
      </c>
      <c r="G17" s="1847"/>
      <c r="H17" s="1196" t="s">
        <v>1035</v>
      </c>
      <c r="I17" s="346" t="s">
        <v>1429</v>
      </c>
      <c r="J17" s="24" t="e">
        <f ca="1">ROUND(IF(项目基本情况!B11="自然人",J5*M17,J18+J19+J20),1)</f>
        <v>#N/A</v>
      </c>
      <c r="K17" s="2926" t="s">
        <v>1430</v>
      </c>
      <c r="L17" s="2925" t="s">
        <v>1431</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1391</v>
      </c>
      <c r="B18" s="346" t="s">
        <v>1432</v>
      </c>
      <c r="C18" s="24" t="e">
        <f ca="1">ROUND(C14*F18,0)</f>
        <v>#N/A</v>
      </c>
      <c r="D18" s="346" t="s">
        <v>1421</v>
      </c>
      <c r="E18" s="346" t="s">
        <v>1422</v>
      </c>
      <c r="F18" s="366">
        <f>'数据-取费表'!B36</f>
        <v>1.4999999999999999E-2</v>
      </c>
      <c r="G18" s="1847"/>
      <c r="H18" s="1196" t="s">
        <v>1034</v>
      </c>
      <c r="I18" s="346" t="s">
        <v>1433</v>
      </c>
      <c r="J18" s="24" t="e">
        <f ca="1">ROUND(J5*M18/(1+'数据-取费表'!C42),2)</f>
        <v>#N/A</v>
      </c>
      <c r="K18" s="2925" t="s">
        <v>1434</v>
      </c>
      <c r="L18" s="346" t="s">
        <v>1422</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1035</v>
      </c>
      <c r="B19" s="346" t="s">
        <v>1435</v>
      </c>
      <c r="C19" s="24" t="e">
        <f ca="1">SUM(C14:C18)</f>
        <v>#N/A</v>
      </c>
      <c r="D19" s="139" t="s">
        <v>1436</v>
      </c>
      <c r="E19" s="2930"/>
      <c r="F19" s="26"/>
      <c r="G19" s="1844"/>
      <c r="H19" s="1196" t="s">
        <v>1036</v>
      </c>
      <c r="I19" s="346" t="s">
        <v>1437</v>
      </c>
      <c r="J19" s="24" t="e">
        <f ca="1">IF(K19="按租金收入计税",ROUND(J5*M19,2),ROUND(C29*M19*0.7,2))</f>
        <v>#N/A</v>
      </c>
      <c r="K19" s="1821" t="s">
        <v>1438</v>
      </c>
      <c r="L19" s="346" t="s">
        <v>1422</v>
      </c>
      <c r="M19" s="366">
        <f>IF(K19="按租金收入计税",'数据-取费表'!B51,'数据-取费表'!B50)</f>
        <v>1.2E-2</v>
      </c>
    </row>
    <row r="20" spans="1:37" s="1851" customFormat="1" ht="18" customHeight="1">
      <c r="A20" s="1196" t="s">
        <v>1039</v>
      </c>
      <c r="B20" s="346" t="s">
        <v>1439</v>
      </c>
      <c r="C20" s="24" t="e">
        <f ca="1">ROUND(C19*F20,0)</f>
        <v>#N/A</v>
      </c>
      <c r="D20" s="368" t="s">
        <v>1440</v>
      </c>
      <c r="E20" s="346" t="s">
        <v>1422</v>
      </c>
      <c r="F20" s="366">
        <f>'数据-取费表'!B37</f>
        <v>0.02</v>
      </c>
      <c r="G20" s="1847"/>
      <c r="H20" s="1196" t="s">
        <v>1389</v>
      </c>
      <c r="I20" s="163" t="s">
        <v>1441</v>
      </c>
      <c r="J20" s="25" t="e">
        <f ca="1">ROUND(M20*M21/10000,2)</f>
        <v>#N/A</v>
      </c>
      <c r="K20" s="369" t="s">
        <v>1442</v>
      </c>
      <c r="L20" s="346" t="s">
        <v>1443</v>
      </c>
      <c r="M20" s="370">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1075</v>
      </c>
      <c r="B21" s="346" t="s">
        <v>1444</v>
      </c>
      <c r="C21" s="24" t="s">
        <v>18</v>
      </c>
      <c r="D21" s="368" t="s">
        <v>1445</v>
      </c>
      <c r="E21" s="346" t="s">
        <v>1446</v>
      </c>
      <c r="F21" s="366">
        <f>'数据-取费表'!B38</f>
        <v>0.01</v>
      </c>
      <c r="G21" s="1847"/>
      <c r="H21" s="371"/>
      <c r="I21" s="355"/>
      <c r="J21" s="29"/>
      <c r="K21" s="372"/>
      <c r="L21" s="346" t="s">
        <v>1447</v>
      </c>
      <c r="M21" s="347"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1392</v>
      </c>
      <c r="B22" s="346" t="s">
        <v>1448</v>
      </c>
      <c r="C22" s="24"/>
      <c r="D22" s="139" t="str">
        <f>IF(F23&lt;=1,"单利计息。","复利计息。")&amp;"建造成本、管理费用、销售费用产生的利息。"</f>
        <v>单利计息。建造成本、管理费用、销售费用产生的利息。</v>
      </c>
      <c r="E22" s="2930"/>
      <c r="F22" s="26"/>
      <c r="G22" s="1844"/>
      <c r="H22" s="1196" t="s">
        <v>1039</v>
      </c>
      <c r="I22" s="346" t="s">
        <v>1449</v>
      </c>
      <c r="J22" s="24" t="e">
        <f ca="1">ROUND(J14*M22,1)</f>
        <v>#N/A</v>
      </c>
      <c r="K22" s="2925" t="s">
        <v>1450</v>
      </c>
      <c r="L22" s="346" t="s">
        <v>1422</v>
      </c>
      <c r="M22" s="373" t="e">
        <f ca="1">INDIRECT("'数据-取费表'!Ak"&amp;$G$1)</f>
        <v>#N/A</v>
      </c>
    </row>
    <row r="23" spans="1:37" s="1851" customFormat="1" ht="18" customHeight="1">
      <c r="A23" s="1196"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1452</v>
      </c>
      <c r="F23" s="370">
        <f>'数据-取费表'!B20</f>
        <v>1</v>
      </c>
      <c r="G23" s="1847"/>
      <c r="H23" s="1196" t="s">
        <v>1075</v>
      </c>
      <c r="I23" s="346" t="s">
        <v>1453</v>
      </c>
      <c r="J23" s="24" t="e">
        <f ca="1">ROUND(J13*M23,1)</f>
        <v>#N/A</v>
      </c>
      <c r="K23" s="2925" t="s">
        <v>1454</v>
      </c>
      <c r="L23" s="346" t="s">
        <v>1455</v>
      </c>
      <c r="M23" s="375"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1456</v>
      </c>
      <c r="B24" s="346" t="s">
        <v>1457</v>
      </c>
      <c r="C24" s="24">
        <f ca="1">ROUND(IF('数据-取费表'!B22&lt;=1,F21*F24*F23/2,F21*(POWER((1+F24),F23/2)-1)),4)</f>
        <v>2.0000000000000001E-4</v>
      </c>
      <c r="D24" s="374" t="str">
        <f>IF(F23&lt;=1,"销售费用×利率×(建设周期÷2)","销售费用×((1+利率)^(建设周期÷2)-1)")</f>
        <v>销售费用×利率×(建设周期÷2)</v>
      </c>
      <c r="E24" s="346" t="s">
        <v>1458</v>
      </c>
      <c r="F24" s="376">
        <f ca="1">'数据-取费表'!B40</f>
        <v>4.3499999999999997E-2</v>
      </c>
      <c r="G24" s="1847"/>
      <c r="H24" s="1334" t="s">
        <v>1392</v>
      </c>
      <c r="I24" s="1335" t="s">
        <v>1439</v>
      </c>
      <c r="J24" s="1336" t="e">
        <f ca="1">ROUND(J5*M24,1)</f>
        <v>#N/A</v>
      </c>
      <c r="K24" s="1337" t="s">
        <v>1459</v>
      </c>
      <c r="L24" s="1335" t="s">
        <v>1455</v>
      </c>
      <c r="M24" s="1331"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6" t="s">
        <v>1460</v>
      </c>
      <c r="B25" s="346" t="s">
        <v>1461</v>
      </c>
      <c r="C25" s="24"/>
      <c r="D25" s="139" t="s">
        <v>1462</v>
      </c>
      <c r="E25" s="2930"/>
      <c r="F25" s="26"/>
      <c r="G25" s="1844"/>
      <c r="H25" s="1324" t="s">
        <v>1031</v>
      </c>
      <c r="I25" s="1339" t="s">
        <v>1463</v>
      </c>
      <c r="J25" s="354" t="e">
        <f ca="1">J5-J16</f>
        <v>#N/A</v>
      </c>
      <c r="K25" s="1340" t="s">
        <v>1464</v>
      </c>
      <c r="L25" s="1341"/>
      <c r="M25" s="1342"/>
    </row>
    <row r="26" spans="1:37">
      <c r="A26" s="1196" t="s">
        <v>1034</v>
      </c>
      <c r="B26" s="346" t="s">
        <v>1465</v>
      </c>
      <c r="C26" s="24" t="e">
        <f ca="1">ROUND((C19+C20)*F26,0)</f>
        <v>#N/A</v>
      </c>
      <c r="D26" s="368" t="s">
        <v>1466</v>
      </c>
      <c r="E26" s="357" t="s">
        <v>1467</v>
      </c>
      <c r="F26" s="356" t="e">
        <f ca="1">INDIRECT("'数据-取费表'!q"&amp;$G$1)</f>
        <v>#N/A</v>
      </c>
      <c r="G26" s="1844"/>
      <c r="H26" s="343" t="s">
        <v>1032</v>
      </c>
      <c r="I26" s="344" t="s">
        <v>1468</v>
      </c>
      <c r="J26" s="345" t="e">
        <f ca="1">IF(J5&lt;&gt;0,ROUND(J25*(1-((1+M28)/(1+M26))^M27)/(M26-M28),0),0)</f>
        <v>#N/A</v>
      </c>
      <c r="K26" s="369" t="s">
        <v>1469</v>
      </c>
      <c r="L26" s="346" t="s">
        <v>1470</v>
      </c>
      <c r="M26" s="356" t="e">
        <f ca="1">INDIRECT("'数据-取费表'!I"&amp;$G$1)</f>
        <v>#N/A</v>
      </c>
    </row>
    <row r="27" spans="1:37" ht="18" customHeight="1">
      <c r="A27" s="1196" t="s">
        <v>1036</v>
      </c>
      <c r="B27" s="346" t="s">
        <v>1471</v>
      </c>
      <c r="C27" s="24" t="e">
        <f ca="1">ROUND(F21*F26,4)</f>
        <v>#N/A</v>
      </c>
      <c r="D27" s="368" t="s">
        <v>1472</v>
      </c>
      <c r="E27" s="364"/>
      <c r="F27" s="365"/>
      <c r="G27" s="1844"/>
      <c r="H27" s="348"/>
      <c r="I27" s="349"/>
      <c r="J27" s="350"/>
      <c r="K27" s="377" t="s">
        <v>1473</v>
      </c>
      <c r="L27" s="346" t="s">
        <v>1474</v>
      </c>
      <c r="M27" s="378" t="e">
        <f ca="1">INDIRECT("'数据-取费表'!ag"&amp;$G$1)</f>
        <v>#N/A</v>
      </c>
    </row>
    <row r="28" spans="1:37" s="1851" customFormat="1" ht="18" customHeight="1">
      <c r="A28" s="1196" t="s">
        <v>1037</v>
      </c>
      <c r="B28" s="346" t="s">
        <v>1475</v>
      </c>
      <c r="C28" s="24">
        <f>ROUND(F28/(1+'数据-取费表'!C42),4)</f>
        <v>5.33E-2</v>
      </c>
      <c r="D28" s="368" t="s">
        <v>1476</v>
      </c>
      <c r="E28" s="346" t="s">
        <v>1422</v>
      </c>
      <c r="F28" s="366">
        <f>'数据-取费表'!B41</f>
        <v>5.6000000000000001E-2</v>
      </c>
      <c r="G28" s="1847"/>
      <c r="H28" s="352"/>
      <c r="I28" s="353"/>
      <c r="J28" s="354"/>
      <c r="K28" s="372"/>
      <c r="L28" s="346" t="s">
        <v>1477</v>
      </c>
      <c r="M28" s="356"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1038</v>
      </c>
      <c r="B29" s="1335" t="s">
        <v>1478</v>
      </c>
      <c r="C29" s="1336" t="e">
        <f ca="1">ROUND((C19+C20+C23+C26)/(1-F21-C24-C27-C28),0)</f>
        <v>#N/A</v>
      </c>
      <c r="D29" s="1337"/>
      <c r="E29" s="1335"/>
      <c r="F29" s="1338"/>
      <c r="G29" s="1847"/>
      <c r="H29" s="379" t="s">
        <v>1033</v>
      </c>
      <c r="I29" s="380" t="s">
        <v>1479</v>
      </c>
      <c r="J29" s="381" t="e">
        <f ca="1">ROUND(J26/(1+F40)^F41,0)</f>
        <v>#N/A</v>
      </c>
      <c r="K29" s="382" t="s">
        <v>1480</v>
      </c>
      <c r="L29" s="383"/>
      <c r="M29" s="384"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1030</v>
      </c>
      <c r="B30" s="1325" t="s">
        <v>1424</v>
      </c>
      <c r="C30" s="354" t="e">
        <f ca="1">ROUND(C31+C36+C37+C38,0)</f>
        <v>#N/A</v>
      </c>
      <c r="D30" s="1332" t="s">
        <v>1425</v>
      </c>
      <c r="E30" s="2927"/>
      <c r="F30" s="1289"/>
      <c r="G30" s="1844"/>
      <c r="H30" s="743"/>
      <c r="I30" s="744"/>
      <c r="J30" s="745"/>
      <c r="K30" s="746"/>
      <c r="L30" s="747"/>
      <c r="M30" s="748"/>
    </row>
    <row r="31" spans="1:37" ht="18" customHeight="1">
      <c r="A31" s="1196" t="s">
        <v>1035</v>
      </c>
      <c r="B31" s="346" t="s">
        <v>1429</v>
      </c>
      <c r="C31" s="24" t="e">
        <f ca="1">ROUND(IF(项目基本情况!B11="自然人",C5*F31,C32+C33+C34),1)</f>
        <v>#N/A</v>
      </c>
      <c r="D31" s="2926" t="s">
        <v>1430</v>
      </c>
      <c r="E31" s="2925" t="s">
        <v>1481</v>
      </c>
      <c r="F31" s="367" t="str">
        <f ca="1">IF(项目基本情况!B11="企业","",IF(INDIRECT("'数据-取费表'!c"&amp;$G$1)="住宅",5%,IF(F6*F7*F8/12/(1+'数据-取费表'!C42)&gt;20000,12%,7%)))</f>
        <v/>
      </c>
      <c r="G31" s="1844"/>
      <c r="H31" s="743"/>
      <c r="I31" s="744"/>
      <c r="J31" s="745"/>
      <c r="K31" s="746"/>
      <c r="L31" s="747"/>
      <c r="M31" s="748"/>
    </row>
    <row r="32" spans="1:37" ht="18" customHeight="1">
      <c r="A32" s="1196" t="s">
        <v>1034</v>
      </c>
      <c r="B32" s="346" t="s">
        <v>1433</v>
      </c>
      <c r="C32" s="24" t="e">
        <f ca="1">IF(项目基本情况!B11="自然人","——",ROUND(C5*F32/(1+'数据-取费表'!C42),2))</f>
        <v>#N/A</v>
      </c>
      <c r="D32" s="2925" t="s">
        <v>1434</v>
      </c>
      <c r="E32" s="346" t="s">
        <v>1422</v>
      </c>
      <c r="F32" s="376">
        <f>'数据-取费表'!B41</f>
        <v>5.6000000000000001E-2</v>
      </c>
      <c r="G32" s="1844"/>
      <c r="H32" s="743"/>
      <c r="I32" s="744"/>
      <c r="J32" s="745"/>
      <c r="K32" s="746"/>
      <c r="L32" s="747"/>
      <c r="M32" s="748"/>
    </row>
    <row r="33" spans="1:18" ht="18" customHeight="1">
      <c r="A33" s="1196" t="s">
        <v>1036</v>
      </c>
      <c r="B33" s="346" t="s">
        <v>1437</v>
      </c>
      <c r="C33" s="24" t="e">
        <f ca="1">IF(项目基本情况!B11="自然人","——",IF(D33="按租金收入计税",ROUND(C5*F33,2),IF(D33="按房产原值计税",ROUND(C29*F33*0.7,2),INDIRECT("'数据-取费表'!Aj"&amp;$G$1))))</f>
        <v>#N/A</v>
      </c>
      <c r="D33" s="1821" t="s">
        <v>3224</v>
      </c>
      <c r="E33" s="346" t="s">
        <v>1422</v>
      </c>
      <c r="F33" s="366">
        <f>IF(D33="按票据","——",IF(D33="按租金收入计税",'数据-取费表'!B51,'数据-取费表'!B50))</f>
        <v>0.12</v>
      </c>
      <c r="G33" s="1844"/>
      <c r="H33" s="1852"/>
      <c r="I33" s="1853"/>
      <c r="J33" s="1854"/>
      <c r="K33" s="1855"/>
      <c r="L33" s="1852"/>
      <c r="M33" s="1852"/>
    </row>
    <row r="34" spans="1:18" ht="18" customHeight="1">
      <c r="A34" s="1286" t="s">
        <v>1389</v>
      </c>
      <c r="B34" s="163" t="s">
        <v>1441</v>
      </c>
      <c r="C34" s="25" t="e">
        <f ca="1">IF(项目基本情况!B11="自然人","——",ROUND(F34*F35/10000,2))</f>
        <v>#N/A</v>
      </c>
      <c r="D34" s="369" t="s">
        <v>1442</v>
      </c>
      <c r="E34" s="346" t="s">
        <v>1443</v>
      </c>
      <c r="F34" s="370">
        <f>'数据-取费表'!B52</f>
        <v>1.5</v>
      </c>
      <c r="G34" s="1844"/>
      <c r="H34" s="743"/>
      <c r="I34" s="1853"/>
      <c r="J34" s="1854"/>
      <c r="K34" s="1856"/>
      <c r="L34" s="1857"/>
      <c r="M34" s="1857"/>
    </row>
    <row r="35" spans="1:18" ht="18" customHeight="1">
      <c r="A35" s="1348"/>
      <c r="B35" s="1346"/>
      <c r="C35" s="29"/>
      <c r="D35" s="372"/>
      <c r="E35" s="346" t="s">
        <v>1447</v>
      </c>
      <c r="F35" s="347" t="e">
        <f ca="1">INDIRECT("'数据-取费表'!r"&amp;$G$1)</f>
        <v>#N/A</v>
      </c>
      <c r="G35" s="1844"/>
      <c r="H35" s="743"/>
      <c r="I35" s="1853"/>
      <c r="J35" s="1854"/>
      <c r="K35" s="1855"/>
      <c r="L35" s="1852"/>
      <c r="M35" s="1852"/>
    </row>
    <row r="36" spans="1:18" ht="18" customHeight="1">
      <c r="A36" s="1347" t="s">
        <v>1039</v>
      </c>
      <c r="B36" s="346" t="s">
        <v>1449</v>
      </c>
      <c r="C36" s="24" t="e">
        <f ca="1">ROUND(C29*F36,1)</f>
        <v>#N/A</v>
      </c>
      <c r="D36" s="2925" t="s">
        <v>1482</v>
      </c>
      <c r="E36" s="346" t="s">
        <v>1422</v>
      </c>
      <c r="F36" s="373" t="e">
        <f ca="1">INDIRECT("'数据-取费表'!Ak"&amp;$G$1)</f>
        <v>#N/A</v>
      </c>
      <c r="G36" s="1844"/>
      <c r="H36" s="1852"/>
      <c r="I36" s="1853"/>
      <c r="J36" s="1854"/>
      <c r="K36" s="749"/>
      <c r="L36" s="1852"/>
      <c r="M36" s="1852"/>
    </row>
    <row r="37" spans="1:18" ht="18" customHeight="1">
      <c r="A37" s="1196" t="s">
        <v>1075</v>
      </c>
      <c r="B37" s="346" t="s">
        <v>1453</v>
      </c>
      <c r="C37" s="24" t="e">
        <f ca="1">ROUND(C13*F37,1)</f>
        <v>#N/A</v>
      </c>
      <c r="D37" s="2925" t="s">
        <v>1454</v>
      </c>
      <c r="E37" s="346" t="s">
        <v>1455</v>
      </c>
      <c r="F37" s="375" t="e">
        <f ca="1">INDIRECT("'数据-取费表'!Al"&amp;$G$1)</f>
        <v>#N/A</v>
      </c>
      <c r="G37" s="1844"/>
      <c r="H37" s="1852"/>
      <c r="I37" s="1853"/>
      <c r="J37" s="1854"/>
      <c r="K37" s="749"/>
      <c r="L37" s="1852"/>
      <c r="M37" s="1852"/>
    </row>
    <row r="38" spans="1:18" ht="18" customHeight="1" thickBot="1">
      <c r="A38" s="1334" t="s">
        <v>1392</v>
      </c>
      <c r="B38" s="1335" t="s">
        <v>1439</v>
      </c>
      <c r="C38" s="1336" t="e">
        <f ca="1">ROUND(C5*F38,1)</f>
        <v>#N/A</v>
      </c>
      <c r="D38" s="1337" t="s">
        <v>1459</v>
      </c>
      <c r="E38" s="1335" t="s">
        <v>1455</v>
      </c>
      <c r="F38" s="1331" t="e">
        <f ca="1">INDIRECT("'数据-取费表'!Am"&amp;$G$1)</f>
        <v>#N/A</v>
      </c>
      <c r="G38" s="1844"/>
      <c r="H38" s="1852"/>
      <c r="I38" s="1853"/>
      <c r="J38" s="1854"/>
      <c r="K38" s="1858"/>
      <c r="L38" s="1852"/>
      <c r="M38" s="1852"/>
    </row>
    <row r="39" spans="1:18" ht="24.6" customHeight="1" thickTop="1">
      <c r="A39" s="1324" t="s">
        <v>1031</v>
      </c>
      <c r="B39" s="1339" t="s">
        <v>1483</v>
      </c>
      <c r="C39" s="354" t="e">
        <f ca="1">C5-C30</f>
        <v>#N/A</v>
      </c>
      <c r="D39" s="1340" t="s">
        <v>1464</v>
      </c>
      <c r="E39" s="1341"/>
      <c r="F39" s="1342"/>
      <c r="G39" s="1844"/>
      <c r="H39" s="1852"/>
      <c r="I39" s="1853"/>
      <c r="J39" s="1854"/>
      <c r="K39" s="1858"/>
      <c r="L39" s="1852"/>
      <c r="M39" s="1852"/>
    </row>
    <row r="40" spans="1:18" ht="18" customHeight="1">
      <c r="A40" s="343" t="s">
        <v>1032</v>
      </c>
      <c r="B40" s="344" t="s">
        <v>1485</v>
      </c>
      <c r="C40" s="345" t="e">
        <f ca="1">ROUND(C39*(1-((1+F42)/(1+F40))^F41)/(F40-F42),0)</f>
        <v>#N/A</v>
      </c>
      <c r="D40" s="369" t="s">
        <v>1469</v>
      </c>
      <c r="E40" s="346" t="s">
        <v>1470</v>
      </c>
      <c r="F40" s="356" t="e">
        <f ca="1">INDIRECT("'数据-取费表'!I"&amp;$G$1)</f>
        <v>#N/A</v>
      </c>
      <c r="G40" s="1844"/>
      <c r="H40" s="1832"/>
      <c r="I40" s="1853"/>
      <c r="J40" s="1854"/>
      <c r="K40" s="1858"/>
      <c r="L40" s="1832"/>
      <c r="M40" s="1832"/>
    </row>
    <row r="41" spans="1:18" ht="18" customHeight="1">
      <c r="A41" s="348"/>
      <c r="B41" s="349"/>
      <c r="C41" s="350"/>
      <c r="D41" s="377" t="s">
        <v>1486</v>
      </c>
      <c r="E41" s="346" t="s">
        <v>1474</v>
      </c>
      <c r="F41" s="378" t="e">
        <f ca="1">IF(INDIRECT("'数据-取费表'!af"&amp;$G$1)=0,INDIRECT("'数据-取费表'!ae"&amp;$G$1),INDIRECT("'数据-取费表'!af"&amp;$G$1))</f>
        <v>#N/A</v>
      </c>
      <c r="G41" s="1844"/>
      <c r="H41" s="730"/>
      <c r="I41" s="1853"/>
      <c r="J41" s="1854"/>
      <c r="K41" s="749"/>
      <c r="L41" s="730"/>
      <c r="M41" s="730"/>
    </row>
    <row r="42" spans="1:18" ht="18" customHeight="1">
      <c r="A42" s="352"/>
      <c r="B42" s="353"/>
      <c r="C42" s="354"/>
      <c r="D42" s="372"/>
      <c r="E42" s="346" t="s">
        <v>1477</v>
      </c>
      <c r="F42" s="356" t="e">
        <f ca="1">INDIRECT("'数据-取费表'!v"&amp;$G$1)</f>
        <v>#N/A</v>
      </c>
      <c r="G42" s="1844"/>
      <c r="H42" s="730"/>
      <c r="I42" s="1853"/>
      <c r="J42" s="1854"/>
      <c r="K42" s="749"/>
      <c r="L42" s="730"/>
      <c r="M42" s="730"/>
    </row>
    <row r="43" spans="1:18" ht="18" customHeight="1" thickBot="1">
      <c r="A43" s="379" t="s">
        <v>1033</v>
      </c>
      <c r="B43" s="380" t="s">
        <v>1487</v>
      </c>
      <c r="C43" s="381" t="e">
        <f ca="1">ROUND(C40*10000/F43,0)</f>
        <v>#N/A</v>
      </c>
      <c r="D43" s="382" t="s">
        <v>1488</v>
      </c>
      <c r="E43" s="383" t="s">
        <v>1489</v>
      </c>
      <c r="F43" s="384" t="e">
        <f ca="1">INDIRECT("'数据-取费表'!k"&amp;$G$1)</f>
        <v>#N/A</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4"/>
      <c r="O45" s="1862" t="s">
        <v>1519</v>
      </c>
      <c r="P45" s="1832"/>
      <c r="Q45" s="1832"/>
      <c r="R45" s="1832"/>
    </row>
    <row r="46" spans="1:18" s="1835" customFormat="1" ht="13.5" thickBot="1">
      <c r="A46" s="1863" t="s">
        <v>1520</v>
      </c>
      <c r="C46" s="1864" t="e">
        <f ca="1">C68-C40</f>
        <v>#N/A</v>
      </c>
      <c r="D46" s="1865" t="str">
        <f>C2</f>
        <v>万元</v>
      </c>
      <c r="E46" s="1859"/>
      <c r="F46" s="1859"/>
      <c r="I46" s="1866" t="s">
        <v>1521</v>
      </c>
      <c r="J46" s="1867"/>
      <c r="K46" s="1868"/>
      <c r="L46" s="1869" t="e">
        <f ca="1">IF(M47="住宅",0,IF(L48&gt;J51,L60,J60))</f>
        <v>#N/A</v>
      </c>
      <c r="O46" s="1870" t="s">
        <v>1522</v>
      </c>
      <c r="P46" s="1871" t="s">
        <v>1523</v>
      </c>
      <c r="Q46" s="1872" t="s">
        <v>1524</v>
      </c>
      <c r="R46" s="1872" t="s">
        <v>1525</v>
      </c>
    </row>
    <row r="47" spans="1:18" s="1835" customFormat="1" ht="13.5" thickBot="1">
      <c r="A47" s="1160" t="s">
        <v>1396</v>
      </c>
      <c r="B47" s="1192" t="s">
        <v>1397</v>
      </c>
      <c r="C47" s="1362" t="s">
        <v>1398</v>
      </c>
      <c r="D47" s="1192" t="s">
        <v>1399</v>
      </c>
      <c r="E47" s="1274" t="s">
        <v>1400</v>
      </c>
      <c r="F47" s="1275"/>
      <c r="G47" s="790"/>
      <c r="I47" s="1873" t="s">
        <v>1526</v>
      </c>
      <c r="J47" s="1874" t="s">
        <v>3123</v>
      </c>
      <c r="K47" s="1875" t="s">
        <v>1527</v>
      </c>
      <c r="L47" s="1876" t="e">
        <f ca="1">INDIRECT("'数据-取费表'!d"&amp;$G$1)</f>
        <v>#N/A</v>
      </c>
      <c r="M47" s="1831" t="str">
        <f>IF(ISNUMBER(FIND("住宅",C1)),"住宅","非住宅")</f>
        <v>非住宅</v>
      </c>
      <c r="O47" s="1877" t="s">
        <v>1040</v>
      </c>
      <c r="P47" s="1878" t="s">
        <v>1528</v>
      </c>
      <c r="Q47" s="1879" t="e">
        <f ca="1">C40+J29</f>
        <v>#N/A</v>
      </c>
      <c r="R47" s="1879" t="s">
        <v>1529</v>
      </c>
    </row>
    <row r="48" spans="1:18" s="1835" customFormat="1" ht="28.5" thickBot="1">
      <c r="A48" s="1355" t="s">
        <v>1135</v>
      </c>
      <c r="B48" s="344" t="s">
        <v>1401</v>
      </c>
      <c r="C48" s="2929" t="e">
        <f ca="1">C49+C53+C55</f>
        <v>#N/A</v>
      </c>
      <c r="D48" s="1357"/>
      <c r="E48" s="1358"/>
      <c r="F48" s="1176"/>
      <c r="G48" s="790"/>
      <c r="H48" s="791"/>
      <c r="I48" s="1880" t="s">
        <v>1530</v>
      </c>
      <c r="J48" s="1881" t="s">
        <v>3124</v>
      </c>
      <c r="K48" s="1882" t="s">
        <v>1531</v>
      </c>
      <c r="L48" s="1883" t="e">
        <f ca="1">INDIRECT("'数据-取费表'!f"&amp;$G$1)</f>
        <v>#N/A</v>
      </c>
      <c r="O48" s="1877" t="s">
        <v>1041</v>
      </c>
      <c r="P48" s="1878" t="s">
        <v>1532</v>
      </c>
      <c r="Q48" s="1879" t="e">
        <f ca="1">J60</f>
        <v>#N/A</v>
      </c>
      <c r="R48" s="1879" t="s">
        <v>1533</v>
      </c>
    </row>
    <row r="49" spans="1:18" s="1835" customFormat="1" ht="13.5" thickBot="1">
      <c r="A49" s="1189" t="s">
        <v>1136</v>
      </c>
      <c r="B49" s="1822" t="s">
        <v>1490</v>
      </c>
      <c r="C49" s="1359" t="e">
        <f ca="1">ROUND(F49*F51*F50*(1-F52)/10000,0)</f>
        <v>#N/A</v>
      </c>
      <c r="D49" s="1271" t="s">
        <v>3013</v>
      </c>
      <c r="E49" s="1823" t="s">
        <v>1491</v>
      </c>
      <c r="F49" s="1276"/>
      <c r="G49" s="1884"/>
      <c r="H49" s="791"/>
      <c r="I49" s="1880" t="s">
        <v>1534</v>
      </c>
      <c r="J49" s="1885">
        <v>2017</v>
      </c>
      <c r="K49" s="1882" t="s">
        <v>1535</v>
      </c>
      <c r="L49" s="1886"/>
      <c r="O49" s="1887" t="s">
        <v>1042</v>
      </c>
      <c r="P49" s="1878" t="s">
        <v>1536</v>
      </c>
      <c r="Q49" s="1879" t="e">
        <f ca="1">C29</f>
        <v>#N/A</v>
      </c>
      <c r="R49" s="1879" t="s">
        <v>1529</v>
      </c>
    </row>
    <row r="50" spans="1:18" s="1835" customFormat="1" ht="13.5" thickBot="1">
      <c r="A50" s="1190"/>
      <c r="B50" s="1193"/>
      <c r="C50" s="1363"/>
      <c r="D50" s="1167"/>
      <c r="E50" s="1272" t="s">
        <v>1406</v>
      </c>
      <c r="F50" s="1273" t="e">
        <f ca="1">F7</f>
        <v>#N/A</v>
      </c>
      <c r="H50" s="791"/>
      <c r="I50" s="1880" t="s">
        <v>1537</v>
      </c>
      <c r="J50" s="1888">
        <f>SUMPRODUCT((I63:I65=J47)*(J62:L62=J48)*(J63:L65))</f>
        <v>60</v>
      </c>
      <c r="K50" s="1882" t="s">
        <v>1538</v>
      </c>
      <c r="L50" s="1886"/>
      <c r="M50" s="1889"/>
      <c r="O50" s="1887" t="s">
        <v>1043</v>
      </c>
      <c r="P50" s="1878" t="s">
        <v>1539</v>
      </c>
      <c r="Q50" s="1890" t="e">
        <f ca="1">J58</f>
        <v>#N/A</v>
      </c>
      <c r="R50" s="1879"/>
    </row>
    <row r="51" spans="1:18" s="1835" customFormat="1" ht="13.5" thickBot="1">
      <c r="A51" s="1191"/>
      <c r="B51" s="1193"/>
      <c r="C51" s="1194"/>
      <c r="D51" s="1167"/>
      <c r="E51" s="1195" t="s">
        <v>1407</v>
      </c>
      <c r="F51" s="347" t="e">
        <f ca="1">F8</f>
        <v>#N/A</v>
      </c>
      <c r="I51" s="1891" t="s">
        <v>1540</v>
      </c>
      <c r="J51" s="1892">
        <f>IF(J49="",J50,J49+J50-YEAR('数据-取费表'!B2))</f>
        <v>59</v>
      </c>
      <c r="K51" s="1893" t="s">
        <v>1541</v>
      </c>
      <c r="L51" s="1894" t="e">
        <f ca="1">ROUND(-PV(INDIRECT("'数据-取费表'!h"&amp;$G$1),L48,(C39-C13*C76),0),0)</f>
        <v>#N/A</v>
      </c>
      <c r="M51" s="1895"/>
      <c r="O51" s="1887" t="s">
        <v>1044</v>
      </c>
      <c r="P51" s="1878" t="s">
        <v>1542</v>
      </c>
      <c r="Q51" s="1890">
        <f>J52</f>
        <v>9.0000000000000011E-2</v>
      </c>
      <c r="R51" s="1879"/>
    </row>
    <row r="52" spans="1:18" s="1835" customFormat="1" ht="13.5" thickBot="1">
      <c r="A52" s="1191"/>
      <c r="B52" s="1193"/>
      <c r="C52" s="1194"/>
      <c r="D52" s="1167"/>
      <c r="E52" s="1195" t="s">
        <v>1408</v>
      </c>
      <c r="F52" s="1270"/>
      <c r="I52" s="1896" t="s">
        <v>1543</v>
      </c>
      <c r="J52" s="1897">
        <f>'数据-取费表'!J6+0.005</f>
        <v>9.0000000000000011E-2</v>
      </c>
      <c r="K52" s="1896" t="s">
        <v>1544</v>
      </c>
      <c r="L52" s="1897"/>
      <c r="O52" s="1887" t="s">
        <v>1045</v>
      </c>
      <c r="P52" s="1878" t="s">
        <v>1545</v>
      </c>
      <c r="Q52" s="1879" t="e">
        <f ca="1">J53</f>
        <v>#N/A</v>
      </c>
      <c r="R52" s="1879" t="s">
        <v>1546</v>
      </c>
    </row>
    <row r="53" spans="1:18" s="1835" customFormat="1" ht="24.75" thickBot="1">
      <c r="A53" s="1400" t="s">
        <v>1137</v>
      </c>
      <c r="B53" s="1824" t="s">
        <v>1409</v>
      </c>
      <c r="C53" s="360">
        <f ca="1">ROUND(IF(F53="押一",C49/12*F11,IF(F53="押二",C49/12*2*F11,IF(F53="押三",C49/12*3*F11,C54*F11))),0)</f>
        <v>0</v>
      </c>
      <c r="D53" s="1817" t="s">
        <v>3020</v>
      </c>
      <c r="E53" s="357" t="s">
        <v>1410</v>
      </c>
      <c r="F53" s="1361"/>
      <c r="I53" s="1898" t="s">
        <v>1547</v>
      </c>
      <c r="J53" s="1899" t="e">
        <f ca="1">IF(M47="住宅",J51,IF(D1="——",MIN(J51,L48),IF(D1="在建（套用方法）",MIN(J51,L48-'数据-取费表'!B24),IF(D1="土地（套用方法）",MIN(J51,L48-'数据-取费表'!B20)))))</f>
        <v>#N/A</v>
      </c>
      <c r="K53" s="3249" t="s">
        <v>1548</v>
      </c>
      <c r="L53" s="3250"/>
      <c r="O53" s="1877" t="s">
        <v>1046</v>
      </c>
      <c r="P53" s="1878" t="s">
        <v>1549</v>
      </c>
      <c r="Q53" s="1879" t="e">
        <f ca="1">Q47+Q48</f>
        <v>#N/A</v>
      </c>
      <c r="R53" s="1879" t="s">
        <v>1047</v>
      </c>
    </row>
    <row r="54" spans="1:18" s="1835" customFormat="1" ht="13.5" thickBot="1">
      <c r="A54" s="1401"/>
      <c r="B54" s="1818" t="s">
        <v>1388</v>
      </c>
      <c r="C54" s="1173"/>
      <c r="D54" s="1817"/>
      <c r="E54" s="2928"/>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1550</v>
      </c>
      <c r="P54" s="1832"/>
      <c r="Q54" s="1832"/>
      <c r="R54" s="1832"/>
    </row>
    <row r="55" spans="1:18" s="1835" customFormat="1" ht="13.5" thickBot="1">
      <c r="A55" s="1328" t="s">
        <v>1075</v>
      </c>
      <c r="B55" s="1820" t="s">
        <v>1413</v>
      </c>
      <c r="C55" s="1329"/>
      <c r="D55" s="1817"/>
      <c r="E55" s="2928"/>
      <c r="F55" s="1900"/>
      <c r="I55" s="1903" t="s">
        <v>1551</v>
      </c>
      <c r="J55" s="1904" t="e">
        <f ca="1">ROUND(IF(J47="钢混",J57/J50,1-(1-2%)*(J50-J57)/J50),3)</f>
        <v>#N/A</v>
      </c>
      <c r="K55" s="1905" t="s">
        <v>1552</v>
      </c>
      <c r="L55" s="1906" t="s">
        <v>1553</v>
      </c>
      <c r="O55" s="1870" t="s">
        <v>1522</v>
      </c>
      <c r="P55" s="1871" t="s">
        <v>1523</v>
      </c>
      <c r="Q55" s="1872" t="s">
        <v>1524</v>
      </c>
      <c r="R55" s="1872" t="s">
        <v>1525</v>
      </c>
    </row>
    <row r="56" spans="1:18" s="1835" customFormat="1" ht="25.5" thickTop="1" thickBot="1">
      <c r="A56" s="1171">
        <v>2</v>
      </c>
      <c r="B56" s="1172" t="s">
        <v>1414</v>
      </c>
      <c r="C56" s="275" t="e">
        <f ca="1">C13</f>
        <v>#N/A</v>
      </c>
      <c r="D56" s="1907"/>
      <c r="E56" s="1908"/>
      <c r="F56" s="1900"/>
      <c r="I56" s="1909" t="s">
        <v>1554</v>
      </c>
      <c r="J56" s="1910" t="s">
        <v>3033</v>
      </c>
      <c r="K56" s="1880" t="s">
        <v>1555</v>
      </c>
      <c r="L56" s="1883" t="e">
        <f ca="1">IF(L48&lt;J51,"——",L48-J53)</f>
        <v>#N/A</v>
      </c>
      <c r="O56" s="1877" t="s">
        <v>1040</v>
      </c>
      <c r="P56" s="1878" t="s">
        <v>1528</v>
      </c>
      <c r="Q56" s="1879" t="e">
        <f ca="1">C40+J29</f>
        <v>#N/A</v>
      </c>
      <c r="R56" s="1879" t="s">
        <v>1529</v>
      </c>
    </row>
    <row r="57" spans="1:18" s="1835" customFormat="1" ht="24.75" thickBot="1">
      <c r="A57" s="1911"/>
      <c r="B57" s="1164" t="s">
        <v>1478</v>
      </c>
      <c r="C57" s="281" t="e">
        <f ca="1">C29</f>
        <v>#N/A</v>
      </c>
      <c r="D57" s="1912"/>
      <c r="E57" s="1913"/>
      <c r="F57" s="1914"/>
      <c r="I57" s="1915" t="s">
        <v>1556</v>
      </c>
      <c r="J57" s="1916" t="e">
        <f ca="1">IF(OR(M47="住宅",J51&lt;L48,J56="是"),"——",J51-L48)</f>
        <v>#N/A</v>
      </c>
      <c r="K57" s="1880" t="s">
        <v>1557</v>
      </c>
      <c r="L57" s="1883" t="e">
        <f ca="1">IF(L48&lt;J51,"——",IF(L55="比较法",L49,IF(L55="基准地价",L50,L51)))</f>
        <v>#N/A</v>
      </c>
      <c r="O57" s="1877" t="s">
        <v>1041</v>
      </c>
      <c r="P57" s="1878" t="s">
        <v>1558</v>
      </c>
      <c r="Q57" s="1879" t="e">
        <f ca="1">L60</f>
        <v>#N/A</v>
      </c>
      <c r="R57" s="1879" t="s">
        <v>1559</v>
      </c>
    </row>
    <row r="58" spans="1:18" s="1835" customFormat="1" ht="24.75" thickBot="1">
      <c r="A58" s="359" t="s">
        <v>1030</v>
      </c>
      <c r="B58" s="1172" t="s">
        <v>1424</v>
      </c>
      <c r="C58" s="360" t="e">
        <f ca="1">ROUND(C59+C64+C65+C66,0)</f>
        <v>#N/A</v>
      </c>
      <c r="D58" s="1174" t="s">
        <v>1425</v>
      </c>
      <c r="E58" s="1175"/>
      <c r="F58" s="1176"/>
      <c r="I58" s="1915" t="s">
        <v>1560</v>
      </c>
      <c r="J58" s="1917" t="e">
        <f ca="1">IF(J55&lt;0.4,0.4,J55)</f>
        <v>#N/A</v>
      </c>
      <c r="K58" s="1893" t="s">
        <v>1561</v>
      </c>
      <c r="L58" s="1883" t="e">
        <f ca="1">ROUND(POWER(1+L52,L47-L48)*(POWER(1+L52,L48)-1)/(POWER(1+L52,L47)-1),4)</f>
        <v>#N/A</v>
      </c>
      <c r="O58" s="1887" t="s">
        <v>1042</v>
      </c>
      <c r="P58" s="1878" t="s">
        <v>1562</v>
      </c>
      <c r="Q58" s="1879">
        <f>IF(L55="比较法",L49,IF(L55="基准地价",L50,0))</f>
        <v>0</v>
      </c>
      <c r="R58" s="1879" t="s">
        <v>1529</v>
      </c>
    </row>
    <row r="59" spans="1:18" s="1835" customFormat="1" ht="24.75" thickBot="1">
      <c r="A59" s="1196" t="s">
        <v>1035</v>
      </c>
      <c r="B59" s="1164" t="s">
        <v>1429</v>
      </c>
      <c r="C59" s="24" t="e">
        <f ca="1">ROUND(IF(项目基本情况!B11="自然人",C48*F59,C60+C61+C62),1)</f>
        <v>#N/A</v>
      </c>
      <c r="D59" s="1177" t="s">
        <v>1430</v>
      </c>
      <c r="E59" s="1178" t="s">
        <v>1431</v>
      </c>
      <c r="F59" s="367" t="str">
        <f ca="1">IF(项目基本情况!B11="企业","",IF(INDIRECT("'数据-取费表'!c"&amp;$G$1)="住宅",5%,IF(F49*F50*F51/12/(1+'数据-取费表'!C42)&gt;20000,12%,7%)))</f>
        <v/>
      </c>
      <c r="I59" s="1915" t="s">
        <v>1563</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1043</v>
      </c>
      <c r="P59" s="1878" t="s">
        <v>1564</v>
      </c>
      <c r="Q59" s="1890">
        <f>L52</f>
        <v>0</v>
      </c>
      <c r="R59" s="1879"/>
    </row>
    <row r="60" spans="1:18" s="1835" customFormat="1" ht="16.5" thickBot="1">
      <c r="A60" s="1196" t="s">
        <v>1034</v>
      </c>
      <c r="B60" s="1164" t="s">
        <v>1433</v>
      </c>
      <c r="C60" s="24" t="e">
        <f ca="1">IF(项目基本情况!B11="自然人","——",ROUND(C48*F60/(1+'数据-取费表'!C42),2))</f>
        <v>#N/A</v>
      </c>
      <c r="D60" s="1178" t="s">
        <v>1434</v>
      </c>
      <c r="E60" s="1164" t="s">
        <v>1422</v>
      </c>
      <c r="F60" s="376">
        <f t="shared" ref="F60:F66" si="0">F32</f>
        <v>5.6000000000000001E-2</v>
      </c>
      <c r="I60" s="1918" t="s">
        <v>1565</v>
      </c>
      <c r="J60" s="1919" t="e">
        <f ca="1">IF(OR(M47="住宅",J51&lt;L48,J56="是"),"0",ROUND(J59/(1+J52)^J53,0))</f>
        <v>#N/A</v>
      </c>
      <c r="K60" s="1920" t="s">
        <v>1566</v>
      </c>
      <c r="L60" s="1919" t="e">
        <f ca="1">IF(OR(M47="住宅",L48&lt;J51),0,ROUND(L57*(L58/L59-1),0))</f>
        <v>#N/A</v>
      </c>
      <c r="O60" s="1887" t="s">
        <v>1044</v>
      </c>
      <c r="P60" s="1878" t="s">
        <v>1567</v>
      </c>
      <c r="Q60" s="1879" t="e">
        <f ca="1">L58</f>
        <v>#N/A</v>
      </c>
      <c r="R60" s="1879" t="s">
        <v>1568</v>
      </c>
    </row>
    <row r="61" spans="1:18" s="1835" customFormat="1" ht="13.5" thickBot="1">
      <c r="A61" s="1196" t="s">
        <v>1492</v>
      </c>
      <c r="B61" s="1164" t="s">
        <v>1493</v>
      </c>
      <c r="C61" s="24" t="e">
        <f ca="1">IF(项目基本情况!B11="自然人","——",IF(D61="按租金收入计税",ROUND(C48*F61,2),IF(D61="按房产原值计税",ROUND(C57*F61*0.7,2),INDIRECT("'数据-取费表'!Aj"&amp;$G$1))))</f>
        <v>#N/A</v>
      </c>
      <c r="D61" s="1821" t="s">
        <v>1438</v>
      </c>
      <c r="E61" s="1164" t="s">
        <v>1494</v>
      </c>
      <c r="F61" s="366">
        <f t="shared" si="0"/>
        <v>0.12</v>
      </c>
      <c r="I61" s="1921"/>
      <c r="J61" s="1921"/>
      <c r="K61" s="1921"/>
      <c r="L61" s="1921"/>
      <c r="O61" s="1887" t="s">
        <v>1045</v>
      </c>
      <c r="P61" s="1878" t="str">
        <f>K59</f>
        <v>建筑物剩余耐用年限下的土地年期修正系数Kn</v>
      </c>
      <c r="Q61" s="1879" t="e">
        <f ca="1">L59</f>
        <v>#N/A</v>
      </c>
      <c r="R61" s="1879" t="s">
        <v>1569</v>
      </c>
    </row>
    <row r="62" spans="1:18" s="1835" customFormat="1" ht="13.5" thickBot="1">
      <c r="A62" s="1196" t="s">
        <v>1495</v>
      </c>
      <c r="B62" s="1163" t="s">
        <v>1496</v>
      </c>
      <c r="C62" s="25" t="e">
        <f ca="1">IF(项目基本情况!B11="自然人","——",ROUND(F62*F63/10000,2))</f>
        <v>#N/A</v>
      </c>
      <c r="D62" s="1179" t="s">
        <v>1497</v>
      </c>
      <c r="E62" s="1164" t="s">
        <v>1498</v>
      </c>
      <c r="F62" s="370">
        <f t="shared" si="0"/>
        <v>1.5</v>
      </c>
      <c r="I62" s="1922" t="s">
        <v>1570</v>
      </c>
      <c r="J62" s="1923" t="s">
        <v>1571</v>
      </c>
      <c r="K62" s="1923" t="s">
        <v>1572</v>
      </c>
      <c r="L62" s="1923" t="s">
        <v>1573</v>
      </c>
      <c r="M62" s="1924" t="s">
        <v>1574</v>
      </c>
      <c r="O62" s="1877" t="s">
        <v>1046</v>
      </c>
      <c r="P62" s="1878" t="s">
        <v>1575</v>
      </c>
      <c r="Q62" s="1879" t="e">
        <f ca="1">Q56+Q57</f>
        <v>#N/A</v>
      </c>
      <c r="R62" s="1879" t="s">
        <v>1047</v>
      </c>
    </row>
    <row r="63" spans="1:18" s="1835" customFormat="1" ht="13.5" thickBot="1">
      <c r="A63" s="371"/>
      <c r="B63" s="1170"/>
      <c r="C63" s="29"/>
      <c r="D63" s="1180"/>
      <c r="E63" s="1164" t="s">
        <v>1499</v>
      </c>
      <c r="F63" s="347" t="e">
        <f t="shared" ca="1" si="0"/>
        <v>#N/A</v>
      </c>
      <c r="I63" s="1922" t="s">
        <v>1576</v>
      </c>
      <c r="J63" s="1923">
        <v>70</v>
      </c>
      <c r="K63" s="1923">
        <v>50</v>
      </c>
      <c r="L63" s="1923">
        <v>80</v>
      </c>
      <c r="M63" s="1925">
        <v>0.02</v>
      </c>
      <c r="O63" s="1862" t="s">
        <v>1577</v>
      </c>
      <c r="P63" s="1832"/>
      <c r="Q63" s="1832"/>
      <c r="R63" s="1832"/>
    </row>
    <row r="64" spans="1:18" s="1835" customFormat="1" ht="13.5" thickBot="1">
      <c r="A64" s="1196" t="s">
        <v>1500</v>
      </c>
      <c r="B64" s="1164" t="s">
        <v>1501</v>
      </c>
      <c r="C64" s="24" t="e">
        <f ca="1">ROUND(C57*F64,1)</f>
        <v>#N/A</v>
      </c>
      <c r="D64" s="1178" t="s">
        <v>1502</v>
      </c>
      <c r="E64" s="1164" t="s">
        <v>1494</v>
      </c>
      <c r="F64" s="373" t="e">
        <f t="shared" ca="1" si="0"/>
        <v>#N/A</v>
      </c>
      <c r="I64" s="1922" t="s">
        <v>1578</v>
      </c>
      <c r="J64" s="1923">
        <v>50</v>
      </c>
      <c r="K64" s="1923">
        <v>35</v>
      </c>
      <c r="L64" s="1923">
        <v>60</v>
      </c>
      <c r="M64" s="1924">
        <v>0</v>
      </c>
      <c r="O64" s="1870" t="s">
        <v>1522</v>
      </c>
      <c r="P64" s="1871" t="s">
        <v>1523</v>
      </c>
      <c r="Q64" s="1872" t="s">
        <v>1524</v>
      </c>
      <c r="R64" s="1872" t="s">
        <v>1525</v>
      </c>
    </row>
    <row r="65" spans="1:18" s="1835" customFormat="1" ht="13.5" thickBot="1">
      <c r="A65" s="1196" t="s">
        <v>1503</v>
      </c>
      <c r="B65" s="1164" t="s">
        <v>1453</v>
      </c>
      <c r="C65" s="24" t="e">
        <f ca="1">ROUND(C56*F65,1)</f>
        <v>#N/A</v>
      </c>
      <c r="D65" s="1178" t="s">
        <v>1454</v>
      </c>
      <c r="E65" s="1164" t="s">
        <v>1455</v>
      </c>
      <c r="F65" s="375" t="e">
        <f t="shared" ca="1" si="0"/>
        <v>#N/A</v>
      </c>
      <c r="I65" s="1922" t="s">
        <v>1579</v>
      </c>
      <c r="J65" s="1923">
        <v>40</v>
      </c>
      <c r="K65" s="1923">
        <v>30</v>
      </c>
      <c r="L65" s="1923">
        <v>50</v>
      </c>
      <c r="M65" s="1925">
        <v>0.02</v>
      </c>
      <c r="O65" s="1877" t="s">
        <v>1040</v>
      </c>
      <c r="P65" s="1878" t="s">
        <v>1528</v>
      </c>
      <c r="Q65" s="1879" t="e">
        <f ca="1">C40+J29</f>
        <v>#N/A</v>
      </c>
      <c r="R65" s="1879" t="s">
        <v>1529</v>
      </c>
    </row>
    <row r="66" spans="1:18" s="1835" customFormat="1" ht="16.5" thickBot="1">
      <c r="A66" s="1196" t="s">
        <v>1504</v>
      </c>
      <c r="B66" s="1164" t="s">
        <v>1439</v>
      </c>
      <c r="C66" s="24" t="e">
        <f ca="1">ROUND(C48*F66,1)</f>
        <v>#N/A</v>
      </c>
      <c r="D66" s="1178" t="s">
        <v>1459</v>
      </c>
      <c r="E66" s="1164" t="s">
        <v>1422</v>
      </c>
      <c r="F66" s="356" t="e">
        <f t="shared" ca="1" si="0"/>
        <v>#N/A</v>
      </c>
      <c r="O66" s="1877" t="s">
        <v>1041</v>
      </c>
      <c r="P66" s="1878" t="s">
        <v>1558</v>
      </c>
      <c r="Q66" s="1879" t="e">
        <f ca="1">L60</f>
        <v>#N/A</v>
      </c>
      <c r="R66" s="1879" t="s">
        <v>1581</v>
      </c>
    </row>
    <row r="67" spans="1:18" s="1835" customFormat="1" ht="16.5" thickBot="1">
      <c r="A67" s="1171" t="s">
        <v>1031</v>
      </c>
      <c r="B67" s="1181" t="s">
        <v>1463</v>
      </c>
      <c r="C67" s="360" t="e">
        <f ca="1">C48-C58</f>
        <v>#N/A</v>
      </c>
      <c r="D67" s="1177" t="s">
        <v>1464</v>
      </c>
      <c r="E67" s="1182"/>
      <c r="F67" s="1183"/>
      <c r="O67" s="1887" t="s">
        <v>1042</v>
      </c>
      <c r="P67" s="1878" t="s">
        <v>1562</v>
      </c>
      <c r="Q67" s="1926" t="e">
        <f ca="1">L51</f>
        <v>#N/A</v>
      </c>
      <c r="R67" s="1879" t="s">
        <v>1582</v>
      </c>
    </row>
    <row r="68" spans="1:18" s="1835" customFormat="1" ht="16.5" thickBot="1">
      <c r="A68" s="1161" t="s">
        <v>1032</v>
      </c>
      <c r="B68" s="1162" t="s">
        <v>1485</v>
      </c>
      <c r="C68" s="345" t="e">
        <f ca="1">ROUND(C67*(1-((1+F70)/(1+F68))^F69)/(F68-F70),0)</f>
        <v>#N/A</v>
      </c>
      <c r="D68" s="1179" t="s">
        <v>1469</v>
      </c>
      <c r="E68" s="1164" t="s">
        <v>1470</v>
      </c>
      <c r="F68" s="356" t="e">
        <f ca="1">F40</f>
        <v>#N/A</v>
      </c>
      <c r="O68" s="1887" t="s">
        <v>1043</v>
      </c>
      <c r="P68" s="1927" t="s">
        <v>1583</v>
      </c>
      <c r="Q68" s="1879" t="e">
        <f ca="1">ROUND(Q69-Q70*Q71,0)</f>
        <v>#N/A</v>
      </c>
      <c r="R68" s="1879" t="s">
        <v>1051</v>
      </c>
    </row>
    <row r="69" spans="1:18" s="1835" customFormat="1" ht="13.5" thickBot="1">
      <c r="A69" s="1165"/>
      <c r="B69" s="1166"/>
      <c r="C69" s="350"/>
      <c r="D69" s="1184" t="s">
        <v>1473</v>
      </c>
      <c r="E69" s="1164" t="s">
        <v>1474</v>
      </c>
      <c r="F69" s="378" t="e">
        <f ca="1">F41</f>
        <v>#N/A</v>
      </c>
      <c r="O69" s="1887" t="s">
        <v>1048</v>
      </c>
      <c r="P69" s="1927" t="s">
        <v>1584</v>
      </c>
      <c r="Q69" s="1879" t="e">
        <f ca="1">C39</f>
        <v>#N/A</v>
      </c>
      <c r="R69" s="1879" t="s">
        <v>1529</v>
      </c>
    </row>
    <row r="70" spans="1:18" s="1835" customFormat="1" ht="13.5" thickBot="1">
      <c r="A70" s="1168"/>
      <c r="B70" s="1169"/>
      <c r="C70" s="354"/>
      <c r="D70" s="1180"/>
      <c r="E70" s="1164" t="s">
        <v>1477</v>
      </c>
      <c r="F70" s="1270"/>
      <c r="O70" s="1887" t="s">
        <v>1049</v>
      </c>
      <c r="P70" s="1927" t="s">
        <v>1585</v>
      </c>
      <c r="Q70" s="1879" t="e">
        <f ca="1">C13</f>
        <v>#N/A</v>
      </c>
      <c r="R70" s="1879" t="s">
        <v>1529</v>
      </c>
    </row>
    <row r="71" spans="1:18" s="1835" customFormat="1" ht="13.5" thickBot="1">
      <c r="A71" s="1185" t="s">
        <v>1033</v>
      </c>
      <c r="B71" s="1186" t="s">
        <v>1487</v>
      </c>
      <c r="C71" s="381" t="e">
        <f ca="1">ROUND(C68*10000/F71,0)</f>
        <v>#N/A</v>
      </c>
      <c r="D71" s="1187" t="s">
        <v>1488</v>
      </c>
      <c r="E71" s="1188" t="s">
        <v>1489</v>
      </c>
      <c r="F71" s="384" t="e">
        <f ca="1">F43</f>
        <v>#N/A</v>
      </c>
      <c r="O71" s="1887" t="s">
        <v>1050</v>
      </c>
      <c r="P71" s="1927" t="s">
        <v>1586</v>
      </c>
      <c r="Q71" s="1890" t="e">
        <f ca="1">C76</f>
        <v>#N/A</v>
      </c>
      <c r="R71" s="1879"/>
    </row>
    <row r="72" spans="1:18" s="1835" customFormat="1" ht="13.5" thickBot="1">
      <c r="B72" s="794"/>
      <c r="C72" s="794"/>
      <c r="O72" s="1887" t="s">
        <v>1044</v>
      </c>
      <c r="P72" s="1878" t="s">
        <v>1564</v>
      </c>
      <c r="Q72" s="1890">
        <f>L52</f>
        <v>0</v>
      </c>
      <c r="R72" s="1879"/>
    </row>
    <row r="73" spans="1:18" ht="16.5" thickBot="1">
      <c r="A73" s="1835"/>
      <c r="B73" s="794"/>
      <c r="C73" s="794"/>
      <c r="D73" s="1835"/>
      <c r="E73" s="1835"/>
      <c r="F73" s="1835"/>
      <c r="O73" s="1887" t="s">
        <v>1045</v>
      </c>
      <c r="P73" s="1878" t="s">
        <v>1567</v>
      </c>
      <c r="Q73" s="1879" t="e">
        <f ca="1">L58</f>
        <v>#N/A</v>
      </c>
      <c r="R73" s="1879" t="s">
        <v>1568</v>
      </c>
    </row>
    <row r="74" spans="1:18" ht="13.5" thickBot="1">
      <c r="A74" s="1835"/>
      <c r="B74" s="316" t="s">
        <v>1587</v>
      </c>
      <c r="C74" s="1929"/>
      <c r="D74" s="1835"/>
      <c r="E74" s="1835"/>
      <c r="F74" s="1835"/>
      <c r="O74" s="1887" t="s">
        <v>1052</v>
      </c>
      <c r="P74" s="1878" t="str">
        <f>K59</f>
        <v>建筑物剩余耐用年限下的土地年期修正系数Kn</v>
      </c>
      <c r="Q74" s="1879" t="e">
        <f ca="1">L59</f>
        <v>#N/A</v>
      </c>
      <c r="R74" s="1879" t="s">
        <v>1569</v>
      </c>
    </row>
    <row r="75" spans="1:18" ht="13.5" thickBot="1">
      <c r="A75" s="1835"/>
      <c r="B75" s="385" t="s">
        <v>1506</v>
      </c>
      <c r="C75" s="386" t="e">
        <f ca="1">ROUND(C13*C76,0)</f>
        <v>#N/A</v>
      </c>
      <c r="D75" s="1835"/>
      <c r="E75" s="1835"/>
      <c r="F75" s="1835"/>
      <c r="K75" s="1861"/>
      <c r="L75" s="1835"/>
      <c r="O75" s="1877" t="s">
        <v>1046</v>
      </c>
      <c r="P75" s="1878" t="s">
        <v>1549</v>
      </c>
      <c r="Q75" s="1879" t="e">
        <f ca="1">Q65+Q66</f>
        <v>#N/A</v>
      </c>
      <c r="R75" s="1879" t="s">
        <v>1047</v>
      </c>
    </row>
    <row r="76" spans="1:18">
      <c r="B76" s="387" t="s">
        <v>1507</v>
      </c>
      <c r="C76" s="388" t="e">
        <f ca="1">INDIRECT("'数据-取费表'!j"&amp;$G$1)</f>
        <v>#N/A</v>
      </c>
      <c r="I76" s="1835"/>
      <c r="J76" s="1835"/>
      <c r="K76" s="1861"/>
      <c r="L76" s="1835"/>
    </row>
    <row r="77" spans="1:18">
      <c r="B77" s="389" t="s">
        <v>1508</v>
      </c>
      <c r="C77" s="390"/>
      <c r="I77" s="1835"/>
      <c r="J77" s="1835"/>
      <c r="K77" s="1861"/>
      <c r="L77" s="1835"/>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C49" sqref="C49"/>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2508</v>
      </c>
      <c r="B1" s="2566" t="s">
        <v>2622</v>
      </c>
      <c r="C1" s="1627" t="s">
        <v>2510</v>
      </c>
      <c r="D1" s="1614" t="s">
        <v>1377</v>
      </c>
      <c r="E1" s="2641"/>
      <c r="F1" s="2568" t="s">
        <v>3174</v>
      </c>
      <c r="G1" s="1624" t="s">
        <v>2623</v>
      </c>
      <c r="H1" s="1623"/>
      <c r="I1" s="1623"/>
      <c r="J1" s="1623"/>
      <c r="K1" s="1625"/>
      <c r="L1" s="1626"/>
      <c r="M1" s="1627"/>
      <c r="N1" s="1627"/>
      <c r="O1" s="1627"/>
      <c r="P1" s="2642"/>
      <c r="Q1" s="2643"/>
      <c r="R1" s="2643"/>
      <c r="S1" s="2643"/>
      <c r="T1" s="2643"/>
      <c r="U1" s="2643"/>
      <c r="V1" s="2643"/>
      <c r="W1" s="2643"/>
      <c r="X1" s="2643"/>
      <c r="Y1" s="2643"/>
      <c r="Z1" s="2643"/>
      <c r="AA1" s="2643"/>
      <c r="AB1" s="2643"/>
      <c r="AC1" s="2644"/>
    </row>
    <row r="2" spans="1:29" s="397" customFormat="1" ht="28.5" customHeight="1" thickTop="1">
      <c r="A2" s="1610" t="s">
        <v>2307</v>
      </c>
      <c r="B2" s="1413">
        <f>IF(C2="——",ROUND(C49*D3/10000,0),ROUND(C49*D3/10000,0)-D2)</f>
        <v>0</v>
      </c>
      <c r="C2" s="2570" t="s">
        <v>70</v>
      </c>
      <c r="D2" s="1360" t="e">
        <f ca="1">SUMIF(INDIRECT("'"&amp;F2&amp;"'"&amp;"!A:A"),"承租人权益价值",INDIRECT("'"&amp;F2&amp;"'"&amp;"!c:c"))</f>
        <v>#REF!</v>
      </c>
      <c r="E2" s="2571" t="s">
        <v>2308</v>
      </c>
      <c r="F2" s="2572"/>
      <c r="G2" s="1120"/>
      <c r="H2" s="1120"/>
      <c r="I2" s="1120"/>
      <c r="J2" s="1120"/>
      <c r="K2" s="1120"/>
      <c r="L2" s="1123"/>
      <c r="M2" s="1124"/>
      <c r="N2" s="1124"/>
      <c r="O2" s="1124"/>
      <c r="P2" s="2645"/>
      <c r="Q2" s="1124"/>
      <c r="R2" s="1124"/>
      <c r="S2" s="1124"/>
      <c r="T2" s="1124"/>
      <c r="U2" s="1124"/>
      <c r="V2" s="1124"/>
      <c r="W2" s="1124"/>
      <c r="X2" s="1124"/>
      <c r="Y2" s="1124"/>
      <c r="Z2" s="1124"/>
      <c r="AA2" s="1124"/>
      <c r="AB2" s="1124"/>
      <c r="AC2" s="2646"/>
    </row>
    <row r="3" spans="1:29" s="397" customFormat="1" ht="28.5" customHeight="1" thickBot="1">
      <c r="A3" s="246" t="s">
        <v>2309</v>
      </c>
      <c r="B3" s="608">
        <f>IF(C2="——",C49,ROUND(B2*10000/D3,0))</f>
        <v>8.1999999999999993</v>
      </c>
      <c r="C3" s="399" t="s">
        <v>2624</v>
      </c>
      <c r="D3" s="398">
        <f>IF(D1="",'数据-汇总表'!E3,SUMIF('数据-汇总表'!$C19:$C33,D1,'数据-汇总表'!$E19:$E33))</f>
        <v>0</v>
      </c>
      <c r="E3" s="2647"/>
      <c r="F3" s="1121"/>
      <c r="G3" s="1120"/>
      <c r="H3" s="1120"/>
      <c r="I3" s="1120"/>
      <c r="J3" s="1120"/>
      <c r="K3" s="1122"/>
      <c r="L3" s="1123"/>
      <c r="M3" s="1124"/>
      <c r="N3" s="1124"/>
      <c r="O3" s="1124"/>
      <c r="P3" s="2645"/>
      <c r="Q3" s="1124"/>
      <c r="R3" s="1124"/>
      <c r="S3" s="1124"/>
      <c r="T3" s="1124"/>
      <c r="U3" s="1124"/>
      <c r="V3" s="1124"/>
      <c r="W3" s="1124"/>
      <c r="X3" s="1124"/>
      <c r="Y3" s="1124"/>
      <c r="Z3" s="1124"/>
      <c r="AA3" s="1124"/>
      <c r="AB3" s="1124"/>
      <c r="AC3" s="2647"/>
    </row>
    <row r="4" spans="1:29" ht="15">
      <c r="A4" s="400" t="s">
        <v>2625</v>
      </c>
      <c r="B4" s="401"/>
      <c r="C4" s="3198" t="s">
        <v>2626</v>
      </c>
      <c r="D4" s="3225"/>
      <c r="E4" s="3226" t="s">
        <v>2627</v>
      </c>
      <c r="F4" s="3227"/>
      <c r="G4" s="3198" t="s">
        <v>2628</v>
      </c>
      <c r="H4" s="3225"/>
      <c r="I4" s="3198" t="s">
        <v>2629</v>
      </c>
      <c r="J4" s="3225"/>
      <c r="K4" s="609" t="s">
        <v>2630</v>
      </c>
      <c r="L4" s="1125"/>
      <c r="M4" s="1126"/>
      <c r="N4" s="1126"/>
      <c r="O4" s="1126"/>
      <c r="P4" s="3228" t="s">
        <v>2631</v>
      </c>
      <c r="Q4" s="3229"/>
      <c r="R4" s="3205" t="s">
        <v>2627</v>
      </c>
      <c r="S4" s="3206"/>
      <c r="T4" s="3205" t="s">
        <v>2628</v>
      </c>
      <c r="U4" s="3206"/>
      <c r="V4" s="3218" t="s">
        <v>2629</v>
      </c>
      <c r="W4" s="3218"/>
      <c r="X4" s="1806"/>
      <c r="Y4" s="3205" t="s">
        <v>2631</v>
      </c>
      <c r="Z4" s="3206"/>
      <c r="AA4" s="3222" t="s">
        <v>2627</v>
      </c>
      <c r="AB4" s="3218" t="s">
        <v>2628</v>
      </c>
      <c r="AC4" s="3222" t="s">
        <v>2629</v>
      </c>
    </row>
    <row r="5" spans="1:29" ht="15">
      <c r="A5" s="403"/>
      <c r="B5" s="404"/>
      <c r="C5" s="3209" t="s">
        <v>2522</v>
      </c>
      <c r="D5" s="3210"/>
      <c r="E5" s="3234" t="str">
        <f>'比较法-办公'!E5:F5</f>
        <v>时代财富天地</v>
      </c>
      <c r="F5" s="3235"/>
      <c r="G5" s="3296" t="s">
        <v>3223</v>
      </c>
      <c r="H5" s="3210"/>
      <c r="I5" s="3296" t="s">
        <v>3216</v>
      </c>
      <c r="J5" s="3210"/>
      <c r="K5" s="609"/>
      <c r="L5" s="1125"/>
      <c r="M5" s="1126"/>
      <c r="N5" s="1126"/>
      <c r="O5" s="1126"/>
      <c r="P5" s="3230"/>
      <c r="Q5" s="3231"/>
      <c r="R5" s="3207"/>
      <c r="S5" s="3208"/>
      <c r="T5" s="3207"/>
      <c r="U5" s="3208"/>
      <c r="V5" s="3218"/>
      <c r="W5" s="3218"/>
      <c r="X5" s="1806"/>
      <c r="Y5" s="3207"/>
      <c r="Z5" s="3208"/>
      <c r="AA5" s="3223"/>
      <c r="AB5" s="3218"/>
      <c r="AC5" s="3223"/>
    </row>
    <row r="6" spans="1:29" ht="15.75" thickBot="1">
      <c r="A6" s="405"/>
      <c r="B6" s="406"/>
      <c r="C6" s="3244" t="s">
        <v>2526</v>
      </c>
      <c r="D6" s="3245"/>
      <c r="E6" s="3246" t="s">
        <v>2526</v>
      </c>
      <c r="F6" s="3247"/>
      <c r="G6" s="3244" t="s">
        <v>2526</v>
      </c>
      <c r="H6" s="3245"/>
      <c r="I6" s="3244" t="s">
        <v>2526</v>
      </c>
      <c r="J6" s="3245"/>
      <c r="K6" s="609" t="s">
        <v>2527</v>
      </c>
      <c r="L6" s="1125"/>
      <c r="M6" s="1126"/>
      <c r="N6" s="1126"/>
      <c r="O6" s="1126"/>
      <c r="P6" s="3232"/>
      <c r="Q6" s="3233"/>
      <c r="R6" s="3207"/>
      <c r="S6" s="3208"/>
      <c r="T6" s="3216"/>
      <c r="U6" s="3217"/>
      <c r="V6" s="3218"/>
      <c r="W6" s="3218"/>
      <c r="X6" s="1806"/>
      <c r="Y6" s="3216"/>
      <c r="Z6" s="3217"/>
      <c r="AA6" s="3224"/>
      <c r="AB6" s="3218"/>
      <c r="AC6" s="3224"/>
    </row>
    <row r="7" spans="1:29" s="117" customFormat="1" ht="15.75" thickBot="1">
      <c r="A7" s="407" t="s">
        <v>2528</v>
      </c>
      <c r="B7" s="408"/>
      <c r="C7" s="409">
        <f>'数据-取费表'!B2</f>
        <v>43216</v>
      </c>
      <c r="D7" s="410">
        <v>100</v>
      </c>
      <c r="E7" s="411">
        <v>43191</v>
      </c>
      <c r="F7" s="412">
        <f>SUMIF(58:58,YEAR(E7)&amp;"-"&amp;MONTH(E7),59:59)</f>
        <v>100</v>
      </c>
      <c r="G7" s="411">
        <v>43191</v>
      </c>
      <c r="H7" s="410">
        <f>SUMIF(58:58,YEAR(G7)&amp;"-"&amp;MONTH(G7),59:59)</f>
        <v>100</v>
      </c>
      <c r="I7" s="411">
        <v>43191</v>
      </c>
      <c r="J7" s="410">
        <f>SUMIF(58:58,YEAR(I7)&amp;"-"&amp;MONTH(I7),59:59)</f>
        <v>100</v>
      </c>
      <c r="K7" s="610"/>
      <c r="L7" s="1127"/>
      <c r="M7" s="1128"/>
      <c r="N7" s="1128"/>
      <c r="O7" s="1128"/>
      <c r="P7" s="3203" t="s">
        <v>2529</v>
      </c>
      <c r="Q7" s="3213"/>
      <c r="R7" s="768" t="s">
        <v>17</v>
      </c>
      <c r="S7" s="769">
        <f t="shared" ref="S7:S15" si="0">F7</f>
        <v>100</v>
      </c>
      <c r="T7" s="768" t="s">
        <v>17</v>
      </c>
      <c r="U7" s="769">
        <f t="shared" ref="U7:U15" si="1">H7</f>
        <v>100</v>
      </c>
      <c r="V7" s="768" t="s">
        <v>17</v>
      </c>
      <c r="W7" s="769">
        <f t="shared" ref="W7:W15" si="2">J7</f>
        <v>100</v>
      </c>
      <c r="X7" s="770"/>
      <c r="Y7" s="3203" t="s">
        <v>2529</v>
      </c>
      <c r="Z7" s="3204"/>
      <c r="AA7" s="771">
        <f>D7/F7</f>
        <v>1</v>
      </c>
      <c r="AB7" s="771">
        <f>D7/H7</f>
        <v>1</v>
      </c>
      <c r="AC7" s="771">
        <f>D7/J7</f>
        <v>1</v>
      </c>
    </row>
    <row r="8" spans="1:29" s="117" customFormat="1" ht="15.75" thickBot="1">
      <c r="A8" s="407" t="s">
        <v>2530</v>
      </c>
      <c r="B8" s="408"/>
      <c r="C8" s="413" t="s">
        <v>2632</v>
      </c>
      <c r="D8" s="410">
        <v>100</v>
      </c>
      <c r="E8" s="413" t="s">
        <v>2567</v>
      </c>
      <c r="F8" s="412">
        <f>SUMIF(61:61,E8,62:62)-SUMIF(61:61,C8,62:62)+100</f>
        <v>100</v>
      </c>
      <c r="G8" s="413" t="s">
        <v>2567</v>
      </c>
      <c r="H8" s="410">
        <f>SUMIF(61:61,G8,62:62)-SUMIF(61:61,C8,62:62)+100</f>
        <v>100</v>
      </c>
      <c r="I8" s="413" t="s">
        <v>2567</v>
      </c>
      <c r="J8" s="410">
        <f>SUMIF(61:61,I8,62:62)-SUMIF(61:61,C8,62:62)+100</f>
        <v>100</v>
      </c>
      <c r="K8" s="610"/>
      <c r="L8" s="1127"/>
      <c r="M8" s="1128"/>
      <c r="N8" s="1128"/>
      <c r="O8" s="1128"/>
      <c r="P8" s="3203" t="s">
        <v>2532</v>
      </c>
      <c r="Q8" s="3204"/>
      <c r="R8" s="768" t="s">
        <v>17</v>
      </c>
      <c r="S8" s="769">
        <f t="shared" si="0"/>
        <v>100</v>
      </c>
      <c r="T8" s="768" t="s">
        <v>17</v>
      </c>
      <c r="U8" s="769">
        <f t="shared" si="1"/>
        <v>100</v>
      </c>
      <c r="V8" s="768" t="s">
        <v>17</v>
      </c>
      <c r="W8" s="769">
        <f t="shared" si="2"/>
        <v>100</v>
      </c>
      <c r="X8" s="770"/>
      <c r="Y8" s="3203" t="s">
        <v>2532</v>
      </c>
      <c r="Z8" s="3204"/>
      <c r="AA8" s="771">
        <f t="shared" ref="AA8:AA46" si="3">D8/F8</f>
        <v>1</v>
      </c>
      <c r="AB8" s="771">
        <f t="shared" ref="AB8:AB46" si="4">D8/H8</f>
        <v>1</v>
      </c>
      <c r="AC8" s="771">
        <f t="shared" ref="AC8:AC46" si="5">D8/J8</f>
        <v>1</v>
      </c>
    </row>
    <row r="9" spans="1:29" s="117" customFormat="1">
      <c r="A9" s="414" t="s">
        <v>2533</v>
      </c>
      <c r="B9" s="71" t="s">
        <v>2534</v>
      </c>
      <c r="C9" s="2959" t="s">
        <v>3205</v>
      </c>
      <c r="D9" s="134">
        <v>100</v>
      </c>
      <c r="E9" s="416" t="s">
        <v>1377</v>
      </c>
      <c r="F9" s="417">
        <f>SUMIF(63:63,E9,64:64)-SUMIF(63:63,C9,64:64)+100</f>
        <v>100</v>
      </c>
      <c r="G9" s="416" t="s">
        <v>1377</v>
      </c>
      <c r="H9" s="134">
        <f>SUMIF(63:63,G9,64:64)-SUMIF(63:63,C9,64:64)+100</f>
        <v>100</v>
      </c>
      <c r="I9" s="416" t="s">
        <v>1377</v>
      </c>
      <c r="J9" s="134">
        <f>SUMIF(63:63,I9,64:64)-SUMIF(63:63,C9,64:64)+100</f>
        <v>100</v>
      </c>
      <c r="K9" s="610"/>
      <c r="L9" s="1127"/>
      <c r="M9" s="1128"/>
      <c r="N9" s="1128"/>
      <c r="O9" s="1128"/>
      <c r="P9" s="3200" t="s">
        <v>2535</v>
      </c>
      <c r="Q9" s="1788" t="str">
        <f t="shared" ref="Q9:Q15" si="6">B9</f>
        <v>用途</v>
      </c>
      <c r="R9" s="768" t="s">
        <v>17</v>
      </c>
      <c r="S9" s="769">
        <f t="shared" si="0"/>
        <v>100</v>
      </c>
      <c r="T9" s="768" t="s">
        <v>17</v>
      </c>
      <c r="U9" s="769">
        <f t="shared" si="1"/>
        <v>100</v>
      </c>
      <c r="V9" s="768" t="s">
        <v>17</v>
      </c>
      <c r="W9" s="769">
        <f t="shared" si="2"/>
        <v>100</v>
      </c>
      <c r="X9" s="770"/>
      <c r="Y9" s="3056" t="s">
        <v>2536</v>
      </c>
      <c r="Z9" s="55" t="str">
        <f t="shared" ref="Z9:Z15" si="7">Q9</f>
        <v>用途</v>
      </c>
      <c r="AA9" s="771">
        <f t="shared" si="3"/>
        <v>1</v>
      </c>
      <c r="AB9" s="771">
        <f t="shared" si="4"/>
        <v>1</v>
      </c>
      <c r="AC9" s="771">
        <f t="shared" si="5"/>
        <v>1</v>
      </c>
    </row>
    <row r="10" spans="1:29" s="426" customFormat="1" ht="27">
      <c r="A10" s="420"/>
      <c r="B10" s="421" t="s">
        <v>2537</v>
      </c>
      <c r="C10" s="422" t="s">
        <v>3176</v>
      </c>
      <c r="D10" s="135">
        <v>100</v>
      </c>
      <c r="E10" s="423" t="s">
        <v>3188</v>
      </c>
      <c r="F10" s="424">
        <f>SUMIF(65:65,E10,66:66)-SUMIF(65:65,C10,66:66)+100</f>
        <v>98</v>
      </c>
      <c r="G10" s="422" t="s">
        <v>3176</v>
      </c>
      <c r="H10" s="135">
        <f>SUMIF(65:65,G10,66:66)-SUMIF(65:65,C10,66:66)+100</f>
        <v>100</v>
      </c>
      <c r="I10" s="422" t="s">
        <v>3188</v>
      </c>
      <c r="J10" s="135">
        <f>SUMIF(65:65,I10,66:66)-SUMIF(65:65,C10,66:66)+100</f>
        <v>98</v>
      </c>
      <c r="K10" s="2968">
        <f>'比较法-办公'!K10</f>
        <v>2</v>
      </c>
      <c r="L10" s="1130"/>
      <c r="M10" s="1131"/>
      <c r="N10" s="1131"/>
      <c r="O10" s="1131"/>
      <c r="P10" s="3200"/>
      <c r="Q10" s="1788" t="str">
        <f t="shared" si="6"/>
        <v>土地使用年限（年）</v>
      </c>
      <c r="R10" s="768" t="s">
        <v>17</v>
      </c>
      <c r="S10" s="769">
        <f t="shared" si="0"/>
        <v>98</v>
      </c>
      <c r="T10" s="768" t="s">
        <v>17</v>
      </c>
      <c r="U10" s="769">
        <f t="shared" si="1"/>
        <v>100</v>
      </c>
      <c r="V10" s="768" t="s">
        <v>17</v>
      </c>
      <c r="W10" s="769">
        <f t="shared" si="2"/>
        <v>98</v>
      </c>
      <c r="X10" s="770"/>
      <c r="Y10" s="3056"/>
      <c r="Z10" s="55" t="str">
        <f t="shared" si="7"/>
        <v>土地使用年限（年）</v>
      </c>
      <c r="AA10" s="771">
        <f t="shared" si="3"/>
        <v>1.0204081632653061</v>
      </c>
      <c r="AB10" s="771">
        <f t="shared" si="4"/>
        <v>1</v>
      </c>
      <c r="AC10" s="771">
        <f t="shared" si="5"/>
        <v>1.0204081632653061</v>
      </c>
    </row>
    <row r="11" spans="1:29" ht="15.75" thickBot="1">
      <c r="A11" s="427"/>
      <c r="B11" s="421" t="s">
        <v>2538</v>
      </c>
      <c r="C11" s="428">
        <f>'比较法-办公'!C11</f>
        <v>4</v>
      </c>
      <c r="D11" s="135">
        <v>100</v>
      </c>
      <c r="E11" s="429">
        <f>'比较法-办公'!E11</f>
        <v>2.7</v>
      </c>
      <c r="F11" s="424">
        <f>LOOKUP(E11,68:68,69:69)-LOOKUP(C11,68:68,69:69)+100</f>
        <v>100</v>
      </c>
      <c r="G11" s="428">
        <f>'比较法-办公'!G11</f>
        <v>4</v>
      </c>
      <c r="H11" s="135">
        <f>LOOKUP(G11,68:68,69:69)-LOOKUP(C11,68:68,69:69)+100</f>
        <v>100</v>
      </c>
      <c r="I11" s="428">
        <v>1.59</v>
      </c>
      <c r="J11" s="135">
        <f>LOOKUP(I11,68:68,69:69)-LOOKUP(C11,68:68,69:69)+100</f>
        <v>100</v>
      </c>
      <c r="K11" s="2968">
        <f>'比较法-办公'!K11</f>
        <v>0</v>
      </c>
      <c r="L11" s="1133"/>
      <c r="M11" s="1126"/>
      <c r="N11" s="1126"/>
      <c r="O11" s="1126"/>
      <c r="P11" s="3200"/>
      <c r="Q11" s="1788" t="str">
        <f t="shared" si="6"/>
        <v>容积率</v>
      </c>
      <c r="R11" s="768" t="s">
        <v>17</v>
      </c>
      <c r="S11" s="769">
        <f t="shared" si="0"/>
        <v>100</v>
      </c>
      <c r="T11" s="768" t="s">
        <v>17</v>
      </c>
      <c r="U11" s="769">
        <f t="shared" si="1"/>
        <v>100</v>
      </c>
      <c r="V11" s="768" t="s">
        <v>17</v>
      </c>
      <c r="W11" s="769">
        <f t="shared" si="2"/>
        <v>100</v>
      </c>
      <c r="X11" s="770"/>
      <c r="Y11" s="3056"/>
      <c r="Z11" s="55" t="str">
        <f t="shared" si="7"/>
        <v>容积率</v>
      </c>
      <c r="AA11" s="771">
        <f t="shared" si="3"/>
        <v>1</v>
      </c>
      <c r="AB11" s="771">
        <f t="shared" si="4"/>
        <v>1</v>
      </c>
      <c r="AC11" s="771">
        <f t="shared" si="5"/>
        <v>1</v>
      </c>
    </row>
    <row r="12" spans="1:29" s="117" customFormat="1" ht="15" hidden="1">
      <c r="A12" s="430"/>
      <c r="B12" s="2584">
        <v>111</v>
      </c>
      <c r="C12" s="431"/>
      <c r="D12" s="432">
        <v>100</v>
      </c>
      <c r="E12" s="433"/>
      <c r="F12" s="424">
        <f>SUMIF(70:70,E12,71:71)-SUMIF(70:70,C12,71:71)+100</f>
        <v>100</v>
      </c>
      <c r="G12" s="433"/>
      <c r="H12" s="135">
        <f>SUMIF(70:70,G12,71:71)-SUMIF(70:70,C12,71:71)+100</f>
        <v>100</v>
      </c>
      <c r="I12" s="433"/>
      <c r="J12" s="135">
        <f>SUMIF(70:70,I12,71:71)-SUMIF(70:70,C12,71:71)+100</f>
        <v>100</v>
      </c>
      <c r="K12" s="2972"/>
      <c r="L12" s="1127"/>
      <c r="M12" s="1128"/>
      <c r="N12" s="1128"/>
      <c r="O12" s="1128"/>
      <c r="P12" s="3200"/>
      <c r="Q12" s="1788">
        <f t="shared" si="6"/>
        <v>111</v>
      </c>
      <c r="R12" s="768" t="s">
        <v>17</v>
      </c>
      <c r="S12" s="769">
        <f t="shared" si="0"/>
        <v>100</v>
      </c>
      <c r="T12" s="768" t="s">
        <v>17</v>
      </c>
      <c r="U12" s="769">
        <f t="shared" si="1"/>
        <v>100</v>
      </c>
      <c r="V12" s="768" t="s">
        <v>17</v>
      </c>
      <c r="W12" s="769">
        <f t="shared" si="2"/>
        <v>100</v>
      </c>
      <c r="X12" s="770"/>
      <c r="Y12" s="3056"/>
      <c r="Z12" s="55">
        <f t="shared" si="7"/>
        <v>111</v>
      </c>
      <c r="AA12" s="771">
        <f>D12/F12</f>
        <v>1</v>
      </c>
      <c r="AB12" s="771">
        <f>D12/H12</f>
        <v>1</v>
      </c>
      <c r="AC12" s="771">
        <f>D12/J12</f>
        <v>1</v>
      </c>
    </row>
    <row r="13" spans="1:29" ht="15" hidden="1">
      <c r="A13" s="427"/>
      <c r="B13" s="2584">
        <v>111</v>
      </c>
      <c r="C13" s="433"/>
      <c r="D13" s="434">
        <v>100</v>
      </c>
      <c r="E13" s="433"/>
      <c r="F13" s="424">
        <f>SUMIF(72:72,E13,73:73)-SUMIF(72:72,C13,73:73)+100</f>
        <v>100</v>
      </c>
      <c r="G13" s="433"/>
      <c r="H13" s="434">
        <f>SUMIF(72:72,G13,73:73)-SUMIF(72:72,C13,73:73)+100</f>
        <v>100</v>
      </c>
      <c r="I13" s="433"/>
      <c r="J13" s="434">
        <f>SUMIF(72:72,I13,73:73)-SUMIF(72:72,C13,73:73)+100</f>
        <v>100</v>
      </c>
      <c r="K13" s="2972"/>
      <c r="L13" s="1135"/>
      <c r="M13" s="1126"/>
      <c r="N13" s="1126"/>
      <c r="O13" s="1126"/>
      <c r="P13" s="3200"/>
      <c r="Q13" s="1788">
        <f t="shared" si="6"/>
        <v>111</v>
      </c>
      <c r="R13" s="768" t="s">
        <v>17</v>
      </c>
      <c r="S13" s="769">
        <f t="shared" si="0"/>
        <v>100</v>
      </c>
      <c r="T13" s="768" t="s">
        <v>17</v>
      </c>
      <c r="U13" s="769">
        <f t="shared" si="1"/>
        <v>100</v>
      </c>
      <c r="V13" s="768" t="s">
        <v>17</v>
      </c>
      <c r="W13" s="769">
        <f t="shared" si="2"/>
        <v>100</v>
      </c>
      <c r="X13" s="770"/>
      <c r="Y13" s="3056"/>
      <c r="Z13" s="55">
        <f t="shared" si="7"/>
        <v>111</v>
      </c>
      <c r="AA13" s="771">
        <f t="shared" si="3"/>
        <v>1</v>
      </c>
      <c r="AB13" s="771">
        <f t="shared" si="4"/>
        <v>1</v>
      </c>
      <c r="AC13" s="771">
        <f t="shared" si="5"/>
        <v>1</v>
      </c>
    </row>
    <row r="14" spans="1:29" ht="15.75" hidden="1" thickBot="1">
      <c r="A14" s="435"/>
      <c r="B14" s="2586">
        <v>111</v>
      </c>
      <c r="C14" s="436"/>
      <c r="D14" s="437">
        <v>100</v>
      </c>
      <c r="E14" s="433"/>
      <c r="F14" s="438">
        <f>SUMIF(74:74,E14,75:75)-SUMIF(74:74,C14,75:75)+100</f>
        <v>100</v>
      </c>
      <c r="G14" s="433"/>
      <c r="H14" s="437">
        <f>SUMIF(74:74,G14,75:75)-SUMIF(74:74,C14,75:75)+100</f>
        <v>100</v>
      </c>
      <c r="I14" s="433"/>
      <c r="J14" s="437">
        <f>SUMIF(74:74,I14,75:75)-SUMIF(74:74,C14,75:75)+100</f>
        <v>100</v>
      </c>
      <c r="K14" s="2972"/>
      <c r="L14" s="1135"/>
      <c r="M14" s="1126"/>
      <c r="N14" s="1126"/>
      <c r="O14" s="1126"/>
      <c r="P14" s="3200"/>
      <c r="Q14" s="1788">
        <f t="shared" si="6"/>
        <v>111</v>
      </c>
      <c r="R14" s="768" t="s">
        <v>17</v>
      </c>
      <c r="S14" s="769">
        <f t="shared" si="0"/>
        <v>100</v>
      </c>
      <c r="T14" s="768" t="s">
        <v>17</v>
      </c>
      <c r="U14" s="769">
        <f t="shared" si="1"/>
        <v>100</v>
      </c>
      <c r="V14" s="768" t="s">
        <v>17</v>
      </c>
      <c r="W14" s="769">
        <f t="shared" si="2"/>
        <v>100</v>
      </c>
      <c r="X14" s="770"/>
      <c r="Y14" s="3056"/>
      <c r="Z14" s="55">
        <f t="shared" si="7"/>
        <v>111</v>
      </c>
      <c r="AA14" s="771">
        <f t="shared" si="3"/>
        <v>1</v>
      </c>
      <c r="AB14" s="771">
        <f t="shared" si="4"/>
        <v>1</v>
      </c>
      <c r="AC14" s="771">
        <f t="shared" si="5"/>
        <v>1</v>
      </c>
    </row>
    <row r="15" spans="1:29" ht="15">
      <c r="A15" s="439" t="s">
        <v>2539</v>
      </c>
      <c r="B15" s="69" t="s">
        <v>2633</v>
      </c>
      <c r="C15" s="2587">
        <f>估价对象房地状况!C4</f>
        <v>0</v>
      </c>
      <c r="D15" s="440">
        <v>100</v>
      </c>
      <c r="E15" s="2983" t="s">
        <v>3241</v>
      </c>
      <c r="F15" s="442">
        <f>SUMIF(76:76,E16,77:77)-SUMIF(76:76,C16,77:77)+100</f>
        <v>100</v>
      </c>
      <c r="G15" s="2983" t="s">
        <v>3241</v>
      </c>
      <c r="H15" s="440">
        <f>SUMIF(76:76,G16,77:77)-SUMIF(76:76,C16,77:77)+100</f>
        <v>100</v>
      </c>
      <c r="I15" s="2983" t="s">
        <v>3241</v>
      </c>
      <c r="J15" s="440">
        <f>SUMIF(76:76,I16,77:77)-SUMIF(76:76,C16,77:77)+100</f>
        <v>100</v>
      </c>
      <c r="K15" s="2964">
        <f>'比较法-办公'!K15</f>
        <v>2</v>
      </c>
      <c r="L15" s="1135"/>
      <c r="M15" s="1126"/>
      <c r="N15" s="1126"/>
      <c r="O15" s="1126"/>
      <c r="P15" s="3281" t="s">
        <v>2540</v>
      </c>
      <c r="Q15" s="1803" t="str">
        <f t="shared" si="6"/>
        <v>商业繁华度</v>
      </c>
      <c r="R15" s="772" t="s">
        <v>17</v>
      </c>
      <c r="S15" s="773">
        <f t="shared" si="0"/>
        <v>100</v>
      </c>
      <c r="T15" s="772" t="s">
        <v>17</v>
      </c>
      <c r="U15" s="773">
        <f t="shared" si="1"/>
        <v>100</v>
      </c>
      <c r="V15" s="772" t="s">
        <v>17</v>
      </c>
      <c r="W15" s="773">
        <f t="shared" si="2"/>
        <v>100</v>
      </c>
      <c r="X15" s="1806"/>
      <c r="Y15" s="3219" t="s">
        <v>2540</v>
      </c>
      <c r="Z15" s="1807" t="str">
        <f t="shared" si="7"/>
        <v>商业繁华度</v>
      </c>
      <c r="AA15" s="1804">
        <f t="shared" si="3"/>
        <v>1</v>
      </c>
      <c r="AB15" s="1804">
        <f t="shared" si="4"/>
        <v>1</v>
      </c>
      <c r="AC15" s="1804">
        <f t="shared" si="5"/>
        <v>1</v>
      </c>
    </row>
    <row r="16" spans="1:29" ht="15.75" thickBot="1">
      <c r="A16" s="427"/>
      <c r="B16" s="445"/>
      <c r="C16" s="446" t="s">
        <v>3049</v>
      </c>
      <c r="D16" s="447"/>
      <c r="E16" s="2595" t="s">
        <v>3049</v>
      </c>
      <c r="F16" s="448"/>
      <c r="G16" s="2595" t="s">
        <v>3049</v>
      </c>
      <c r="H16" s="449"/>
      <c r="I16" s="446" t="s">
        <v>3049</v>
      </c>
      <c r="J16" s="447"/>
      <c r="K16" s="614"/>
      <c r="L16" s="1135"/>
      <c r="M16" s="1126"/>
      <c r="N16" s="1126"/>
      <c r="O16" s="1126"/>
      <c r="P16" s="3282"/>
      <c r="Q16" s="1803"/>
      <c r="R16" s="772"/>
      <c r="S16" s="773"/>
      <c r="T16" s="772"/>
      <c r="U16" s="773"/>
      <c r="V16" s="772"/>
      <c r="W16" s="773"/>
      <c r="X16" s="1806"/>
      <c r="Y16" s="3220"/>
      <c r="Z16" s="1807"/>
      <c r="AA16" s="1804">
        <v>1</v>
      </c>
      <c r="AB16" s="1804">
        <v>1</v>
      </c>
      <c r="AC16" s="1804">
        <v>1</v>
      </c>
    </row>
    <row r="17" spans="1:29" ht="15">
      <c r="A17" s="427"/>
      <c r="B17" s="450" t="s">
        <v>2087</v>
      </c>
      <c r="C17" s="2591">
        <f>估价对象房地状况!C6</f>
        <v>0</v>
      </c>
      <c r="D17" s="449">
        <v>100</v>
      </c>
      <c r="E17" s="2983" t="s">
        <v>3241</v>
      </c>
      <c r="F17" s="452">
        <f>SUMIF(78:78,E18,79:79)-SUMIF(78:78,C18,79:79)+100</f>
        <v>100</v>
      </c>
      <c r="G17" s="2983" t="s">
        <v>3241</v>
      </c>
      <c r="H17" s="454">
        <f>SUMIF(78:78,G18,79:79)-SUMIF(78:78,C18,79:79)+100</f>
        <v>100</v>
      </c>
      <c r="I17" s="2983" t="s">
        <v>3241</v>
      </c>
      <c r="J17" s="454">
        <f>SUMIF(78:78,I18,79:79)-SUMIF(78:78,C18,79:79)+100</f>
        <v>100</v>
      </c>
      <c r="K17" s="2964">
        <f>'比较法-办公'!K17</f>
        <v>2</v>
      </c>
      <c r="L17" s="1135"/>
      <c r="M17" s="1126"/>
      <c r="N17" s="1126"/>
      <c r="O17" s="1126"/>
      <c r="P17" s="3282"/>
      <c r="Q17" s="1803" t="str">
        <f>B17</f>
        <v>交通便捷度</v>
      </c>
      <c r="R17" s="772" t="s">
        <v>17</v>
      </c>
      <c r="S17" s="773">
        <f>F17</f>
        <v>100</v>
      </c>
      <c r="T17" s="772" t="s">
        <v>17</v>
      </c>
      <c r="U17" s="773">
        <f>H17</f>
        <v>100</v>
      </c>
      <c r="V17" s="772" t="s">
        <v>17</v>
      </c>
      <c r="W17" s="773">
        <f>J17</f>
        <v>100</v>
      </c>
      <c r="X17" s="1806"/>
      <c r="Y17" s="3220"/>
      <c r="Z17" s="1807" t="str">
        <f>Q17</f>
        <v>交通便捷度</v>
      </c>
      <c r="AA17" s="1804">
        <f t="shared" si="3"/>
        <v>1</v>
      </c>
      <c r="AB17" s="1804">
        <f t="shared" si="4"/>
        <v>1</v>
      </c>
      <c r="AC17" s="1804">
        <f t="shared" si="5"/>
        <v>1</v>
      </c>
    </row>
    <row r="18" spans="1:29" ht="15">
      <c r="A18" s="427"/>
      <c r="B18" s="455"/>
      <c r="C18" s="2592" t="s">
        <v>3049</v>
      </c>
      <c r="D18" s="449"/>
      <c r="E18" s="2660" t="s">
        <v>3049</v>
      </c>
      <c r="F18" s="452"/>
      <c r="G18" s="2660" t="s">
        <v>3049</v>
      </c>
      <c r="H18" s="447"/>
      <c r="I18" s="2594" t="s">
        <v>3049</v>
      </c>
      <c r="J18" s="447"/>
      <c r="K18" s="614"/>
      <c r="L18" s="1135"/>
      <c r="M18" s="1126"/>
      <c r="N18" s="1126"/>
      <c r="O18" s="1126"/>
      <c r="P18" s="3282"/>
      <c r="Q18" s="1803"/>
      <c r="R18" s="772"/>
      <c r="S18" s="773"/>
      <c r="T18" s="772"/>
      <c r="U18" s="773"/>
      <c r="V18" s="772"/>
      <c r="W18" s="773"/>
      <c r="X18" s="1806"/>
      <c r="Y18" s="3220"/>
      <c r="Z18" s="1807"/>
      <c r="AA18" s="1804">
        <v>1</v>
      </c>
      <c r="AB18" s="1804">
        <v>1</v>
      </c>
      <c r="AC18" s="1804">
        <v>1</v>
      </c>
    </row>
    <row r="19" spans="1:29" ht="15">
      <c r="A19" s="427"/>
      <c r="B19" s="450" t="s">
        <v>2634</v>
      </c>
      <c r="C19" s="2591">
        <f>估价对象房地状况!C7</f>
        <v>0</v>
      </c>
      <c r="D19" s="454">
        <v>100</v>
      </c>
      <c r="E19" s="2984" t="s">
        <v>3243</v>
      </c>
      <c r="F19" s="457">
        <f>SUMIF(80:80,E20,81:81)-SUMIF(80:80,C20,81:81)+100</f>
        <v>100</v>
      </c>
      <c r="G19" s="2984" t="s">
        <v>3243</v>
      </c>
      <c r="H19" s="449">
        <f>SUMIF(80:80,G20,81:81)-SUMIF(80:80,C20,81:81)+100</f>
        <v>100</v>
      </c>
      <c r="I19" s="2984" t="s">
        <v>3243</v>
      </c>
      <c r="J19" s="449">
        <f>SUMIF(80:80,I20,81:81)-SUMIF(80:80,C20,81:81)+100</f>
        <v>100</v>
      </c>
      <c r="K19" s="2964">
        <f>'比较法-办公'!K19</f>
        <v>2</v>
      </c>
      <c r="L19" s="1135"/>
      <c r="M19" s="1126"/>
      <c r="N19" s="1126"/>
      <c r="O19" s="1126"/>
      <c r="P19" s="3282"/>
      <c r="Q19" s="1803" t="str">
        <f>B19</f>
        <v>公共配套设施</v>
      </c>
      <c r="R19" s="772" t="s">
        <v>17</v>
      </c>
      <c r="S19" s="773">
        <f>F19</f>
        <v>100</v>
      </c>
      <c r="T19" s="772" t="s">
        <v>17</v>
      </c>
      <c r="U19" s="773">
        <f>H19</f>
        <v>100</v>
      </c>
      <c r="V19" s="772" t="s">
        <v>17</v>
      </c>
      <c r="W19" s="773">
        <f>J19</f>
        <v>100</v>
      </c>
      <c r="X19" s="1806"/>
      <c r="Y19" s="3220"/>
      <c r="Z19" s="1807" t="str">
        <f>Q19</f>
        <v>公共配套设施</v>
      </c>
      <c r="AA19" s="1804">
        <f t="shared" si="3"/>
        <v>1</v>
      </c>
      <c r="AB19" s="1804">
        <f t="shared" si="4"/>
        <v>1</v>
      </c>
      <c r="AC19" s="1804">
        <f t="shared" si="5"/>
        <v>1</v>
      </c>
    </row>
    <row r="20" spans="1:29" ht="15">
      <c r="A20" s="427"/>
      <c r="B20" s="455"/>
      <c r="C20" s="446" t="s">
        <v>3119</v>
      </c>
      <c r="D20" s="447"/>
      <c r="E20" s="2595" t="s">
        <v>3119</v>
      </c>
      <c r="F20" s="448"/>
      <c r="G20" s="2595" t="s">
        <v>3119</v>
      </c>
      <c r="H20" s="447"/>
      <c r="I20" s="2589" t="s">
        <v>3119</v>
      </c>
      <c r="J20" s="447"/>
      <c r="K20" s="614"/>
      <c r="L20" s="1135"/>
      <c r="M20" s="1126"/>
      <c r="N20" s="1126"/>
      <c r="O20" s="1126"/>
      <c r="P20" s="3282"/>
      <c r="Q20" s="1803"/>
      <c r="R20" s="772"/>
      <c r="S20" s="773"/>
      <c r="T20" s="772"/>
      <c r="U20" s="773"/>
      <c r="V20" s="772"/>
      <c r="W20" s="773"/>
      <c r="X20" s="1806"/>
      <c r="Y20" s="3220"/>
      <c r="Z20" s="1807"/>
      <c r="AA20" s="1804">
        <v>1</v>
      </c>
      <c r="AB20" s="1804">
        <v>1</v>
      </c>
      <c r="AC20" s="1804">
        <v>1</v>
      </c>
    </row>
    <row r="21" spans="1:29" ht="15">
      <c r="A21" s="427"/>
      <c r="B21" s="1379" t="s">
        <v>2635</v>
      </c>
      <c r="C21" s="2591">
        <f>估价对象房地状况!C8</f>
        <v>0</v>
      </c>
      <c r="D21" s="454">
        <v>100</v>
      </c>
      <c r="E21" s="2985" t="s">
        <v>3244</v>
      </c>
      <c r="F21" s="457">
        <f>SUMIF(82:82,E22,83:83)-SUMIF(82:82,C22,83:83)+100</f>
        <v>100</v>
      </c>
      <c r="G21" s="2985" t="s">
        <v>3244</v>
      </c>
      <c r="H21" s="449">
        <f>SUMIF(82:82,G22,83:83)-SUMIF(82:82,C22,83:83)+100</f>
        <v>100</v>
      </c>
      <c r="I21" s="2985" t="s">
        <v>3244</v>
      </c>
      <c r="J21" s="449">
        <f>SUMIF(82:82,I22,83:83)-SUMIF(82:82,C22,83:83)+100</f>
        <v>100</v>
      </c>
      <c r="K21" s="2964">
        <f>'比较法-办公'!K21</f>
        <v>1</v>
      </c>
      <c r="L21" s="1135"/>
      <c r="M21" s="1126"/>
      <c r="N21" s="1126"/>
      <c r="O21" s="1126"/>
      <c r="P21" s="3282"/>
      <c r="Q21" s="1803" t="str">
        <f>B21</f>
        <v>基础设施水平</v>
      </c>
      <c r="R21" s="772" t="s">
        <v>17</v>
      </c>
      <c r="S21" s="773">
        <f>F21</f>
        <v>100</v>
      </c>
      <c r="T21" s="772" t="s">
        <v>17</v>
      </c>
      <c r="U21" s="773">
        <f>H21</f>
        <v>100</v>
      </c>
      <c r="V21" s="772" t="s">
        <v>17</v>
      </c>
      <c r="W21" s="773">
        <f>J21</f>
        <v>100</v>
      </c>
      <c r="X21" s="1806"/>
      <c r="Y21" s="3220"/>
      <c r="Z21" s="1807" t="str">
        <f>Q21</f>
        <v>基础设施水平</v>
      </c>
      <c r="AA21" s="1804">
        <f t="shared" ref="AA21" si="8">D21/F21</f>
        <v>1</v>
      </c>
      <c r="AB21" s="1804">
        <f t="shared" ref="AB21" si="9">D21/H21</f>
        <v>1</v>
      </c>
      <c r="AC21" s="1804">
        <f t="shared" ref="AC21" si="10">D21/J21</f>
        <v>1</v>
      </c>
    </row>
    <row r="22" spans="1:29" ht="15.75" thickBot="1">
      <c r="A22" s="427"/>
      <c r="B22" s="1379"/>
      <c r="C22" s="2592" t="s">
        <v>3051</v>
      </c>
      <c r="D22" s="447"/>
      <c r="E22" s="2660" t="s">
        <v>3051</v>
      </c>
      <c r="F22" s="448"/>
      <c r="G22" s="2660" t="s">
        <v>3051</v>
      </c>
      <c r="H22" s="447"/>
      <c r="I22" s="446" t="s">
        <v>3051</v>
      </c>
      <c r="J22" s="447"/>
      <c r="K22" s="1378"/>
      <c r="L22" s="1135"/>
      <c r="M22" s="1126"/>
      <c r="N22" s="1126"/>
      <c r="O22" s="1126"/>
      <c r="P22" s="3282"/>
      <c r="Q22" s="1803"/>
      <c r="R22" s="772"/>
      <c r="S22" s="773"/>
      <c r="T22" s="772"/>
      <c r="U22" s="773"/>
      <c r="V22" s="772"/>
      <c r="W22" s="773"/>
      <c r="X22" s="1806"/>
      <c r="Y22" s="3220"/>
      <c r="Z22" s="1807"/>
      <c r="AA22" s="1804">
        <v>1</v>
      </c>
      <c r="AB22" s="1804">
        <v>1</v>
      </c>
      <c r="AC22" s="1804">
        <v>1</v>
      </c>
    </row>
    <row r="23" spans="1:29" ht="15">
      <c r="A23" s="427"/>
      <c r="B23" s="450" t="s">
        <v>2090</v>
      </c>
      <c r="C23" s="2648">
        <f>估价对象房地状况!C9</f>
        <v>0</v>
      </c>
      <c r="D23" s="449">
        <v>100</v>
      </c>
      <c r="E23" s="2983" t="s">
        <v>3241</v>
      </c>
      <c r="F23" s="452">
        <f>SUMIF(84:84,E24,85:85)-SUMIF(84:84,C24,85:85)+100</f>
        <v>100</v>
      </c>
      <c r="G23" s="2983" t="s">
        <v>3241</v>
      </c>
      <c r="H23" s="449">
        <f>SUMIF(84:84,G24,85:85)-SUMIF(84:84,C24,85:85)+100</f>
        <v>100</v>
      </c>
      <c r="I23" s="2983" t="s">
        <v>3241</v>
      </c>
      <c r="J23" s="449">
        <f>SUMIF(84:84,I24,85:85)-SUMIF(84:84,C24,85:85)+100</f>
        <v>100</v>
      </c>
      <c r="K23" s="2964">
        <f>'比较法-办公'!K23</f>
        <v>2</v>
      </c>
      <c r="L23" s="1135"/>
      <c r="M23" s="1126"/>
      <c r="N23" s="1126"/>
      <c r="O23" s="1126"/>
      <c r="P23" s="3282"/>
      <c r="Q23" s="1803" t="str">
        <f>B23</f>
        <v>自然及人文环境</v>
      </c>
      <c r="R23" s="772" t="s">
        <v>17</v>
      </c>
      <c r="S23" s="773">
        <f>F23</f>
        <v>100</v>
      </c>
      <c r="T23" s="772" t="s">
        <v>17</v>
      </c>
      <c r="U23" s="773">
        <f>H23</f>
        <v>100</v>
      </c>
      <c r="V23" s="772" t="s">
        <v>17</v>
      </c>
      <c r="W23" s="773">
        <f>J23</f>
        <v>100</v>
      </c>
      <c r="X23" s="1806"/>
      <c r="Y23" s="3220"/>
      <c r="Z23" s="1807" t="str">
        <f>Q23</f>
        <v>自然及人文环境</v>
      </c>
      <c r="AA23" s="1804">
        <f t="shared" si="3"/>
        <v>1</v>
      </c>
      <c r="AB23" s="1804">
        <f t="shared" si="4"/>
        <v>1</v>
      </c>
      <c r="AC23" s="1804">
        <f t="shared" si="5"/>
        <v>1</v>
      </c>
    </row>
    <row r="24" spans="1:29" ht="15">
      <c r="A24" s="427"/>
      <c r="B24" s="455"/>
      <c r="C24" s="446" t="s">
        <v>3049</v>
      </c>
      <c r="D24" s="447"/>
      <c r="E24" s="2595" t="s">
        <v>3049</v>
      </c>
      <c r="F24" s="448"/>
      <c r="G24" s="2595" t="s">
        <v>3049</v>
      </c>
      <c r="H24" s="447"/>
      <c r="I24" s="2589" t="s">
        <v>3049</v>
      </c>
      <c r="J24" s="447"/>
      <c r="K24" s="614"/>
      <c r="L24" s="1135"/>
      <c r="M24" s="1126"/>
      <c r="N24" s="1126"/>
      <c r="O24" s="1126"/>
      <c r="P24" s="3282"/>
      <c r="Q24" s="1803"/>
      <c r="R24" s="772"/>
      <c r="S24" s="773"/>
      <c r="T24" s="772"/>
      <c r="U24" s="773"/>
      <c r="V24" s="772"/>
      <c r="W24" s="773"/>
      <c r="X24" s="1806"/>
      <c r="Y24" s="3220"/>
      <c r="Z24" s="1807"/>
      <c r="AA24" s="1804">
        <v>1</v>
      </c>
      <c r="AB24" s="1804">
        <v>1</v>
      </c>
      <c r="AC24" s="1804">
        <v>1</v>
      </c>
    </row>
    <row r="25" spans="1:29" ht="15">
      <c r="A25" s="427"/>
      <c r="B25" s="421" t="s">
        <v>2636</v>
      </c>
      <c r="C25" s="615" t="s">
        <v>3219</v>
      </c>
      <c r="D25" s="434">
        <v>100</v>
      </c>
      <c r="E25" s="615" t="s">
        <v>3219</v>
      </c>
      <c r="F25" s="460">
        <f>SUMIF(86:86,E25,87:87)-SUMIF(86:86,C25,87:87)+100</f>
        <v>100</v>
      </c>
      <c r="G25" s="615" t="s">
        <v>3219</v>
      </c>
      <c r="H25" s="434">
        <f>SUMIF(86:86,G25,87:87)-SUMIF(86:86,C25,87:87)+100</f>
        <v>100</v>
      </c>
      <c r="I25" s="615" t="s">
        <v>3219</v>
      </c>
      <c r="J25" s="434">
        <f>SUMIF(86:86,I25,87:87)-SUMIF(86:86,C25,87:87)+100</f>
        <v>100</v>
      </c>
      <c r="K25" s="611">
        <v>2</v>
      </c>
      <c r="L25" s="1135"/>
      <c r="M25" s="1126"/>
      <c r="N25" s="1126"/>
      <c r="O25" s="1126"/>
      <c r="P25" s="3282"/>
      <c r="Q25" s="1803" t="str">
        <f t="shared" ref="Q25:Q46" si="11">B25</f>
        <v>临街状况</v>
      </c>
      <c r="R25" s="772" t="s">
        <v>17</v>
      </c>
      <c r="S25" s="773">
        <f>F25</f>
        <v>100</v>
      </c>
      <c r="T25" s="772" t="s">
        <v>17</v>
      </c>
      <c r="U25" s="773">
        <f>H25</f>
        <v>100</v>
      </c>
      <c r="V25" s="772" t="s">
        <v>17</v>
      </c>
      <c r="W25" s="773">
        <f>J25</f>
        <v>100</v>
      </c>
      <c r="X25" s="1806"/>
      <c r="Y25" s="3220"/>
      <c r="Z25" s="1807" t="str">
        <f>Q25</f>
        <v>临街状况</v>
      </c>
      <c r="AA25" s="1804">
        <f t="shared" si="3"/>
        <v>1</v>
      </c>
      <c r="AB25" s="1804">
        <f t="shared" si="4"/>
        <v>1</v>
      </c>
      <c r="AC25" s="1804">
        <f t="shared" si="5"/>
        <v>1</v>
      </c>
    </row>
    <row r="26" spans="1:29" ht="15">
      <c r="A26" s="427"/>
      <c r="B26" s="1381" t="s">
        <v>2637</v>
      </c>
      <c r="C26" s="2961"/>
      <c r="D26" s="434">
        <v>100</v>
      </c>
      <c r="E26" s="2961"/>
      <c r="F26" s="460">
        <f>SUMIF(88:88,E26,89:89)-SUMIF(88:88,C26,89:89)+100</f>
        <v>100</v>
      </c>
      <c r="G26" s="2961"/>
      <c r="H26" s="434">
        <f>SUMIF(88:88,G26,89:89)-SUMIF(88:88,C26,89:89)+100</f>
        <v>100</v>
      </c>
      <c r="I26" s="2961"/>
      <c r="J26" s="434">
        <f>SUMIF(88:88,I26,89:89)-SUMIF(88:88,C26,89:89)+100</f>
        <v>100</v>
      </c>
      <c r="K26" s="612"/>
      <c r="L26" s="1135"/>
      <c r="M26" s="1126"/>
      <c r="N26" s="1126"/>
      <c r="O26" s="1126"/>
      <c r="P26" s="3282"/>
      <c r="Q26" s="1803" t="str">
        <f t="shared" si="11"/>
        <v>平面位置/可视性</v>
      </c>
      <c r="R26" s="772" t="s">
        <v>17</v>
      </c>
      <c r="S26" s="773">
        <f>F26</f>
        <v>100</v>
      </c>
      <c r="T26" s="772" t="s">
        <v>17</v>
      </c>
      <c r="U26" s="773">
        <f>H26</f>
        <v>100</v>
      </c>
      <c r="V26" s="772" t="s">
        <v>17</v>
      </c>
      <c r="W26" s="773">
        <f>J26</f>
        <v>100</v>
      </c>
      <c r="X26" s="1806"/>
      <c r="Y26" s="3220"/>
      <c r="Z26" s="1807" t="str">
        <f>Q26</f>
        <v>平面位置/可视性</v>
      </c>
      <c r="AA26" s="1804">
        <f t="shared" si="3"/>
        <v>1</v>
      </c>
      <c r="AB26" s="1804">
        <f t="shared" si="4"/>
        <v>1</v>
      </c>
      <c r="AC26" s="1804">
        <f t="shared" si="5"/>
        <v>1</v>
      </c>
    </row>
    <row r="27" spans="1:29" s="117" customFormat="1" ht="15">
      <c r="A27" s="430"/>
      <c r="B27" s="450" t="s">
        <v>2638</v>
      </c>
      <c r="C27" s="2649" t="s">
        <v>3119</v>
      </c>
      <c r="D27" s="461">
        <v>100</v>
      </c>
      <c r="E27" s="2649" t="s">
        <v>3119</v>
      </c>
      <c r="F27" s="463">
        <f>SUMIF(90:90,E27,91:91)-SUMIF(90:90,C27,91:91)+100</f>
        <v>100</v>
      </c>
      <c r="G27" s="2649" t="s">
        <v>3119</v>
      </c>
      <c r="H27" s="461">
        <f>SUMIF(90:90,G27,91:91)-SUMIF(90:90,C27,91:91)+100</f>
        <v>100</v>
      </c>
      <c r="I27" s="2649" t="s">
        <v>3119</v>
      </c>
      <c r="J27" s="461">
        <f>SUMIF(90:90,I27,91:91)-SUMIF(90:90,C27,91:91)+100</f>
        <v>100</v>
      </c>
      <c r="K27" s="611">
        <v>2</v>
      </c>
      <c r="L27" s="1127"/>
      <c r="M27" s="1128"/>
      <c r="N27" s="1128"/>
      <c r="O27" s="1128"/>
      <c r="P27" s="3282"/>
      <c r="Q27" s="1788" t="str">
        <f t="shared" si="11"/>
        <v>人流量</v>
      </c>
      <c r="R27" s="768" t="s">
        <v>17</v>
      </c>
      <c r="S27" s="769">
        <f>F27</f>
        <v>100</v>
      </c>
      <c r="T27" s="768" t="s">
        <v>17</v>
      </c>
      <c r="U27" s="769">
        <f>H27</f>
        <v>100</v>
      </c>
      <c r="V27" s="768" t="s">
        <v>17</v>
      </c>
      <c r="W27" s="769">
        <f>J27</f>
        <v>100</v>
      </c>
      <c r="X27" s="770"/>
      <c r="Y27" s="3220"/>
      <c r="Z27" s="55" t="str">
        <f>Q27</f>
        <v>人流量</v>
      </c>
      <c r="AA27" s="1804">
        <f>D27/F27</f>
        <v>1</v>
      </c>
      <c r="AB27" s="1804">
        <f>D27/H27</f>
        <v>1</v>
      </c>
      <c r="AC27" s="1804">
        <f>D27/J27</f>
        <v>1</v>
      </c>
    </row>
    <row r="28" spans="1:29" ht="15.75" thickBot="1">
      <c r="A28" s="427"/>
      <c r="B28" s="421" t="s">
        <v>2639</v>
      </c>
      <c r="C28" s="615" t="s">
        <v>3222</v>
      </c>
      <c r="D28" s="434">
        <v>100</v>
      </c>
      <c r="E28" s="615" t="s">
        <v>3222</v>
      </c>
      <c r="F28" s="460">
        <f>SUMIF(92:92,E28,93:93)-SUMIF(92:92,C28,93:93)+100</f>
        <v>100</v>
      </c>
      <c r="G28" s="615" t="s">
        <v>3222</v>
      </c>
      <c r="H28" s="434">
        <f>SUMIF(92:92,G28,93:93)-SUMIF(92:92,C28,93:93)+100</f>
        <v>100</v>
      </c>
      <c r="I28" s="615" t="s">
        <v>3222</v>
      </c>
      <c r="J28" s="434">
        <f>SUMIF(92:92,I28,93:93)-SUMIF(92:92,C28,93:93)+100</f>
        <v>100</v>
      </c>
      <c r="K28" s="612"/>
      <c r="L28" s="1135"/>
      <c r="M28" s="1126"/>
      <c r="N28" s="1126"/>
      <c r="O28" s="1126"/>
      <c r="P28" s="3282"/>
      <c r="Q28" s="1803" t="str">
        <f t="shared" si="11"/>
        <v>楼层</v>
      </c>
      <c r="R28" s="772" t="s">
        <v>17</v>
      </c>
      <c r="S28" s="773">
        <f t="shared" ref="S28:S46" si="12">F28</f>
        <v>100</v>
      </c>
      <c r="T28" s="772" t="s">
        <v>17</v>
      </c>
      <c r="U28" s="773">
        <f t="shared" ref="U28:U46" si="13">H28</f>
        <v>100</v>
      </c>
      <c r="V28" s="772" t="s">
        <v>17</v>
      </c>
      <c r="W28" s="773">
        <f t="shared" ref="W28:W46" si="14">J28</f>
        <v>100</v>
      </c>
      <c r="X28" s="1806"/>
      <c r="Y28" s="3220"/>
      <c r="Z28" s="1807" t="str">
        <f t="shared" ref="Z28:Z46" si="15">Q28</f>
        <v>楼层</v>
      </c>
      <c r="AA28" s="1804">
        <f t="shared" si="3"/>
        <v>1</v>
      </c>
      <c r="AB28" s="1804">
        <f t="shared" si="4"/>
        <v>1</v>
      </c>
      <c r="AC28" s="1804">
        <f t="shared" si="5"/>
        <v>1</v>
      </c>
    </row>
    <row r="29" spans="1:29" ht="15" hidden="1">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5"/>
      <c r="M29" s="1126"/>
      <c r="N29" s="1126"/>
      <c r="O29" s="1126"/>
      <c r="P29" s="3282"/>
      <c r="Q29" s="1803">
        <f t="shared" si="11"/>
        <v>111</v>
      </c>
      <c r="R29" s="772" t="s">
        <v>17</v>
      </c>
      <c r="S29" s="773">
        <f t="shared" si="12"/>
        <v>100</v>
      </c>
      <c r="T29" s="772" t="s">
        <v>17</v>
      </c>
      <c r="U29" s="773">
        <f t="shared" si="13"/>
        <v>100</v>
      </c>
      <c r="V29" s="772" t="s">
        <v>17</v>
      </c>
      <c r="W29" s="773">
        <f t="shared" si="14"/>
        <v>100</v>
      </c>
      <c r="X29" s="1806"/>
      <c r="Y29" s="3220"/>
      <c r="Z29" s="1807">
        <f t="shared" si="15"/>
        <v>111</v>
      </c>
      <c r="AA29" s="1804">
        <f t="shared" si="3"/>
        <v>1</v>
      </c>
      <c r="AB29" s="1804">
        <f t="shared" si="4"/>
        <v>1</v>
      </c>
      <c r="AC29" s="1804">
        <f t="shared" si="5"/>
        <v>1</v>
      </c>
    </row>
    <row r="30" spans="1:29" ht="15" hidden="1">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5"/>
      <c r="M30" s="1126"/>
      <c r="N30" s="1126"/>
      <c r="O30" s="1126"/>
      <c r="P30" s="3282"/>
      <c r="Q30" s="1803">
        <f t="shared" si="11"/>
        <v>111</v>
      </c>
      <c r="R30" s="772" t="s">
        <v>17</v>
      </c>
      <c r="S30" s="773">
        <f t="shared" si="12"/>
        <v>100</v>
      </c>
      <c r="T30" s="772" t="s">
        <v>17</v>
      </c>
      <c r="U30" s="773">
        <f t="shared" si="13"/>
        <v>100</v>
      </c>
      <c r="V30" s="772" t="s">
        <v>17</v>
      </c>
      <c r="W30" s="773">
        <f t="shared" si="14"/>
        <v>100</v>
      </c>
      <c r="X30" s="1806"/>
      <c r="Y30" s="3220"/>
      <c r="Z30" s="1807">
        <f t="shared" si="15"/>
        <v>111</v>
      </c>
      <c r="AA30" s="1804">
        <f t="shared" si="3"/>
        <v>1</v>
      </c>
      <c r="AB30" s="1804">
        <f t="shared" si="4"/>
        <v>1</v>
      </c>
      <c r="AC30" s="1804">
        <f t="shared" si="5"/>
        <v>1</v>
      </c>
    </row>
    <row r="31" spans="1:29" ht="15.75" hidden="1"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5"/>
      <c r="M31" s="1126"/>
      <c r="N31" s="1126"/>
      <c r="O31" s="1126"/>
      <c r="P31" s="3282"/>
      <c r="Q31" s="1803">
        <f t="shared" si="11"/>
        <v>111</v>
      </c>
      <c r="R31" s="772" t="s">
        <v>17</v>
      </c>
      <c r="S31" s="773">
        <f t="shared" si="12"/>
        <v>100</v>
      </c>
      <c r="T31" s="772" t="s">
        <v>17</v>
      </c>
      <c r="U31" s="773">
        <f t="shared" si="13"/>
        <v>100</v>
      </c>
      <c r="V31" s="772" t="s">
        <v>17</v>
      </c>
      <c r="W31" s="773">
        <f t="shared" si="14"/>
        <v>100</v>
      </c>
      <c r="X31" s="1806"/>
      <c r="Y31" s="3220"/>
      <c r="Z31" s="1807">
        <f t="shared" si="15"/>
        <v>111</v>
      </c>
      <c r="AA31" s="1804">
        <f t="shared" si="3"/>
        <v>1</v>
      </c>
      <c r="AB31" s="1804">
        <f t="shared" si="4"/>
        <v>1</v>
      </c>
      <c r="AC31" s="1804">
        <f t="shared" si="5"/>
        <v>1</v>
      </c>
    </row>
    <row r="32" spans="1:29" ht="15">
      <c r="A32" s="439" t="s">
        <v>2543</v>
      </c>
      <c r="B32" s="71" t="s">
        <v>2640</v>
      </c>
      <c r="C32" s="2601" t="s">
        <v>3248</v>
      </c>
      <c r="D32" s="466">
        <v>100</v>
      </c>
      <c r="E32" s="2601" t="s">
        <v>3248</v>
      </c>
      <c r="F32" s="460">
        <f>SUMIF(100:100,E32,101:101)-SUMIF(100:100,C32,101:101)+100</f>
        <v>100</v>
      </c>
      <c r="G32" s="2601" t="s">
        <v>3248</v>
      </c>
      <c r="H32" s="434">
        <f>SUMIF(100:100,G32,101:101)-SUMIF(100:100,C32,101:101)+100</f>
        <v>100</v>
      </c>
      <c r="I32" s="2601" t="s">
        <v>3248</v>
      </c>
      <c r="J32" s="466">
        <f>SUMIF(100:100,I32,101:101)-SUMIF(100:100,C32,101:101)+100</f>
        <v>100</v>
      </c>
      <c r="K32" s="2968">
        <f>'比较法-办公'!K33</f>
        <v>5</v>
      </c>
      <c r="L32" s="1135"/>
      <c r="M32" s="1126"/>
      <c r="N32" s="1126"/>
      <c r="O32" s="1126"/>
      <c r="P32" s="3277" t="s">
        <v>2545</v>
      </c>
      <c r="Q32" s="1803" t="str">
        <f t="shared" si="11"/>
        <v>商业类型</v>
      </c>
      <c r="R32" s="772" t="s">
        <v>17</v>
      </c>
      <c r="S32" s="773">
        <f t="shared" si="12"/>
        <v>100</v>
      </c>
      <c r="T32" s="772" t="s">
        <v>17</v>
      </c>
      <c r="U32" s="773">
        <f t="shared" si="13"/>
        <v>100</v>
      </c>
      <c r="V32" s="772" t="s">
        <v>17</v>
      </c>
      <c r="W32" s="773">
        <f t="shared" si="14"/>
        <v>100</v>
      </c>
      <c r="X32" s="1806"/>
      <c r="Y32" s="3221" t="s">
        <v>2545</v>
      </c>
      <c r="Z32" s="1807" t="str">
        <f t="shared" si="15"/>
        <v>商业类型</v>
      </c>
      <c r="AA32" s="1804">
        <f t="shared" si="3"/>
        <v>1</v>
      </c>
      <c r="AB32" s="1804">
        <f t="shared" si="4"/>
        <v>1</v>
      </c>
      <c r="AC32" s="1804">
        <f t="shared" si="5"/>
        <v>1</v>
      </c>
    </row>
    <row r="33" spans="1:29" s="470" customFormat="1" ht="15">
      <c r="A33" s="467"/>
      <c r="B33" s="421" t="s">
        <v>2546</v>
      </c>
      <c r="C33" s="468"/>
      <c r="D33" s="135">
        <v>100</v>
      </c>
      <c r="E33" s="468"/>
      <c r="F33" s="424">
        <f>LOOKUP(E33,103:103,104:104)-LOOKUP(C33,103:103,104:104)+100</f>
        <v>100</v>
      </c>
      <c r="G33" s="468"/>
      <c r="H33" s="135">
        <f>LOOKUP(G33,103:103,104:104)-LOOKUP(C33,103:103,104:104)+100</f>
        <v>100</v>
      </c>
      <c r="I33" s="428"/>
      <c r="J33" s="135">
        <f>LOOKUP(I33,103:103,104:104)-LOOKUP(C33,103:103,104:104)+100</f>
        <v>100</v>
      </c>
      <c r="K33" s="612"/>
      <c r="L33" s="1133"/>
      <c r="M33" s="1136"/>
      <c r="N33" s="1136"/>
      <c r="O33" s="1136"/>
      <c r="P33" s="3278"/>
      <c r="Q33" s="774" t="str">
        <f t="shared" si="11"/>
        <v>项目建筑规模</v>
      </c>
      <c r="R33" s="775" t="s">
        <v>17</v>
      </c>
      <c r="S33" s="776">
        <f t="shared" si="12"/>
        <v>100</v>
      </c>
      <c r="T33" s="775" t="s">
        <v>17</v>
      </c>
      <c r="U33" s="776">
        <f t="shared" si="13"/>
        <v>100</v>
      </c>
      <c r="V33" s="775" t="s">
        <v>17</v>
      </c>
      <c r="W33" s="776">
        <f t="shared" si="14"/>
        <v>100</v>
      </c>
      <c r="X33" s="777"/>
      <c r="Y33" s="3221"/>
      <c r="Z33" s="778" t="str">
        <f t="shared" si="15"/>
        <v>项目建筑规模</v>
      </c>
      <c r="AA33" s="1804">
        <f t="shared" si="3"/>
        <v>1</v>
      </c>
      <c r="AB33" s="1804">
        <f t="shared" si="4"/>
        <v>1</v>
      </c>
      <c r="AC33" s="1804">
        <f t="shared" si="5"/>
        <v>1</v>
      </c>
    </row>
    <row r="34" spans="1:29" ht="15">
      <c r="A34" s="471"/>
      <c r="B34" s="421" t="s">
        <v>2547</v>
      </c>
      <c r="C34" s="2603" t="s">
        <v>3123</v>
      </c>
      <c r="D34" s="434">
        <v>100</v>
      </c>
      <c r="E34" s="2603" t="s">
        <v>3123</v>
      </c>
      <c r="F34" s="460">
        <f>SUMIF(105:105,E34,106:106)-SUMIF(105:105,C34,106:106)+100</f>
        <v>100</v>
      </c>
      <c r="G34" s="2603" t="s">
        <v>3123</v>
      </c>
      <c r="H34" s="434">
        <f>SUMIF(105:105,G34,106:106)-SUMIF(105:105,C34,106:106)+100</f>
        <v>100</v>
      </c>
      <c r="I34" s="2603" t="s">
        <v>3123</v>
      </c>
      <c r="J34" s="434">
        <f>SUMIF(105:105,I34,106:106)-SUMIF(105:105,C34,106:106)+100</f>
        <v>100</v>
      </c>
      <c r="K34" s="2968">
        <f>'比较法-办公'!K35</f>
        <v>2</v>
      </c>
      <c r="L34" s="1135"/>
      <c r="M34" s="1126"/>
      <c r="N34" s="1126"/>
      <c r="O34" s="1126"/>
      <c r="P34" s="3278"/>
      <c r="Q34" s="1803" t="str">
        <f t="shared" si="11"/>
        <v>建筑结构</v>
      </c>
      <c r="R34" s="772" t="s">
        <v>17</v>
      </c>
      <c r="S34" s="773">
        <f t="shared" si="12"/>
        <v>100</v>
      </c>
      <c r="T34" s="772" t="s">
        <v>17</v>
      </c>
      <c r="U34" s="773">
        <f t="shared" si="13"/>
        <v>100</v>
      </c>
      <c r="V34" s="772" t="s">
        <v>17</v>
      </c>
      <c r="W34" s="773">
        <f t="shared" si="14"/>
        <v>100</v>
      </c>
      <c r="X34" s="1806"/>
      <c r="Y34" s="3221"/>
      <c r="Z34" s="1807" t="str">
        <f t="shared" si="15"/>
        <v>建筑结构</v>
      </c>
      <c r="AA34" s="1804">
        <f t="shared" si="3"/>
        <v>1</v>
      </c>
      <c r="AB34" s="1804">
        <f t="shared" si="4"/>
        <v>1</v>
      </c>
      <c r="AC34" s="1804">
        <f t="shared" si="5"/>
        <v>1</v>
      </c>
    </row>
    <row r="35" spans="1:29" ht="15">
      <c r="A35" s="471"/>
      <c r="B35" s="421" t="s">
        <v>2641</v>
      </c>
      <c r="C35" s="2597" t="s">
        <v>3198</v>
      </c>
      <c r="D35" s="434">
        <v>100</v>
      </c>
      <c r="E35" s="2597" t="s">
        <v>3198</v>
      </c>
      <c r="F35" s="460">
        <f>SUMIF(107:107,E35,108:108)-SUMIF(107:107,C35,108:108)+100</f>
        <v>100</v>
      </c>
      <c r="G35" s="2597" t="s">
        <v>3198</v>
      </c>
      <c r="H35" s="434">
        <f>SUMIF(107:107,G35,108:108)-SUMIF(107:107,C35,108:108)+100</f>
        <v>100</v>
      </c>
      <c r="I35" s="2597" t="s">
        <v>3198</v>
      </c>
      <c r="J35" s="434">
        <f>SUMIF(107:107,I35,108:108)-SUMIF(107:107,C35,108:108)+100</f>
        <v>100</v>
      </c>
      <c r="K35" s="2968">
        <f>'比较法-办公'!K36</f>
        <v>2</v>
      </c>
      <c r="L35" s="1135"/>
      <c r="M35" s="1126"/>
      <c r="N35" s="1126"/>
      <c r="O35" s="1126"/>
      <c r="P35" s="3278"/>
      <c r="Q35" s="1803" t="str">
        <f t="shared" si="11"/>
        <v>公共部分装修</v>
      </c>
      <c r="R35" s="772" t="s">
        <v>17</v>
      </c>
      <c r="S35" s="773">
        <f t="shared" si="12"/>
        <v>100</v>
      </c>
      <c r="T35" s="772" t="s">
        <v>17</v>
      </c>
      <c r="U35" s="773">
        <f t="shared" si="13"/>
        <v>100</v>
      </c>
      <c r="V35" s="772" t="s">
        <v>17</v>
      </c>
      <c r="W35" s="773">
        <f t="shared" si="14"/>
        <v>100</v>
      </c>
      <c r="X35" s="1806"/>
      <c r="Y35" s="3221"/>
      <c r="Z35" s="1807" t="str">
        <f t="shared" si="15"/>
        <v>公共部分装修</v>
      </c>
      <c r="AA35" s="1804">
        <f t="shared" si="3"/>
        <v>1</v>
      </c>
      <c r="AB35" s="1804">
        <f t="shared" si="4"/>
        <v>1</v>
      </c>
      <c r="AC35" s="1804">
        <f t="shared" si="5"/>
        <v>1</v>
      </c>
    </row>
    <row r="36" spans="1:29" ht="15">
      <c r="A36" s="471"/>
      <c r="B36" s="421" t="s">
        <v>2642</v>
      </c>
      <c r="C36" s="473">
        <f>'比较法-办公'!C37</f>
        <v>0.78</v>
      </c>
      <c r="D36" s="434">
        <v>100</v>
      </c>
      <c r="E36" s="473">
        <f>'比较法-办公'!E37</f>
        <v>0.7</v>
      </c>
      <c r="F36" s="460">
        <f>LOOKUP(E36,110:110,111:111)-LOOKUP(C36,110:110,111:111)+100</f>
        <v>100</v>
      </c>
      <c r="G36" s="473">
        <f>'比较法-办公'!I37</f>
        <v>0.97</v>
      </c>
      <c r="H36" s="460">
        <f>LOOKUP(G36,110:110,111:111)-LOOKUP(C36,110:110,111:111)+100</f>
        <v>110</v>
      </c>
      <c r="I36" s="473">
        <f>ROUND(1-(1-0%)*(2018-2007)/60,2)</f>
        <v>0.82</v>
      </c>
      <c r="J36" s="434">
        <f>LOOKUP(I36,110:110,111:111)-LOOKUP(C36,110:110,111:111)+100</f>
        <v>105</v>
      </c>
      <c r="K36" s="2968">
        <f>'比较法-办公'!K37</f>
        <v>5</v>
      </c>
      <c r="L36" s="1135"/>
      <c r="M36" s="1126"/>
      <c r="N36" s="1126"/>
      <c r="O36" s="1126"/>
      <c r="P36" s="3278"/>
      <c r="Q36" s="1803" t="str">
        <f t="shared" si="11"/>
        <v>成新度</v>
      </c>
      <c r="R36" s="772" t="s">
        <v>17</v>
      </c>
      <c r="S36" s="773">
        <f t="shared" si="12"/>
        <v>100</v>
      </c>
      <c r="T36" s="772" t="s">
        <v>17</v>
      </c>
      <c r="U36" s="773">
        <f t="shared" si="13"/>
        <v>110</v>
      </c>
      <c r="V36" s="772" t="s">
        <v>17</v>
      </c>
      <c r="W36" s="773">
        <f t="shared" si="14"/>
        <v>105</v>
      </c>
      <c r="X36" s="1806"/>
      <c r="Y36" s="3221"/>
      <c r="Z36" s="1807" t="str">
        <f t="shared" si="15"/>
        <v>成新度</v>
      </c>
      <c r="AA36" s="1804">
        <f t="shared" si="3"/>
        <v>1</v>
      </c>
      <c r="AB36" s="1804">
        <f t="shared" si="4"/>
        <v>0.90909090909090906</v>
      </c>
      <c r="AC36" s="1804">
        <f t="shared" si="5"/>
        <v>0.95238095238095233</v>
      </c>
    </row>
    <row r="37" spans="1:29" s="117" customFormat="1" ht="15">
      <c r="A37" s="472"/>
      <c r="B37" s="421" t="s">
        <v>2643</v>
      </c>
      <c r="C37" s="2597" t="s">
        <v>3115</v>
      </c>
      <c r="D37" s="135">
        <v>100</v>
      </c>
      <c r="E37" s="2597" t="s">
        <v>3115</v>
      </c>
      <c r="F37" s="460">
        <f>SUMIF(112:112,E37,113:113)-SUMIF(112:112,C37,113:113)+100</f>
        <v>100</v>
      </c>
      <c r="G37" s="2597" t="s">
        <v>3115</v>
      </c>
      <c r="H37" s="434">
        <f>SUMIF(112:112,G37,113:113)-SUMIF(112:112,C37,113:113)+100</f>
        <v>100</v>
      </c>
      <c r="I37" s="2597" t="s">
        <v>3115</v>
      </c>
      <c r="J37" s="434">
        <f>SUMIF(112:112,I37,113:113)-SUMIF(112:112,C37,113:113)+100</f>
        <v>100</v>
      </c>
      <c r="K37" s="2968">
        <f>'比较法-办公'!K40</f>
        <v>1</v>
      </c>
      <c r="L37" s="1127"/>
      <c r="M37" s="1128"/>
      <c r="N37" s="1128"/>
      <c r="O37" s="1128"/>
      <c r="P37" s="3278"/>
      <c r="Q37" s="1788" t="str">
        <f t="shared" si="11"/>
        <v>市政基础设施</v>
      </c>
      <c r="R37" s="768" t="s">
        <v>17</v>
      </c>
      <c r="S37" s="769">
        <f t="shared" si="12"/>
        <v>100</v>
      </c>
      <c r="T37" s="768" t="s">
        <v>17</v>
      </c>
      <c r="U37" s="769">
        <f t="shared" si="13"/>
        <v>100</v>
      </c>
      <c r="V37" s="768" t="s">
        <v>17</v>
      </c>
      <c r="W37" s="769">
        <f t="shared" si="14"/>
        <v>100</v>
      </c>
      <c r="X37" s="770"/>
      <c r="Y37" s="3221"/>
      <c r="Z37" s="55" t="str">
        <f t="shared" si="15"/>
        <v>市政基础设施</v>
      </c>
      <c r="AA37" s="771">
        <f t="shared" si="3"/>
        <v>1</v>
      </c>
      <c r="AB37" s="771">
        <f t="shared" si="4"/>
        <v>1</v>
      </c>
      <c r="AC37" s="771">
        <f t="shared" si="5"/>
        <v>1</v>
      </c>
    </row>
    <row r="38" spans="1:29" ht="15">
      <c r="A38" s="471"/>
      <c r="B38" s="421" t="s">
        <v>2644</v>
      </c>
      <c r="C38" s="2597" t="s">
        <v>3213</v>
      </c>
      <c r="D38" s="434">
        <v>100</v>
      </c>
      <c r="E38" s="2597" t="s">
        <v>3213</v>
      </c>
      <c r="F38" s="460">
        <f>SUMIF(114:114,E38,115:115)-SUMIF(114:114,C38,115:115)+100</f>
        <v>100</v>
      </c>
      <c r="G38" s="2597" t="s">
        <v>3213</v>
      </c>
      <c r="H38" s="434">
        <f>SUMIF(114:114,G38,115:115)-SUMIF(114:114,C38,115:115)+100</f>
        <v>100</v>
      </c>
      <c r="I38" s="2597" t="s">
        <v>3213</v>
      </c>
      <c r="J38" s="434">
        <f>SUMIF(114:114,I38,115:115)-SUMIF(114:114,C38,115:115)+100</f>
        <v>100</v>
      </c>
      <c r="K38" s="611">
        <v>5</v>
      </c>
      <c r="L38" s="1135"/>
      <c r="M38" s="1126"/>
      <c r="N38" s="1126"/>
      <c r="O38" s="1126"/>
      <c r="P38" s="3278" t="s">
        <v>2545</v>
      </c>
      <c r="Q38" s="1803" t="str">
        <f t="shared" si="11"/>
        <v>业态</v>
      </c>
      <c r="R38" s="772" t="s">
        <v>17</v>
      </c>
      <c r="S38" s="773">
        <f t="shared" si="12"/>
        <v>100</v>
      </c>
      <c r="T38" s="772" t="s">
        <v>17</v>
      </c>
      <c r="U38" s="773">
        <f t="shared" si="13"/>
        <v>100</v>
      </c>
      <c r="V38" s="772" t="s">
        <v>17</v>
      </c>
      <c r="W38" s="773">
        <f t="shared" si="14"/>
        <v>100</v>
      </c>
      <c r="X38" s="1806"/>
      <c r="Y38" s="3221" t="s">
        <v>2545</v>
      </c>
      <c r="Z38" s="1807" t="str">
        <f t="shared" si="15"/>
        <v>业态</v>
      </c>
      <c r="AA38" s="1804">
        <f t="shared" si="3"/>
        <v>1</v>
      </c>
      <c r="AB38" s="1804">
        <f t="shared" si="4"/>
        <v>1</v>
      </c>
      <c r="AC38" s="1804">
        <f t="shared" si="5"/>
        <v>1</v>
      </c>
    </row>
    <row r="39" spans="1:29" ht="15">
      <c r="A39" s="471"/>
      <c r="B39" s="421" t="s">
        <v>2645</v>
      </c>
      <c r="C39" s="2597" t="s">
        <v>3196</v>
      </c>
      <c r="D39" s="434">
        <v>100</v>
      </c>
      <c r="E39" s="2597" t="s">
        <v>3196</v>
      </c>
      <c r="F39" s="460">
        <f>SUMIF(116:116,E39,117:117)-SUMIF(116:116,C39,117:117)+100</f>
        <v>100</v>
      </c>
      <c r="G39" s="2597" t="s">
        <v>3196</v>
      </c>
      <c r="H39" s="434">
        <f>SUMIF(116:116,G39,117:117)-SUMIF(116:116,C39,117:117)+100</f>
        <v>100</v>
      </c>
      <c r="I39" s="2597" t="s">
        <v>3196</v>
      </c>
      <c r="J39" s="434">
        <f>SUMIF(116:116,I39,117:117)-SUMIF(116:116,C39,117:117)+100</f>
        <v>100</v>
      </c>
      <c r="K39" s="2968">
        <f>'比较法-办公'!K41</f>
        <v>2</v>
      </c>
      <c r="L39" s="1135"/>
      <c r="M39" s="1126"/>
      <c r="N39" s="1126"/>
      <c r="O39" s="1126"/>
      <c r="P39" s="3278"/>
      <c r="Q39" s="1803" t="str">
        <f t="shared" si="11"/>
        <v>层高</v>
      </c>
      <c r="R39" s="772" t="s">
        <v>17</v>
      </c>
      <c r="S39" s="773">
        <f t="shared" si="12"/>
        <v>100</v>
      </c>
      <c r="T39" s="772" t="s">
        <v>17</v>
      </c>
      <c r="U39" s="773">
        <f t="shared" si="13"/>
        <v>100</v>
      </c>
      <c r="V39" s="772" t="s">
        <v>17</v>
      </c>
      <c r="W39" s="773">
        <f t="shared" si="14"/>
        <v>100</v>
      </c>
      <c r="X39" s="1806"/>
      <c r="Y39" s="3221"/>
      <c r="Z39" s="1807" t="str">
        <f t="shared" si="15"/>
        <v>层高</v>
      </c>
      <c r="AA39" s="1804">
        <f t="shared" si="3"/>
        <v>1</v>
      </c>
      <c r="AB39" s="1804">
        <f t="shared" si="4"/>
        <v>1</v>
      </c>
      <c r="AC39" s="1804">
        <f t="shared" si="5"/>
        <v>1</v>
      </c>
    </row>
    <row r="40" spans="1:29" ht="15">
      <c r="A40" s="471"/>
      <c r="B40" s="421" t="s">
        <v>2646</v>
      </c>
      <c r="C40" s="2979" t="s">
        <v>3235</v>
      </c>
      <c r="D40" s="434">
        <v>100</v>
      </c>
      <c r="E40" s="616" t="s">
        <v>3236</v>
      </c>
      <c r="F40" s="460">
        <f>SUMIF(118:118,E40,119:119)-SUMIF(118:118,C40,119:119)+100</f>
        <v>100</v>
      </c>
      <c r="G40" s="616" t="s">
        <v>3236</v>
      </c>
      <c r="H40" s="434">
        <f>SUMIF(118:118,G40,119:119)-SUMIF(118:118,C40,119:119)+100</f>
        <v>100</v>
      </c>
      <c r="I40" s="616" t="s">
        <v>3236</v>
      </c>
      <c r="J40" s="434">
        <f>SUMIF(118:118,I40,119:119)-SUMIF(118:118,C40,119:119)+100</f>
        <v>100</v>
      </c>
      <c r="K40" s="612"/>
      <c r="L40" s="1135"/>
      <c r="M40" s="1126"/>
      <c r="N40" s="1126"/>
      <c r="O40" s="1126"/>
      <c r="P40" s="3278"/>
      <c r="Q40" s="1803" t="str">
        <f t="shared" si="11"/>
        <v>单套建筑面积</v>
      </c>
      <c r="R40" s="772" t="s">
        <v>17</v>
      </c>
      <c r="S40" s="773">
        <f t="shared" si="12"/>
        <v>100</v>
      </c>
      <c r="T40" s="772" t="s">
        <v>17</v>
      </c>
      <c r="U40" s="773">
        <f t="shared" si="13"/>
        <v>100</v>
      </c>
      <c r="V40" s="772" t="s">
        <v>17</v>
      </c>
      <c r="W40" s="773">
        <f t="shared" si="14"/>
        <v>100</v>
      </c>
      <c r="X40" s="1806"/>
      <c r="Y40" s="3221"/>
      <c r="Z40" s="1807" t="str">
        <f t="shared" si="15"/>
        <v>单套建筑面积</v>
      </c>
      <c r="AA40" s="1804">
        <f t="shared" si="3"/>
        <v>1</v>
      </c>
      <c r="AB40" s="1804">
        <f t="shared" si="4"/>
        <v>1</v>
      </c>
      <c r="AC40" s="1804">
        <f t="shared" si="5"/>
        <v>1</v>
      </c>
    </row>
    <row r="41" spans="1:29" s="470" customFormat="1" ht="15">
      <c r="A41" s="467"/>
      <c r="B41" s="1805" t="s">
        <v>2647</v>
      </c>
      <c r="C41" s="615" t="s">
        <v>3111</v>
      </c>
      <c r="D41" s="434">
        <v>100</v>
      </c>
      <c r="E41" s="615" t="s">
        <v>3111</v>
      </c>
      <c r="F41" s="460">
        <f>SUMIF(120:120,E41,121:121)-SUMIF(120:120,C41,121:121)+100</f>
        <v>100</v>
      </c>
      <c r="G41" s="615" t="s">
        <v>3111</v>
      </c>
      <c r="H41" s="434">
        <f>SUMIF(120:120,G41,121:121)-SUMIF(120:120,C41,121:121)+100</f>
        <v>100</v>
      </c>
      <c r="I41" s="615" t="s">
        <v>3111</v>
      </c>
      <c r="J41" s="434">
        <f>SUMIF(120:120,I41,121:121)-SUMIF(120:120,C41,121:121)+100</f>
        <v>100</v>
      </c>
      <c r="K41" s="611">
        <v>2</v>
      </c>
      <c r="L41" s="1133"/>
      <c r="M41" s="1136"/>
      <c r="N41" s="1136"/>
      <c r="O41" s="1136"/>
      <c r="P41" s="3278"/>
      <c r="Q41" s="774" t="str">
        <f t="shared" si="11"/>
        <v>进深比</v>
      </c>
      <c r="R41" s="775" t="s">
        <v>17</v>
      </c>
      <c r="S41" s="776">
        <f t="shared" si="12"/>
        <v>100</v>
      </c>
      <c r="T41" s="775" t="s">
        <v>17</v>
      </c>
      <c r="U41" s="776">
        <f t="shared" si="13"/>
        <v>100</v>
      </c>
      <c r="V41" s="775" t="s">
        <v>17</v>
      </c>
      <c r="W41" s="776">
        <f t="shared" si="14"/>
        <v>100</v>
      </c>
      <c r="X41" s="777"/>
      <c r="Y41" s="3221"/>
      <c r="Z41" s="778" t="str">
        <f t="shared" si="15"/>
        <v>进深比</v>
      </c>
      <c r="AA41" s="1804">
        <f t="shared" si="3"/>
        <v>1</v>
      </c>
      <c r="AB41" s="1804">
        <f t="shared" si="4"/>
        <v>1</v>
      </c>
      <c r="AC41" s="1804">
        <f t="shared" si="5"/>
        <v>1</v>
      </c>
    </row>
    <row r="42" spans="1:29" ht="15">
      <c r="A42" s="471"/>
      <c r="B42" s="421" t="s">
        <v>2648</v>
      </c>
      <c r="C42" s="2597" t="s">
        <v>3226</v>
      </c>
      <c r="D42" s="434">
        <v>100</v>
      </c>
      <c r="E42" s="2597" t="s">
        <v>3198</v>
      </c>
      <c r="F42" s="460">
        <f>SUMIF(122:122,E42,123:123)-SUMIF(122:122,C42,123:123)+100</f>
        <v>106</v>
      </c>
      <c r="G42" s="2597" t="s">
        <v>3198</v>
      </c>
      <c r="H42" s="434">
        <f>SUMIF(122:122,G42,123:123)-SUMIF(122:122,C42,123:123)+100</f>
        <v>106</v>
      </c>
      <c r="I42" s="2597" t="s">
        <v>3198</v>
      </c>
      <c r="J42" s="434">
        <f>SUMIF(122:122,I42,123:123)-SUMIF(122:122,C42,123:123)+100</f>
        <v>106</v>
      </c>
      <c r="K42" s="2968">
        <f>'比较法-办公'!K43</f>
        <v>2</v>
      </c>
      <c r="L42" s="1135"/>
      <c r="M42" s="1126"/>
      <c r="N42" s="1126"/>
      <c r="O42" s="1126"/>
      <c r="P42" s="3278"/>
      <c r="Q42" s="1803" t="str">
        <f t="shared" si="11"/>
        <v>内部装修</v>
      </c>
      <c r="R42" s="772" t="s">
        <v>17</v>
      </c>
      <c r="S42" s="773">
        <f t="shared" si="12"/>
        <v>106</v>
      </c>
      <c r="T42" s="772" t="s">
        <v>17</v>
      </c>
      <c r="U42" s="773">
        <f t="shared" si="13"/>
        <v>106</v>
      </c>
      <c r="V42" s="772" t="s">
        <v>17</v>
      </c>
      <c r="W42" s="773">
        <f t="shared" si="14"/>
        <v>106</v>
      </c>
      <c r="X42" s="1806"/>
      <c r="Y42" s="3221"/>
      <c r="Z42" s="1807" t="str">
        <f t="shared" si="15"/>
        <v>内部装修</v>
      </c>
      <c r="AA42" s="1804">
        <f t="shared" si="3"/>
        <v>0.94339622641509435</v>
      </c>
      <c r="AB42" s="1804">
        <f t="shared" si="4"/>
        <v>0.94339622641509435</v>
      </c>
      <c r="AC42" s="1804">
        <f t="shared" si="5"/>
        <v>0.94339622641509435</v>
      </c>
    </row>
    <row r="43" spans="1:29" ht="15.75" thickBot="1">
      <c r="A43" s="471"/>
      <c r="B43" s="421" t="s">
        <v>2556</v>
      </c>
      <c r="C43" s="2597" t="s">
        <v>3049</v>
      </c>
      <c r="D43" s="434">
        <v>100</v>
      </c>
      <c r="E43" s="2597" t="s">
        <v>3049</v>
      </c>
      <c r="F43" s="460">
        <f>SUMIF(124:124,E43,125:125)-SUMIF(124:124,C43,125:125)+100</f>
        <v>100</v>
      </c>
      <c r="G43" s="2597" t="s">
        <v>3049</v>
      </c>
      <c r="H43" s="434">
        <f>SUMIF(124:124,G43,125:125)-SUMIF(124:124,C43,125:125)+100</f>
        <v>100</v>
      </c>
      <c r="I43" s="2597" t="s">
        <v>3049</v>
      </c>
      <c r="J43" s="434">
        <f>SUMIF(124:124,I43,125:125)-SUMIF(124:124,C43,125:125)+100</f>
        <v>100</v>
      </c>
      <c r="K43" s="2968">
        <f>'比较法-办公'!K44</f>
        <v>2</v>
      </c>
      <c r="L43" s="1135"/>
      <c r="M43" s="1126"/>
      <c r="N43" s="1126"/>
      <c r="O43" s="1126"/>
      <c r="P43" s="3278"/>
      <c r="Q43" s="1803" t="str">
        <f t="shared" si="11"/>
        <v>内部装修维护情况</v>
      </c>
      <c r="R43" s="772" t="s">
        <v>17</v>
      </c>
      <c r="S43" s="773">
        <f t="shared" si="12"/>
        <v>100</v>
      </c>
      <c r="T43" s="772" t="s">
        <v>17</v>
      </c>
      <c r="U43" s="773">
        <f t="shared" si="13"/>
        <v>100</v>
      </c>
      <c r="V43" s="772" t="s">
        <v>17</v>
      </c>
      <c r="W43" s="773">
        <f t="shared" si="14"/>
        <v>100</v>
      </c>
      <c r="X43" s="1806"/>
      <c r="Y43" s="3221"/>
      <c r="Z43" s="1807" t="str">
        <f t="shared" si="15"/>
        <v>内部装修维护情况</v>
      </c>
      <c r="AA43" s="1804">
        <f t="shared" si="3"/>
        <v>1</v>
      </c>
      <c r="AB43" s="1804">
        <f t="shared" si="4"/>
        <v>1</v>
      </c>
      <c r="AC43" s="1804">
        <f t="shared" si="5"/>
        <v>1</v>
      </c>
    </row>
    <row r="44" spans="1:29" s="117" customFormat="1" ht="15" hidden="1">
      <c r="A44" s="472"/>
      <c r="B44" s="1381">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7"/>
      <c r="M44" s="1128"/>
      <c r="N44" s="1128"/>
      <c r="O44" s="1128"/>
      <c r="P44" s="3278"/>
      <c r="Q44" s="1788">
        <f t="shared" si="11"/>
        <v>111</v>
      </c>
      <c r="R44" s="768" t="s">
        <v>17</v>
      </c>
      <c r="S44" s="769">
        <f t="shared" si="12"/>
        <v>100</v>
      </c>
      <c r="T44" s="768" t="s">
        <v>17</v>
      </c>
      <c r="U44" s="769">
        <f t="shared" si="13"/>
        <v>100</v>
      </c>
      <c r="V44" s="768" t="s">
        <v>17</v>
      </c>
      <c r="W44" s="769">
        <f t="shared" si="14"/>
        <v>100</v>
      </c>
      <c r="X44" s="770"/>
      <c r="Y44" s="3221"/>
      <c r="Z44" s="55">
        <f t="shared" si="15"/>
        <v>111</v>
      </c>
      <c r="AA44" s="771">
        <f t="shared" si="3"/>
        <v>1</v>
      </c>
      <c r="AB44" s="771">
        <f t="shared" si="4"/>
        <v>1</v>
      </c>
      <c r="AC44" s="771">
        <f t="shared" si="5"/>
        <v>1</v>
      </c>
    </row>
    <row r="45" spans="1:29" ht="15" hidden="1">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5"/>
      <c r="M45" s="1126"/>
      <c r="N45" s="1126"/>
      <c r="O45" s="1126"/>
      <c r="P45" s="3278"/>
      <c r="Q45" s="1803">
        <f t="shared" si="11"/>
        <v>111</v>
      </c>
      <c r="R45" s="772" t="s">
        <v>17</v>
      </c>
      <c r="S45" s="773">
        <f t="shared" si="12"/>
        <v>100</v>
      </c>
      <c r="T45" s="772" t="s">
        <v>17</v>
      </c>
      <c r="U45" s="773">
        <f t="shared" si="13"/>
        <v>100</v>
      </c>
      <c r="V45" s="772" t="s">
        <v>17</v>
      </c>
      <c r="W45" s="773">
        <f t="shared" si="14"/>
        <v>100</v>
      </c>
      <c r="X45" s="1806"/>
      <c r="Y45" s="3221"/>
      <c r="Z45" s="1807">
        <f t="shared" si="15"/>
        <v>111</v>
      </c>
      <c r="AA45" s="1804">
        <f t="shared" si="3"/>
        <v>1</v>
      </c>
      <c r="AB45" s="1804">
        <f t="shared" si="4"/>
        <v>1</v>
      </c>
      <c r="AC45" s="1804">
        <f t="shared" si="5"/>
        <v>1</v>
      </c>
    </row>
    <row r="46" spans="1:29" ht="15.75" hidden="1" thickBot="1">
      <c r="A46" s="477"/>
      <c r="B46" s="258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5"/>
      <c r="M46" s="1126"/>
      <c r="N46" s="1126"/>
      <c r="O46" s="1126"/>
      <c r="P46" s="3279"/>
      <c r="Q46" s="1803">
        <f t="shared" si="11"/>
        <v>111</v>
      </c>
      <c r="R46" s="772" t="s">
        <v>17</v>
      </c>
      <c r="S46" s="773">
        <f t="shared" si="12"/>
        <v>100</v>
      </c>
      <c r="T46" s="772" t="s">
        <v>17</v>
      </c>
      <c r="U46" s="773">
        <f t="shared" si="13"/>
        <v>100</v>
      </c>
      <c r="V46" s="772" t="s">
        <v>17</v>
      </c>
      <c r="W46" s="773">
        <f t="shared" si="14"/>
        <v>100</v>
      </c>
      <c r="X46" s="1806"/>
      <c r="Y46" s="3280"/>
      <c r="Z46" s="1807">
        <f t="shared" si="15"/>
        <v>111</v>
      </c>
      <c r="AA46" s="1804">
        <f t="shared" si="3"/>
        <v>1</v>
      </c>
      <c r="AB46" s="1804">
        <f t="shared" si="4"/>
        <v>1</v>
      </c>
      <c r="AC46" s="1804">
        <f t="shared" si="5"/>
        <v>1</v>
      </c>
    </row>
    <row r="47" spans="1:29" ht="15">
      <c r="A47" s="478" t="s">
        <v>2557</v>
      </c>
      <c r="B47" s="479"/>
      <c r="C47" s="1402" t="s">
        <v>1</v>
      </c>
      <c r="D47" s="1403"/>
      <c r="E47" s="1404">
        <v>8</v>
      </c>
      <c r="F47" s="1405"/>
      <c r="G47" s="1406">
        <v>10</v>
      </c>
      <c r="H47" s="1407"/>
      <c r="I47" s="1404">
        <v>9</v>
      </c>
      <c r="J47" s="1407"/>
      <c r="K47" s="781"/>
      <c r="L47" s="1138"/>
      <c r="M47" s="1139"/>
      <c r="N47" s="1126"/>
      <c r="O47" s="1139"/>
      <c r="P47" s="3201" t="str">
        <f>A47</f>
        <v>成交单价（元/平方米）</v>
      </c>
      <c r="Q47" s="3201"/>
      <c r="R47" s="3218">
        <f>E47</f>
        <v>8</v>
      </c>
      <c r="S47" s="3218"/>
      <c r="T47" s="3218">
        <f>G47</f>
        <v>10</v>
      </c>
      <c r="U47" s="3218"/>
      <c r="V47" s="3218">
        <f>I47</f>
        <v>9</v>
      </c>
      <c r="W47" s="3218"/>
      <c r="X47" s="757"/>
      <c r="Y47" s="779"/>
      <c r="Z47" s="757"/>
      <c r="AA47" s="757"/>
      <c r="AB47" s="757"/>
      <c r="AC47" s="757"/>
    </row>
    <row r="48" spans="1:29" ht="15.75" thickBot="1">
      <c r="A48" s="485" t="s">
        <v>2649</v>
      </c>
      <c r="B48" s="486"/>
      <c r="C48" s="1408">
        <f>R49</f>
        <v>8.1999999999999993</v>
      </c>
      <c r="D48" s="1409"/>
      <c r="E48" s="1410">
        <f>R48</f>
        <v>7.7</v>
      </c>
      <c r="F48" s="1410"/>
      <c r="G48" s="1408">
        <f>T48</f>
        <v>8.6</v>
      </c>
      <c r="H48" s="1409"/>
      <c r="I48" s="1410">
        <f>V48</f>
        <v>8.3000000000000007</v>
      </c>
      <c r="J48" s="1409"/>
      <c r="K48" s="782"/>
      <c r="L48" s="1138"/>
      <c r="M48" s="1139"/>
      <c r="N48" s="1126"/>
      <c r="O48" s="1139"/>
      <c r="P48" s="3201" t="str">
        <f>A48</f>
        <v>比较价值（元/平方米）</v>
      </c>
      <c r="Q48" s="3201"/>
      <c r="R48" s="3276">
        <f>IF(F1="售价",ROUND(PRODUCT(R47,AA7:AA46),0),ROUND(PRODUCT(R47,AA7:AA46),1))</f>
        <v>7.7</v>
      </c>
      <c r="S48" s="3276"/>
      <c r="T48" s="3276">
        <f>IF(F1="售价",ROUND(PRODUCT(T47,AB7:AB46),0),ROUND(PRODUCT(T47,AB7:AB46),1))</f>
        <v>8.6</v>
      </c>
      <c r="U48" s="3276"/>
      <c r="V48" s="3276">
        <f>IF(F1="售价",ROUND(PRODUCT(V47,AC7:AC46),0),ROUND(PRODUCT(V47,AC7:AC46),1))</f>
        <v>8.3000000000000007</v>
      </c>
      <c r="W48" s="3276"/>
      <c r="X48" s="757"/>
      <c r="Y48" s="757"/>
      <c r="Z48" s="757"/>
      <c r="AA48" s="757"/>
      <c r="AB48" s="757"/>
      <c r="AC48" s="757"/>
    </row>
    <row r="49" spans="1:29" ht="15.75" thickBot="1">
      <c r="A49" s="491" t="s">
        <v>2650</v>
      </c>
      <c r="B49" s="492"/>
      <c r="C49" s="1412">
        <f>R49</f>
        <v>8.1999999999999993</v>
      </c>
      <c r="D49" s="1412"/>
      <c r="E49" s="1412"/>
      <c r="F49" s="1412"/>
      <c r="G49" s="1412"/>
      <c r="H49" s="1412"/>
      <c r="I49" s="1412"/>
      <c r="J49" s="1412"/>
      <c r="K49" s="783"/>
      <c r="L49" s="1138"/>
      <c r="M49" s="1139"/>
      <c r="N49" s="1126"/>
      <c r="O49" s="1139"/>
      <c r="P49" s="3237" t="str">
        <f>A49</f>
        <v>估价对象XX用房的比较价值（楼面单价，元/平方米）</v>
      </c>
      <c r="Q49" s="3238"/>
      <c r="R49" s="3275">
        <f>IF(F1="售价",ROUND(AVERAGE(R48:V48),0),ROUND(AVERAGE(R48:V48),1))</f>
        <v>8.1999999999999993</v>
      </c>
      <c r="S49" s="3275"/>
      <c r="T49" s="3275"/>
      <c r="U49" s="3275"/>
      <c r="V49" s="3275"/>
      <c r="W49" s="3275"/>
      <c r="X49" s="757"/>
      <c r="Y49" s="757"/>
      <c r="Z49" s="757"/>
      <c r="AA49" s="757"/>
      <c r="AB49" s="757"/>
      <c r="AC49" s="757"/>
    </row>
    <row r="50" spans="1:29">
      <c r="A50" s="1139"/>
      <c r="B50" s="1139"/>
      <c r="C50" s="1139"/>
      <c r="D50" s="1139"/>
      <c r="E50" s="1139"/>
      <c r="F50" s="1139"/>
      <c r="G50" s="1142"/>
      <c r="H50" s="1139"/>
      <c r="I50" s="1139"/>
      <c r="J50" s="1139"/>
      <c r="K50" s="1100"/>
      <c r="L50" s="1101"/>
      <c r="M50" s="1139"/>
      <c r="N50" s="1139"/>
      <c r="O50" s="1139"/>
      <c r="P50" s="673"/>
      <c r="Q50" s="757"/>
      <c r="R50" s="757"/>
      <c r="S50" s="757"/>
      <c r="T50" s="757"/>
      <c r="U50" s="757"/>
      <c r="V50" s="757"/>
      <c r="W50" s="757"/>
      <c r="X50" s="757"/>
      <c r="Y50" s="757"/>
      <c r="Z50" s="757"/>
      <c r="AA50" s="757"/>
      <c r="AB50" s="757"/>
      <c r="AC50" s="757"/>
    </row>
    <row r="51" spans="1:29">
      <c r="A51" s="1139"/>
      <c r="B51" s="1139"/>
      <c r="C51" s="1139"/>
      <c r="D51" s="1139"/>
      <c r="E51" s="1139"/>
      <c r="F51" s="1139"/>
      <c r="G51" s="1139"/>
      <c r="H51" s="1139"/>
      <c r="I51" s="1139"/>
      <c r="J51" s="1139"/>
      <c r="K51" s="1100"/>
      <c r="L51" s="1101"/>
      <c r="M51" s="1139"/>
      <c r="N51" s="1139"/>
      <c r="O51" s="1139"/>
      <c r="P51" s="673"/>
      <c r="Q51" s="757"/>
      <c r="R51" s="757"/>
      <c r="S51" s="757"/>
      <c r="T51" s="757"/>
      <c r="U51" s="757"/>
      <c r="V51" s="757"/>
      <c r="W51" s="757"/>
      <c r="X51" s="757"/>
      <c r="Y51" s="757"/>
      <c r="Z51" s="757"/>
      <c r="AA51" s="757"/>
      <c r="AB51" s="757"/>
      <c r="AC51" s="757"/>
    </row>
    <row r="52" spans="1:29" ht="13.5" customHeight="1">
      <c r="A52" s="1139"/>
      <c r="B52" s="1139"/>
      <c r="C52" s="496" t="s">
        <v>2651</v>
      </c>
      <c r="D52" s="497"/>
      <c r="E52" s="498">
        <f>IF(E47&lt;E48,E48/E47-1,E47/E48-1)</f>
        <v>3.8961038961038863E-2</v>
      </c>
      <c r="F52" s="499" t="str">
        <f>IF(OR(E52&gt;=0.3,E52&lt;=-0.3),"超过30%","")</f>
        <v/>
      </c>
      <c r="G52" s="498">
        <f>IF(G47&lt;G48,G48/G47-1,G47/G48-1)</f>
        <v>0.16279069767441867</v>
      </c>
      <c r="H52" s="499" t="str">
        <f>IF(OR(G52&gt;=0.3,G52&lt;=-0.3),"超过30%","")</f>
        <v/>
      </c>
      <c r="I52" s="498">
        <f>IF(I47&lt;I48,I48/I47-1,I47/I48-1)</f>
        <v>8.43373493975903E-2</v>
      </c>
      <c r="J52" s="499" t="str">
        <f>IF(OR(I52&gt;=0.3,I52&lt;=-0.3),"超过30%","")</f>
        <v/>
      </c>
      <c r="K52" s="1100"/>
      <c r="L52" s="1101"/>
      <c r="M52" s="1139"/>
      <c r="N52" s="1139"/>
      <c r="O52" s="1139"/>
      <c r="P52" s="673"/>
      <c r="Q52" s="757"/>
      <c r="R52" s="757"/>
      <c r="S52" s="757"/>
      <c r="T52" s="757"/>
      <c r="U52" s="757"/>
      <c r="V52" s="757"/>
      <c r="W52" s="757"/>
      <c r="X52" s="757"/>
      <c r="Y52" s="757"/>
      <c r="Z52" s="757"/>
      <c r="AA52" s="757"/>
      <c r="AB52" s="757"/>
      <c r="AC52" s="757"/>
    </row>
    <row r="53" spans="1:29" ht="13.5" customHeight="1">
      <c r="A53" s="1139"/>
      <c r="B53" s="1139"/>
      <c r="C53" s="496" t="s">
        <v>2652</v>
      </c>
      <c r="D53" s="500"/>
      <c r="E53" s="498">
        <f>IF(E48&lt;G48,G48/E48-1,E48/G48-1)</f>
        <v>0.11688311688311681</v>
      </c>
      <c r="F53" s="499" t="str">
        <f>IF(OR(E53&gt;=0.2,E53&lt;=-0.2),"超过20%","")</f>
        <v/>
      </c>
      <c r="G53" s="498">
        <f>IF(G48&lt;I48,I48/G48-1,G48/I48-1)</f>
        <v>3.6144578313252795E-2</v>
      </c>
      <c r="H53" s="499" t="str">
        <f>IF(OR(G53&gt;=0.2,G53&lt;=-0.2),"超过20%","")</f>
        <v/>
      </c>
      <c r="I53" s="498">
        <f>IF(I48&lt;E48,E48/I48-1,I48/E48-1)</f>
        <v>7.7922077922077948E-2</v>
      </c>
      <c r="J53" s="499" t="str">
        <f>IF(OR(I53&gt;=0.2,I53&lt;=-0.2),"超过20%","")</f>
        <v/>
      </c>
      <c r="K53" s="1100"/>
      <c r="L53" s="1101"/>
      <c r="M53" s="1139"/>
      <c r="N53" s="1139"/>
      <c r="O53" s="1139"/>
      <c r="P53" s="673"/>
      <c r="Q53" s="757"/>
      <c r="R53" s="757"/>
      <c r="S53" s="757"/>
      <c r="T53" s="757"/>
      <c r="U53" s="757"/>
      <c r="V53" s="757"/>
      <c r="W53" s="757"/>
      <c r="X53" s="757"/>
      <c r="Y53" s="757"/>
      <c r="Z53" s="757"/>
      <c r="AA53" s="757"/>
      <c r="AB53" s="757"/>
      <c r="AC53" s="757"/>
    </row>
    <row r="54" spans="1:29" s="501" customFormat="1" ht="13.5" customHeight="1">
      <c r="A54" s="1140"/>
      <c r="B54" s="1140"/>
      <c r="C54" s="496" t="s">
        <v>2653</v>
      </c>
      <c r="D54" s="500"/>
      <c r="E54" s="498">
        <f>IF(E47&lt;G47,G47/E47-1,E47/G47-1)</f>
        <v>0.25</v>
      </c>
      <c r="F54" s="499" t="str">
        <f>IF(OR(E54&gt;=0.3,E54&lt;=-0.3),"超过30%","")</f>
        <v/>
      </c>
      <c r="G54" s="498">
        <f>IF(G47&lt;I47,I47/G47-1,G47/I47-1)</f>
        <v>0.11111111111111116</v>
      </c>
      <c r="H54" s="499" t="str">
        <f>IF(OR(G54&gt;=0.3,G54&lt;=-0.3),"超过30%","")</f>
        <v/>
      </c>
      <c r="I54" s="498">
        <f>IF(I47&lt;E47,E47/I47-1,I47/E47-1)</f>
        <v>0.125</v>
      </c>
      <c r="J54" s="499" t="str">
        <f>IF(OR(I54&gt;=0.3,I54&lt;=-0.3),"超过30%","")</f>
        <v/>
      </c>
      <c r="K54" s="1143"/>
      <c r="L54" s="1144"/>
      <c r="M54" s="1140"/>
      <c r="N54" s="1140"/>
      <c r="O54" s="1140"/>
      <c r="P54" s="2650"/>
      <c r="Q54" s="758"/>
      <c r="R54" s="758"/>
      <c r="S54" s="758"/>
      <c r="T54" s="758"/>
      <c r="U54" s="758"/>
      <c r="V54" s="758"/>
      <c r="W54" s="758"/>
      <c r="X54" s="758"/>
      <c r="Y54" s="758"/>
      <c r="Z54" s="758"/>
      <c r="AA54" s="758"/>
      <c r="AB54" s="758"/>
      <c r="AC54" s="758"/>
    </row>
    <row r="55" spans="1:29" s="501" customFormat="1">
      <c r="A55" s="1140"/>
      <c r="B55" s="1141"/>
      <c r="C55" s="1145"/>
      <c r="D55" s="1140"/>
      <c r="E55" s="1140"/>
      <c r="F55" s="1140"/>
      <c r="G55" s="1140"/>
      <c r="H55" s="1140"/>
      <c r="I55" s="1140"/>
      <c r="J55" s="1140"/>
      <c r="K55" s="1143"/>
      <c r="L55" s="1144"/>
      <c r="M55" s="1140"/>
      <c r="N55" s="1140"/>
      <c r="O55" s="1140"/>
      <c r="P55" s="2650"/>
      <c r="Q55" s="758"/>
      <c r="R55" s="758"/>
      <c r="S55" s="758"/>
      <c r="T55" s="758"/>
      <c r="U55" s="758"/>
      <c r="V55" s="758"/>
      <c r="W55" s="758"/>
      <c r="X55" s="758"/>
      <c r="Y55" s="758"/>
      <c r="Z55" s="758"/>
      <c r="AA55" s="758"/>
      <c r="AB55" s="758"/>
      <c r="AC55" s="758"/>
    </row>
    <row r="56" spans="1:29">
      <c r="A56" s="1139"/>
      <c r="B56" s="1141"/>
      <c r="C56" s="1145"/>
      <c r="D56" s="1139"/>
      <c r="E56" s="1139"/>
      <c r="F56" s="1139"/>
      <c r="G56" s="1139"/>
      <c r="H56" s="1139"/>
      <c r="I56" s="1139"/>
      <c r="J56" s="1139"/>
      <c r="K56" s="1100"/>
      <c r="L56" s="1101"/>
      <c r="M56" s="1139"/>
      <c r="N56" s="1139"/>
      <c r="O56" s="1139"/>
      <c r="P56" s="673"/>
      <c r="Q56" s="757"/>
      <c r="R56" s="757"/>
      <c r="S56" s="757"/>
      <c r="T56" s="757"/>
      <c r="U56" s="757"/>
      <c r="V56" s="757"/>
      <c r="W56" s="757"/>
      <c r="X56" s="757"/>
      <c r="Y56" s="757"/>
      <c r="Z56" s="757"/>
      <c r="AA56" s="757"/>
      <c r="AB56" s="757"/>
      <c r="AC56" s="757"/>
    </row>
    <row r="57" spans="1:29" ht="21.75" thickBot="1">
      <c r="A57" s="761" t="s">
        <v>2654</v>
      </c>
      <c r="B57" s="757"/>
      <c r="C57" s="762"/>
      <c r="D57" s="762"/>
      <c r="E57" s="762"/>
      <c r="F57" s="763"/>
      <c r="G57" s="763"/>
      <c r="H57" s="762"/>
      <c r="I57" s="762"/>
      <c r="J57" s="762"/>
      <c r="K57" s="764"/>
      <c r="L57" s="1156"/>
      <c r="M57" s="1154"/>
      <c r="N57" s="1154"/>
      <c r="O57" s="1154"/>
      <c r="P57" s="2651"/>
      <c r="Q57" s="2652"/>
      <c r="R57" s="757"/>
      <c r="S57" s="757"/>
      <c r="T57" s="757"/>
      <c r="U57" s="757"/>
      <c r="V57" s="757"/>
      <c r="W57" s="757"/>
      <c r="X57" s="757"/>
      <c r="Y57" s="757"/>
      <c r="Z57" s="757"/>
      <c r="AA57" s="757"/>
      <c r="AB57" s="757"/>
      <c r="AC57" s="757"/>
    </row>
    <row r="58" spans="1:29" s="507" customFormat="1" ht="15">
      <c r="A58" s="504" t="s">
        <v>2528</v>
      </c>
      <c r="B58" s="505"/>
      <c r="C58" s="1567" t="str">
        <f>YEAR(C7)&amp;"-"&amp;MONTH(C7)</f>
        <v>2018-4</v>
      </c>
      <c r="D58" s="1568">
        <f>EDATE(C58,-1)</f>
        <v>43160</v>
      </c>
      <c r="E58" s="1568">
        <f t="shared" ref="E58:N58" si="16">EDATE(D58,-1)</f>
        <v>43132</v>
      </c>
      <c r="F58" s="1568">
        <f t="shared" si="16"/>
        <v>43101</v>
      </c>
      <c r="G58" s="1568">
        <f t="shared" si="16"/>
        <v>43070</v>
      </c>
      <c r="H58" s="1568">
        <f t="shared" si="16"/>
        <v>43040</v>
      </c>
      <c r="I58" s="1568">
        <f t="shared" si="16"/>
        <v>43009</v>
      </c>
      <c r="J58" s="1568">
        <f t="shared" si="16"/>
        <v>42979</v>
      </c>
      <c r="K58" s="1568">
        <f t="shared" si="16"/>
        <v>42948</v>
      </c>
      <c r="L58" s="1568">
        <f t="shared" si="16"/>
        <v>42917</v>
      </c>
      <c r="M58" s="1568">
        <f t="shared" si="16"/>
        <v>42887</v>
      </c>
      <c r="N58" s="1568">
        <f t="shared" si="16"/>
        <v>42856</v>
      </c>
      <c r="O58" s="1568">
        <f>EDATE(N58,-1)</f>
        <v>42826</v>
      </c>
      <c r="P58" s="1563"/>
    </row>
    <row r="59" spans="1:29" s="117" customFormat="1" ht="15">
      <c r="A59" s="508"/>
      <c r="B59" s="509"/>
      <c r="C59" s="1566">
        <v>100</v>
      </c>
      <c r="D59" s="511"/>
      <c r="E59" s="511"/>
      <c r="F59" s="511"/>
      <c r="G59" s="511"/>
      <c r="H59" s="511"/>
      <c r="I59" s="511"/>
      <c r="J59" s="511"/>
      <c r="K59" s="511"/>
      <c r="L59" s="511"/>
      <c r="M59" s="512"/>
      <c r="N59" s="511"/>
      <c r="O59" s="512"/>
      <c r="P59" s="2612"/>
    </row>
    <row r="60" spans="1:29" s="117" customFormat="1" ht="15.75" thickBot="1">
      <c r="A60" s="514" t="s">
        <v>2565</v>
      </c>
      <c r="B60" s="515"/>
      <c r="C60" s="516"/>
      <c r="D60" s="517"/>
      <c r="E60" s="517"/>
      <c r="F60" s="517"/>
      <c r="G60" s="517"/>
      <c r="H60" s="517"/>
      <c r="I60" s="517"/>
      <c r="J60" s="517"/>
      <c r="K60" s="517"/>
      <c r="L60" s="517"/>
      <c r="M60" s="518"/>
      <c r="N60" s="517"/>
      <c r="O60" s="518"/>
      <c r="P60" s="2612"/>
      <c r="Q60" s="503"/>
    </row>
    <row r="61" spans="1:29" s="117" customFormat="1" ht="15">
      <c r="A61" s="520" t="s">
        <v>2530</v>
      </c>
      <c r="B61" s="509"/>
      <c r="C61" s="521" t="s">
        <v>2632</v>
      </c>
      <c r="D61" s="522"/>
      <c r="E61" s="522"/>
      <c r="F61" s="522"/>
      <c r="G61" s="522"/>
      <c r="H61" s="522"/>
      <c r="I61" s="522"/>
      <c r="J61" s="522"/>
      <c r="K61" s="522"/>
      <c r="L61" s="523"/>
      <c r="M61" s="524"/>
      <c r="N61" s="1146"/>
      <c r="O61" s="1146"/>
      <c r="P61" s="2613"/>
      <c r="Q61" s="503"/>
    </row>
    <row r="62" spans="1:29" s="117" customFormat="1" ht="15.75" thickBot="1">
      <c r="A62" s="520"/>
      <c r="B62" s="509"/>
      <c r="C62" s="510">
        <v>100</v>
      </c>
      <c r="D62" s="511"/>
      <c r="E62" s="511"/>
      <c r="F62" s="511"/>
      <c r="G62" s="511"/>
      <c r="H62" s="511"/>
      <c r="I62" s="511"/>
      <c r="J62" s="511"/>
      <c r="K62" s="511"/>
      <c r="L62" s="511"/>
      <c r="M62" s="513"/>
      <c r="N62" s="1146"/>
      <c r="O62" s="1146"/>
      <c r="P62" s="2612"/>
      <c r="Q62" s="503"/>
    </row>
    <row r="63" spans="1:29">
      <c r="A63" s="526" t="s">
        <v>2568</v>
      </c>
      <c r="B63" s="527" t="s">
        <v>2534</v>
      </c>
      <c r="C63" s="528" t="str">
        <f>C9</f>
        <v>商业</v>
      </c>
      <c r="D63" s="529"/>
      <c r="E63" s="529"/>
      <c r="F63" s="529"/>
      <c r="G63" s="529"/>
      <c r="H63" s="529"/>
      <c r="I63" s="529"/>
      <c r="J63" s="529"/>
      <c r="K63" s="530"/>
      <c r="L63" s="531"/>
      <c r="M63" s="532"/>
      <c r="N63" s="1147"/>
      <c r="O63" s="1147"/>
      <c r="P63" s="2614"/>
      <c r="Q63" s="503"/>
    </row>
    <row r="64" spans="1:29" ht="15.75" thickBot="1">
      <c r="A64" s="533"/>
      <c r="B64" s="534"/>
      <c r="C64" s="535">
        <v>100</v>
      </c>
      <c r="D64" s="535"/>
      <c r="E64" s="535"/>
      <c r="F64" s="535"/>
      <c r="G64" s="535"/>
      <c r="H64" s="535"/>
      <c r="I64" s="535"/>
      <c r="J64" s="535"/>
      <c r="K64" s="535"/>
      <c r="L64" s="535"/>
      <c r="M64" s="536"/>
      <c r="N64" s="1148"/>
      <c r="O64" s="1148"/>
      <c r="P64" s="2614"/>
      <c r="Q64" s="503"/>
    </row>
    <row r="65" spans="1:17" ht="27.75" thickTop="1">
      <c r="A65" s="533"/>
      <c r="B65" s="537" t="s">
        <v>2537</v>
      </c>
      <c r="C65" s="538" t="s">
        <v>2569</v>
      </c>
      <c r="D65" s="538" t="s">
        <v>2570</v>
      </c>
      <c r="E65" s="538" t="s">
        <v>2571</v>
      </c>
      <c r="F65" s="538" t="s">
        <v>2572</v>
      </c>
      <c r="G65" s="538" t="s">
        <v>2573</v>
      </c>
      <c r="H65" s="538" t="s">
        <v>2574</v>
      </c>
      <c r="I65" s="538" t="s">
        <v>2575</v>
      </c>
      <c r="J65" s="538"/>
      <c r="K65" s="539"/>
      <c r="L65" s="540"/>
      <c r="M65" s="541"/>
      <c r="N65" s="1147"/>
      <c r="O65" s="1147"/>
      <c r="P65" s="261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48"/>
      <c r="O66" s="1148"/>
      <c r="P66" s="2614"/>
      <c r="Q66" s="503"/>
    </row>
    <row r="67" spans="1:17" ht="15.75" thickTop="1">
      <c r="A67" s="533"/>
      <c r="B67" s="545" t="s">
        <v>2538</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48"/>
      <c r="O67" s="1148"/>
      <c r="P67" s="2614"/>
      <c r="Q67" s="503"/>
    </row>
    <row r="68" spans="1:17" ht="15">
      <c r="A68" s="533"/>
      <c r="B68" s="547"/>
      <c r="C68" s="548">
        <f>'比较法-办公'!C69</f>
        <v>0</v>
      </c>
      <c r="D68" s="548">
        <f>'比较法-办公'!D69</f>
        <v>1</v>
      </c>
      <c r="E68" s="548">
        <f>'比较法-办公'!E69</f>
        <v>2</v>
      </c>
      <c r="F68" s="548">
        <f>'比较法-办公'!F69</f>
        <v>3</v>
      </c>
      <c r="G68" s="548">
        <f>'比较法-办公'!G69</f>
        <v>4</v>
      </c>
      <c r="H68" s="548">
        <f>'比较法-办公'!H69</f>
        <v>5</v>
      </c>
      <c r="I68" s="548"/>
      <c r="J68" s="548"/>
      <c r="K68" s="549"/>
      <c r="L68" s="550"/>
      <c r="M68" s="551"/>
      <c r="N68" s="1147"/>
      <c r="O68" s="1147"/>
      <c r="P68" s="261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8"/>
      <c r="O69" s="1148"/>
      <c r="P69" s="2614"/>
      <c r="Q69" s="503"/>
    </row>
    <row r="70" spans="1:17" s="470" customFormat="1" ht="15.75" thickTop="1">
      <c r="A70" s="552"/>
      <c r="B70" s="537">
        <f>B12</f>
        <v>111</v>
      </c>
      <c r="C70" s="553"/>
      <c r="D70" s="553"/>
      <c r="E70" s="553"/>
      <c r="F70" s="553"/>
      <c r="G70" s="553"/>
      <c r="H70" s="554"/>
      <c r="I70" s="554"/>
      <c r="J70" s="554"/>
      <c r="K70" s="554"/>
      <c r="L70" s="555"/>
      <c r="M70" s="556"/>
      <c r="N70" s="1149"/>
      <c r="O70" s="1149"/>
      <c r="P70" s="2615"/>
      <c r="Q70" s="558"/>
    </row>
    <row r="71" spans="1:17" s="470" customFormat="1" ht="15.75" thickBot="1">
      <c r="A71" s="552"/>
      <c r="B71" s="542"/>
      <c r="C71" s="559"/>
      <c r="D71" s="535"/>
      <c r="E71" s="535"/>
      <c r="F71" s="535"/>
      <c r="G71" s="535"/>
      <c r="H71" s="535"/>
      <c r="I71" s="535"/>
      <c r="J71" s="535"/>
      <c r="K71" s="535"/>
      <c r="L71" s="535"/>
      <c r="M71" s="536"/>
      <c r="N71" s="1148"/>
      <c r="O71" s="1148"/>
      <c r="P71" s="2615"/>
      <c r="Q71" s="558"/>
    </row>
    <row r="72" spans="1:17" s="470" customFormat="1" ht="15.75" thickTop="1">
      <c r="A72" s="552"/>
      <c r="B72" s="537">
        <f>B13</f>
        <v>111</v>
      </c>
      <c r="C72" s="553"/>
      <c r="D72" s="553"/>
      <c r="E72" s="553"/>
      <c r="F72" s="553"/>
      <c r="G72" s="553"/>
      <c r="H72" s="554"/>
      <c r="I72" s="554"/>
      <c r="J72" s="554"/>
      <c r="K72" s="554"/>
      <c r="L72" s="555"/>
      <c r="M72" s="556"/>
      <c r="N72" s="1149"/>
      <c r="O72" s="1149"/>
      <c r="P72" s="2616"/>
      <c r="Q72" s="560"/>
    </row>
    <row r="73" spans="1:17" s="470" customFormat="1" ht="15.75" thickBot="1">
      <c r="A73" s="552"/>
      <c r="B73" s="542"/>
      <c r="C73" s="559"/>
      <c r="D73" s="535"/>
      <c r="E73" s="535"/>
      <c r="F73" s="535"/>
      <c r="G73" s="559"/>
      <c r="H73" s="561"/>
      <c r="I73" s="561"/>
      <c r="J73" s="561"/>
      <c r="K73" s="561"/>
      <c r="L73" s="561"/>
      <c r="M73" s="562"/>
      <c r="N73" s="1149"/>
      <c r="O73" s="1149"/>
      <c r="P73" s="2615"/>
      <c r="Q73" s="558"/>
    </row>
    <row r="74" spans="1:17" s="470" customFormat="1" ht="15.75" thickTop="1">
      <c r="A74" s="552"/>
      <c r="B74" s="545">
        <f>B14</f>
        <v>111</v>
      </c>
      <c r="C74" s="553"/>
      <c r="D74" s="553"/>
      <c r="E74" s="553"/>
      <c r="F74" s="553"/>
      <c r="G74" s="522"/>
      <c r="H74" s="563"/>
      <c r="I74" s="563"/>
      <c r="J74" s="563"/>
      <c r="K74" s="563"/>
      <c r="L74" s="564"/>
      <c r="M74" s="565"/>
      <c r="N74" s="1149"/>
      <c r="O74" s="1149"/>
      <c r="P74" s="2617"/>
      <c r="Q74" s="558"/>
    </row>
    <row r="75" spans="1:17" s="470" customFormat="1" ht="15.75" thickBot="1">
      <c r="A75" s="567"/>
      <c r="B75" s="568"/>
      <c r="C75" s="569"/>
      <c r="D75" s="569"/>
      <c r="E75" s="569"/>
      <c r="F75" s="569"/>
      <c r="G75" s="569"/>
      <c r="H75" s="570"/>
      <c r="I75" s="570"/>
      <c r="J75" s="570"/>
      <c r="K75" s="570"/>
      <c r="L75" s="570"/>
      <c r="M75" s="571"/>
      <c r="N75" s="1149"/>
      <c r="O75" s="1149"/>
      <c r="P75" s="2615"/>
      <c r="Q75" s="558"/>
    </row>
    <row r="76" spans="1:17">
      <c r="A76" s="526" t="s">
        <v>2539</v>
      </c>
      <c r="B76" s="527" t="s">
        <v>2576</v>
      </c>
      <c r="C76" s="572" t="s">
        <v>2577</v>
      </c>
      <c r="D76" s="572" t="s">
        <v>2578</v>
      </c>
      <c r="E76" s="572" t="s">
        <v>2579</v>
      </c>
      <c r="F76" s="572" t="s">
        <v>2580</v>
      </c>
      <c r="G76" s="572" t="s">
        <v>2581</v>
      </c>
      <c r="H76" s="528"/>
      <c r="I76" s="528"/>
      <c r="J76" s="528"/>
      <c r="K76" s="573"/>
      <c r="L76" s="574"/>
      <c r="M76" s="575"/>
      <c r="N76" s="1147"/>
      <c r="O76" s="1147"/>
      <c r="P76" s="261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8"/>
      <c r="O77" s="1148"/>
      <c r="P77" s="2614"/>
      <c r="Q77" s="503"/>
    </row>
    <row r="78" spans="1:17" ht="15.75" thickTop="1">
      <c r="A78" s="533"/>
      <c r="B78" s="537" t="s">
        <v>2582</v>
      </c>
      <c r="C78" s="577" t="s">
        <v>2577</v>
      </c>
      <c r="D78" s="577" t="s">
        <v>2578</v>
      </c>
      <c r="E78" s="577" t="s">
        <v>2579</v>
      </c>
      <c r="F78" s="577" t="s">
        <v>2580</v>
      </c>
      <c r="G78" s="577" t="s">
        <v>2581</v>
      </c>
      <c r="H78" s="538"/>
      <c r="I78" s="538"/>
      <c r="J78" s="538"/>
      <c r="K78" s="539"/>
      <c r="L78" s="540"/>
      <c r="M78" s="541"/>
      <c r="N78" s="1147"/>
      <c r="O78" s="1147"/>
      <c r="P78" s="261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48"/>
      <c r="O79" s="1148"/>
      <c r="P79" s="2614"/>
      <c r="Q79" s="503"/>
    </row>
    <row r="80" spans="1:17" ht="15.75" thickTop="1">
      <c r="A80" s="533"/>
      <c r="B80" s="537" t="s">
        <v>2583</v>
      </c>
      <c r="C80" s="577" t="s">
        <v>2577</v>
      </c>
      <c r="D80" s="577" t="s">
        <v>2578</v>
      </c>
      <c r="E80" s="577" t="s">
        <v>2579</v>
      </c>
      <c r="F80" s="577" t="s">
        <v>2580</v>
      </c>
      <c r="G80" s="577" t="s">
        <v>2581</v>
      </c>
      <c r="H80" s="538"/>
      <c r="I80" s="538"/>
      <c r="J80" s="538"/>
      <c r="K80" s="539"/>
      <c r="L80" s="540"/>
      <c r="M80" s="541"/>
      <c r="N80" s="1147"/>
      <c r="O80" s="1147"/>
      <c r="P80" s="261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8"/>
      <c r="O81" s="1148"/>
      <c r="P81" s="2614"/>
      <c r="Q81" s="503"/>
    </row>
    <row r="82" spans="1:17" ht="15.75" thickTop="1">
      <c r="A82" s="533"/>
      <c r="B82" s="545" t="s">
        <v>2635</v>
      </c>
      <c r="C82" s="658" t="s">
        <v>2655</v>
      </c>
      <c r="D82" s="658" t="s">
        <v>2656</v>
      </c>
      <c r="E82" s="658" t="s">
        <v>2657</v>
      </c>
      <c r="F82" s="658" t="s">
        <v>2658</v>
      </c>
      <c r="G82" s="658" t="s">
        <v>2659</v>
      </c>
      <c r="H82" s="538"/>
      <c r="I82" s="538"/>
      <c r="J82" s="538"/>
      <c r="K82" s="538"/>
      <c r="L82" s="538"/>
      <c r="M82" s="1377"/>
      <c r="N82" s="1148"/>
      <c r="O82" s="1148"/>
      <c r="P82" s="2614"/>
      <c r="Q82" s="503"/>
    </row>
    <row r="83" spans="1:17" ht="15.75" thickBot="1">
      <c r="A83" s="533"/>
      <c r="B83" s="545"/>
      <c r="C83" s="543">
        <v>100</v>
      </c>
      <c r="D83" s="543">
        <f>C83-$K21</f>
        <v>99</v>
      </c>
      <c r="E83" s="543">
        <f t="shared" ref="E83:G83" si="19">D83-$K21</f>
        <v>98</v>
      </c>
      <c r="F83" s="543">
        <f t="shared" si="19"/>
        <v>97</v>
      </c>
      <c r="G83" s="543">
        <f t="shared" si="19"/>
        <v>96</v>
      </c>
      <c r="H83" s="658"/>
      <c r="I83" s="658"/>
      <c r="J83" s="658"/>
      <c r="K83" s="658"/>
      <c r="L83" s="658"/>
      <c r="M83" s="449"/>
      <c r="N83" s="1148"/>
      <c r="O83" s="1148"/>
      <c r="P83" s="2614"/>
      <c r="Q83" s="503"/>
    </row>
    <row r="84" spans="1:17" ht="15.75" thickTop="1">
      <c r="A84" s="533"/>
      <c r="B84" s="537" t="s">
        <v>2589</v>
      </c>
      <c r="C84" s="577" t="s">
        <v>2577</v>
      </c>
      <c r="D84" s="577" t="s">
        <v>2578</v>
      </c>
      <c r="E84" s="577" t="s">
        <v>2579</v>
      </c>
      <c r="F84" s="577" t="s">
        <v>2580</v>
      </c>
      <c r="G84" s="577" t="s">
        <v>2581</v>
      </c>
      <c r="H84" s="538"/>
      <c r="I84" s="538"/>
      <c r="J84" s="538"/>
      <c r="K84" s="539"/>
      <c r="L84" s="540"/>
      <c r="M84" s="541"/>
      <c r="N84" s="1147"/>
      <c r="O84" s="1147"/>
      <c r="P84" s="261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8"/>
      <c r="O85" s="1148"/>
      <c r="P85" s="2614"/>
      <c r="Q85" s="503"/>
    </row>
    <row r="86" spans="1:17" s="117" customFormat="1" ht="15.75" thickTop="1">
      <c r="A86" s="578"/>
      <c r="B86" s="537" t="s">
        <v>2660</v>
      </c>
      <c r="C86" s="2947" t="s">
        <v>3217</v>
      </c>
      <c r="D86" s="2947" t="s">
        <v>3218</v>
      </c>
      <c r="E86" s="2947" t="s">
        <v>3220</v>
      </c>
      <c r="F86" s="553"/>
      <c r="G86" s="553"/>
      <c r="H86" s="553"/>
      <c r="I86" s="553"/>
      <c r="J86" s="553"/>
      <c r="K86" s="553"/>
      <c r="L86" s="579"/>
      <c r="M86" s="580"/>
      <c r="N86" s="1146"/>
      <c r="O86" s="1146"/>
      <c r="P86" s="2614"/>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48"/>
      <c r="O87" s="1148"/>
      <c r="P87" s="2614"/>
      <c r="Q87" s="503"/>
    </row>
    <row r="88" spans="1:17" s="117" customFormat="1" ht="15.75" thickTop="1">
      <c r="A88" s="578"/>
      <c r="B88" s="537" t="str">
        <f>B26</f>
        <v>平面位置/可视性</v>
      </c>
      <c r="C88" s="2947" t="s">
        <v>3050</v>
      </c>
      <c r="D88" s="553" t="s">
        <v>3049</v>
      </c>
      <c r="E88" s="553" t="s">
        <v>3119</v>
      </c>
      <c r="F88" s="2619" t="s">
        <v>3120</v>
      </c>
      <c r="G88" s="553" t="s">
        <v>3121</v>
      </c>
      <c r="H88" s="553"/>
      <c r="I88" s="553"/>
      <c r="J88" s="553"/>
      <c r="K88" s="553"/>
      <c r="L88" s="553"/>
      <c r="M88" s="580"/>
      <c r="N88" s="1146"/>
      <c r="O88" s="1146"/>
      <c r="P88" s="2614"/>
      <c r="Q88" s="503"/>
    </row>
    <row r="89" spans="1:17" s="117" customFormat="1" ht="15.75" thickBot="1">
      <c r="A89" s="578"/>
      <c r="B89" s="542"/>
      <c r="C89" s="559">
        <v>100</v>
      </c>
      <c r="D89" s="535">
        <v>98</v>
      </c>
      <c r="E89" s="535">
        <v>96</v>
      </c>
      <c r="F89" s="535">
        <v>94</v>
      </c>
      <c r="G89" s="535">
        <v>92</v>
      </c>
      <c r="H89" s="535"/>
      <c r="I89" s="535"/>
      <c r="J89" s="535"/>
      <c r="K89" s="535"/>
      <c r="L89" s="535"/>
      <c r="M89" s="535"/>
      <c r="N89" s="1148"/>
      <c r="O89" s="1148"/>
      <c r="P89" s="2614"/>
      <c r="Q89" s="503"/>
    </row>
    <row r="90" spans="1:17" s="470" customFormat="1" ht="15.75" thickTop="1">
      <c r="A90" s="552"/>
      <c r="B90" s="537" t="str">
        <f>B27</f>
        <v>人流量</v>
      </c>
      <c r="C90" s="553" t="s">
        <v>3050</v>
      </c>
      <c r="D90" s="553" t="s">
        <v>3049</v>
      </c>
      <c r="E90" s="553" t="s">
        <v>3119</v>
      </c>
      <c r="F90" s="553" t="s">
        <v>3120</v>
      </c>
      <c r="G90" s="553" t="s">
        <v>3121</v>
      </c>
      <c r="H90" s="554"/>
      <c r="I90" s="554"/>
      <c r="J90" s="554"/>
      <c r="K90" s="554"/>
      <c r="L90" s="555"/>
      <c r="M90" s="556"/>
      <c r="N90" s="1149"/>
      <c r="O90" s="1149"/>
      <c r="P90" s="2615"/>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49"/>
      <c r="O91" s="1149"/>
      <c r="P91" s="2615"/>
      <c r="Q91" s="558"/>
    </row>
    <row r="92" spans="1:17" ht="15.75" thickTop="1">
      <c r="A92" s="533"/>
      <c r="B92" s="537" t="str">
        <f>B28</f>
        <v>楼层</v>
      </c>
      <c r="C92" s="553" t="s">
        <v>3221</v>
      </c>
      <c r="D92" s="553"/>
      <c r="E92" s="553"/>
      <c r="F92" s="553"/>
      <c r="G92" s="553"/>
      <c r="H92" s="553"/>
      <c r="I92" s="553"/>
      <c r="J92" s="553"/>
      <c r="K92" s="553"/>
      <c r="L92" s="579"/>
      <c r="M92" s="580"/>
      <c r="N92" s="1147"/>
      <c r="O92" s="1147"/>
      <c r="P92" s="2614"/>
      <c r="Q92" s="503"/>
    </row>
    <row r="93" spans="1:17" ht="15.75" thickBot="1">
      <c r="A93" s="533"/>
      <c r="B93" s="542"/>
      <c r="C93" s="535">
        <v>100</v>
      </c>
      <c r="D93" s="535"/>
      <c r="E93" s="535"/>
      <c r="F93" s="535"/>
      <c r="G93" s="535"/>
      <c r="H93" s="535"/>
      <c r="I93" s="535"/>
      <c r="J93" s="535"/>
      <c r="K93" s="535"/>
      <c r="L93" s="535"/>
      <c r="M93" s="536"/>
      <c r="N93" s="1148"/>
      <c r="O93" s="1148"/>
      <c r="P93" s="2614"/>
      <c r="Q93" s="503"/>
    </row>
    <row r="94" spans="1:17" ht="15.75" thickTop="1">
      <c r="A94" s="533"/>
      <c r="B94" s="537">
        <f>B29</f>
        <v>111</v>
      </c>
      <c r="C94" s="553"/>
      <c r="D94" s="553"/>
      <c r="E94" s="553"/>
      <c r="F94" s="553"/>
      <c r="G94" s="582"/>
      <c r="H94" s="582"/>
      <c r="I94" s="582"/>
      <c r="J94" s="582"/>
      <c r="K94" s="583"/>
      <c r="L94" s="584"/>
      <c r="M94" s="585"/>
      <c r="N94" s="1147"/>
      <c r="O94" s="1147"/>
      <c r="P94" s="2614"/>
      <c r="Q94" s="503"/>
    </row>
    <row r="95" spans="1:17" ht="15.75" thickBot="1">
      <c r="A95" s="533"/>
      <c r="B95" s="542"/>
      <c r="C95" s="559"/>
      <c r="D95" s="535"/>
      <c r="E95" s="535"/>
      <c r="F95" s="535"/>
      <c r="G95" s="535"/>
      <c r="H95" s="535"/>
      <c r="I95" s="535"/>
      <c r="J95" s="535"/>
      <c r="K95" s="535"/>
      <c r="L95" s="535"/>
      <c r="M95" s="536"/>
      <c r="N95" s="1148"/>
      <c r="O95" s="1148"/>
      <c r="P95" s="2614"/>
      <c r="Q95" s="503"/>
    </row>
    <row r="96" spans="1:17" ht="15.75" thickTop="1">
      <c r="A96" s="533"/>
      <c r="B96" s="537">
        <f>B30</f>
        <v>111</v>
      </c>
      <c r="C96" s="553"/>
      <c r="D96" s="553"/>
      <c r="E96" s="553"/>
      <c r="F96" s="553"/>
      <c r="G96" s="582"/>
      <c r="H96" s="582"/>
      <c r="I96" s="582"/>
      <c r="J96" s="582"/>
      <c r="K96" s="583"/>
      <c r="L96" s="584"/>
      <c r="M96" s="585"/>
      <c r="N96" s="1147"/>
      <c r="O96" s="1147"/>
      <c r="P96" s="2614"/>
      <c r="Q96" s="503"/>
    </row>
    <row r="97" spans="1:17" ht="15.75" thickBot="1">
      <c r="A97" s="533"/>
      <c r="B97" s="542"/>
      <c r="C97" s="559"/>
      <c r="D97" s="535"/>
      <c r="E97" s="535"/>
      <c r="F97" s="535"/>
      <c r="G97" s="535"/>
      <c r="H97" s="535"/>
      <c r="I97" s="535"/>
      <c r="J97" s="535"/>
      <c r="K97" s="535"/>
      <c r="L97" s="535"/>
      <c r="M97" s="536"/>
      <c r="N97" s="1148"/>
      <c r="O97" s="1148"/>
      <c r="P97" s="2614"/>
      <c r="Q97" s="503"/>
    </row>
    <row r="98" spans="1:17" ht="15.75" thickTop="1">
      <c r="A98" s="533"/>
      <c r="B98" s="545">
        <f>B31</f>
        <v>111</v>
      </c>
      <c r="C98" s="553"/>
      <c r="D98" s="553"/>
      <c r="E98" s="553"/>
      <c r="F98" s="553"/>
      <c r="G98" s="586"/>
      <c r="H98" s="586"/>
      <c r="I98" s="586"/>
      <c r="J98" s="586"/>
      <c r="K98" s="587"/>
      <c r="L98" s="588"/>
      <c r="M98" s="589"/>
      <c r="N98" s="1147"/>
      <c r="O98" s="1147"/>
      <c r="P98" s="2614"/>
      <c r="Q98" s="503"/>
    </row>
    <row r="99" spans="1:17" ht="15.75" thickBot="1">
      <c r="A99" s="2620"/>
      <c r="B99" s="568"/>
      <c r="C99" s="569"/>
      <c r="D99" s="569"/>
      <c r="E99" s="569"/>
      <c r="F99" s="569"/>
      <c r="G99" s="590"/>
      <c r="H99" s="590"/>
      <c r="I99" s="590"/>
      <c r="J99" s="590"/>
      <c r="K99" s="590"/>
      <c r="L99" s="590"/>
      <c r="M99" s="591"/>
      <c r="N99" s="1148"/>
      <c r="O99" s="1148"/>
      <c r="P99" s="2614"/>
      <c r="Q99" s="503"/>
    </row>
    <row r="100" spans="1:17">
      <c r="A100" s="526" t="s">
        <v>2543</v>
      </c>
      <c r="B100" s="527" t="s">
        <v>2661</v>
      </c>
      <c r="C100" s="2943" t="s">
        <v>3250</v>
      </c>
      <c r="D100" s="2943" t="s">
        <v>3251</v>
      </c>
      <c r="E100" s="2943" t="s">
        <v>3249</v>
      </c>
      <c r="F100" s="2943" t="s">
        <v>3252</v>
      </c>
      <c r="G100" s="529"/>
      <c r="H100" s="529"/>
      <c r="I100" s="529"/>
      <c r="J100" s="529"/>
      <c r="K100" s="530"/>
      <c r="L100" s="531"/>
      <c r="M100" s="532"/>
      <c r="N100" s="1147"/>
      <c r="O100" s="1147"/>
      <c r="P100" s="2614"/>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48"/>
      <c r="O101" s="1148"/>
      <c r="P101" s="2614"/>
      <c r="Q101" s="503"/>
    </row>
    <row r="102" spans="1:17" ht="29.25" thickTop="1">
      <c r="A102" s="533"/>
      <c r="B102" s="537" t="s">
        <v>2593</v>
      </c>
      <c r="C102" s="577" t="str">
        <f>C103&amp;"(含)"&amp;"-"&amp;D103</f>
        <v>0(含)-10000</v>
      </c>
      <c r="D102" s="577" t="str">
        <f t="shared" ref="D102:L102" si="23">D103&amp;"(含)"&amp;"-"&amp;E103</f>
        <v>10000(含)-20000</v>
      </c>
      <c r="E102" s="577" t="str">
        <f t="shared" si="23"/>
        <v>20000(含)-40000</v>
      </c>
      <c r="F102" s="577" t="str">
        <f t="shared" si="23"/>
        <v>40000(含)-80000</v>
      </c>
      <c r="G102" s="577" t="str">
        <f t="shared" si="23"/>
        <v>80000(含)-160000</v>
      </c>
      <c r="H102" s="577" t="str">
        <f t="shared" si="23"/>
        <v>160000(含)-320000</v>
      </c>
      <c r="I102" s="577" t="str">
        <f t="shared" si="23"/>
        <v>320000(含)-10000000000</v>
      </c>
      <c r="J102" s="577" t="str">
        <f t="shared" si="23"/>
        <v>10000000000(含)-0</v>
      </c>
      <c r="K102" s="577" t="str">
        <f t="shared" si="23"/>
        <v>0(含)-</v>
      </c>
      <c r="L102" s="577" t="str">
        <f t="shared" si="23"/>
        <v>(含)-</v>
      </c>
      <c r="M102" s="620" t="str">
        <f>M103&amp;"(含)"&amp;"-"&amp;P103</f>
        <v>(含)-</v>
      </c>
      <c r="N102" s="1146"/>
      <c r="O102" s="1146"/>
      <c r="P102" s="2614"/>
      <c r="Q102" s="503"/>
    </row>
    <row r="103" spans="1:17" s="470" customFormat="1">
      <c r="A103" s="592"/>
      <c r="B103" s="593"/>
      <c r="C103" s="594">
        <f>'比较法-办公'!C104</f>
        <v>0</v>
      </c>
      <c r="D103" s="594">
        <f>'比较法-办公'!D104</f>
        <v>10000</v>
      </c>
      <c r="E103" s="594">
        <f>'比较法-办公'!E104</f>
        <v>20000</v>
      </c>
      <c r="F103" s="594">
        <f>'比较法-办公'!F104</f>
        <v>40000</v>
      </c>
      <c r="G103" s="594">
        <f>'比较法-办公'!G104</f>
        <v>80000</v>
      </c>
      <c r="H103" s="594">
        <f>'比较法-办公'!H104</f>
        <v>160000</v>
      </c>
      <c r="I103" s="594">
        <f>'比较法-办公'!I104</f>
        <v>320000</v>
      </c>
      <c r="J103" s="594">
        <f>'比较法-办公'!J104</f>
        <v>10000000000</v>
      </c>
      <c r="K103" s="594">
        <f>'比较法-办公'!K104</f>
        <v>0</v>
      </c>
      <c r="L103" s="596"/>
      <c r="M103" s="597"/>
      <c r="N103" s="1149"/>
      <c r="O103" s="1149"/>
      <c r="P103" s="2615"/>
      <c r="Q103" s="558"/>
    </row>
    <row r="104" spans="1:17" s="470" customFormat="1" ht="15.75" thickBot="1">
      <c r="A104" s="552"/>
      <c r="B104" s="542"/>
      <c r="C104" s="559">
        <f>'比较法-办公'!C105</f>
        <v>100</v>
      </c>
      <c r="D104" s="559">
        <f>'比较法-办公'!D105</f>
        <v>101</v>
      </c>
      <c r="E104" s="559">
        <f>'比较法-办公'!E105</f>
        <v>102</v>
      </c>
      <c r="F104" s="559">
        <f>'比较法-办公'!F105</f>
        <v>103</v>
      </c>
      <c r="G104" s="559">
        <f>'比较法-办公'!G105</f>
        <v>104</v>
      </c>
      <c r="H104" s="559">
        <f>'比较法-办公'!H105</f>
        <v>105</v>
      </c>
      <c r="I104" s="559">
        <f>'比较法-办公'!I105</f>
        <v>106</v>
      </c>
      <c r="J104" s="559">
        <f>'比较法-办公'!J105</f>
        <v>107</v>
      </c>
      <c r="K104" s="559">
        <f>'比较法-办公'!K105</f>
        <v>0</v>
      </c>
      <c r="L104" s="535"/>
      <c r="M104" s="536"/>
      <c r="N104" s="1148"/>
      <c r="O104" s="1148"/>
      <c r="P104" s="2615"/>
      <c r="Q104" s="558"/>
    </row>
    <row r="105" spans="1:17" ht="15" thickTop="1">
      <c r="A105" s="598"/>
      <c r="B105" s="537" t="s">
        <v>2594</v>
      </c>
      <c r="C105" s="553" t="str">
        <f>'比较法-办公'!C106</f>
        <v>钢混</v>
      </c>
      <c r="D105" s="553"/>
      <c r="E105" s="582"/>
      <c r="F105" s="582"/>
      <c r="G105" s="582"/>
      <c r="H105" s="582"/>
      <c r="I105" s="582"/>
      <c r="J105" s="582"/>
      <c r="K105" s="583"/>
      <c r="L105" s="584"/>
      <c r="M105" s="585"/>
      <c r="N105" s="1147"/>
      <c r="O105" s="1147"/>
      <c r="P105" s="261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48"/>
      <c r="O106" s="1148"/>
      <c r="P106" s="2614"/>
      <c r="Q106" s="503"/>
    </row>
    <row r="107" spans="1:17" ht="15" thickTop="1">
      <c r="A107" s="598"/>
      <c r="B107" s="537" t="s">
        <v>2596</v>
      </c>
      <c r="C107" s="553" t="str">
        <f>'比较法-办公'!C108</f>
        <v>精装</v>
      </c>
      <c r="D107" s="553" t="str">
        <f>'比较法-办公'!D108</f>
        <v>普通装修</v>
      </c>
      <c r="E107" s="553" t="str">
        <f>'比较法-办公'!E108</f>
        <v>简单装修</v>
      </c>
      <c r="F107" s="553" t="str">
        <f>'比较法-办公'!F108</f>
        <v>毛坯</v>
      </c>
      <c r="G107" s="553">
        <f>'比较法-办公'!G108</f>
        <v>0</v>
      </c>
      <c r="H107" s="582"/>
      <c r="I107" s="582"/>
      <c r="J107" s="582"/>
      <c r="K107" s="583"/>
      <c r="L107" s="584"/>
      <c r="M107" s="585"/>
      <c r="N107" s="1147"/>
      <c r="O107" s="1147"/>
      <c r="P107" s="261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48"/>
      <c r="O108" s="1148"/>
      <c r="P108" s="2614"/>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7"/>
      <c r="O109" s="1147"/>
      <c r="P109" s="2614"/>
      <c r="Q109" s="503"/>
    </row>
    <row r="110" spans="1:17">
      <c r="A110" s="598"/>
      <c r="B110" s="545"/>
      <c r="C110" s="602">
        <v>0.5</v>
      </c>
      <c r="D110" s="602">
        <v>0.6</v>
      </c>
      <c r="E110" s="602">
        <v>0.7</v>
      </c>
      <c r="F110" s="602">
        <v>0.8</v>
      </c>
      <c r="G110" s="602">
        <v>0.9</v>
      </c>
      <c r="H110" s="602">
        <v>1.0001</v>
      </c>
      <c r="I110" s="621"/>
      <c r="J110" s="621"/>
      <c r="K110" s="622"/>
      <c r="L110" s="623"/>
      <c r="M110" s="624"/>
      <c r="N110" s="1147"/>
      <c r="O110" s="1147"/>
      <c r="P110" s="2614"/>
      <c r="Q110" s="503"/>
    </row>
    <row r="111" spans="1:17" ht="15.75" thickBot="1">
      <c r="A111" s="533"/>
      <c r="B111" s="542"/>
      <c r="C111" s="581">
        <v>100</v>
      </c>
      <c r="D111" s="543">
        <f>C111+$K36</f>
        <v>105</v>
      </c>
      <c r="E111" s="543">
        <f t="shared" ref="E111:M111" si="26">D111+$K36</f>
        <v>110</v>
      </c>
      <c r="F111" s="543">
        <f t="shared" si="26"/>
        <v>115</v>
      </c>
      <c r="G111" s="543">
        <f t="shared" si="26"/>
        <v>120</v>
      </c>
      <c r="H111" s="543">
        <f t="shared" si="26"/>
        <v>125</v>
      </c>
      <c r="I111" s="543">
        <f t="shared" si="26"/>
        <v>130</v>
      </c>
      <c r="J111" s="543">
        <f t="shared" si="26"/>
        <v>135</v>
      </c>
      <c r="K111" s="543">
        <f t="shared" si="26"/>
        <v>140</v>
      </c>
      <c r="L111" s="543">
        <f t="shared" si="26"/>
        <v>145</v>
      </c>
      <c r="M111" s="543">
        <f t="shared" si="26"/>
        <v>150</v>
      </c>
      <c r="N111" s="1148"/>
      <c r="O111" s="1148"/>
      <c r="P111" s="2614"/>
      <c r="Q111" s="503"/>
    </row>
    <row r="112" spans="1:17" s="470" customFormat="1" ht="15" thickTop="1">
      <c r="A112" s="592"/>
      <c r="B112" s="537" t="s">
        <v>2598</v>
      </c>
      <c r="C112" s="553" t="str">
        <f>'比较法-办公'!C117</f>
        <v>七通</v>
      </c>
      <c r="D112" s="553" t="str">
        <f>'比较法-办公'!D117</f>
        <v>六通</v>
      </c>
      <c r="E112" s="553" t="str">
        <f>'比较法-办公'!E117</f>
        <v>五通</v>
      </c>
      <c r="F112" s="553" t="str">
        <f>'比较法-办公'!F117</f>
        <v>四通</v>
      </c>
      <c r="G112" s="553" t="str">
        <f>'比较法-办公'!G117</f>
        <v>三通</v>
      </c>
      <c r="H112" s="582"/>
      <c r="I112" s="582"/>
      <c r="J112" s="582"/>
      <c r="K112" s="583"/>
      <c r="L112" s="584"/>
      <c r="M112" s="585"/>
      <c r="N112" s="1149"/>
      <c r="O112" s="1149"/>
      <c r="P112" s="2615"/>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49"/>
      <c r="O113" s="1149"/>
      <c r="P113" s="2615"/>
      <c r="Q113" s="558"/>
    </row>
    <row r="114" spans="1:17" ht="15" thickTop="1">
      <c r="A114" s="598"/>
      <c r="B114" s="537" t="s">
        <v>2662</v>
      </c>
      <c r="C114" s="2947" t="s">
        <v>3214</v>
      </c>
      <c r="D114" s="2947" t="s">
        <v>3215</v>
      </c>
      <c r="E114" s="582"/>
      <c r="F114" s="582"/>
      <c r="G114" s="582"/>
      <c r="H114" s="582"/>
      <c r="I114" s="582"/>
      <c r="J114" s="582"/>
      <c r="K114" s="583"/>
      <c r="L114" s="584"/>
      <c r="M114" s="585"/>
      <c r="N114" s="1147"/>
      <c r="O114" s="1147"/>
      <c r="P114" s="2614"/>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8"/>
      <c r="O115" s="1148"/>
      <c r="P115" s="2614"/>
      <c r="Q115" s="503"/>
    </row>
    <row r="116" spans="1:17" ht="15" thickTop="1">
      <c r="A116" s="598"/>
      <c r="B116" s="537" t="s">
        <v>2663</v>
      </c>
      <c r="C116" s="553" t="str">
        <f>'比较法-办公'!C119</f>
        <v>标准</v>
      </c>
      <c r="D116" s="553"/>
      <c r="E116" s="553"/>
      <c r="F116" s="553"/>
      <c r="G116" s="553"/>
      <c r="H116" s="582"/>
      <c r="I116" s="582"/>
      <c r="J116" s="582"/>
      <c r="K116" s="583"/>
      <c r="L116" s="584"/>
      <c r="M116" s="585"/>
      <c r="N116" s="1147"/>
      <c r="O116" s="1147"/>
      <c r="P116" s="261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48"/>
      <c r="O117" s="1148"/>
      <c r="P117" s="2614"/>
      <c r="Q117" s="503"/>
    </row>
    <row r="118" spans="1:17" ht="15" thickTop="1">
      <c r="A118" s="598"/>
      <c r="B118" s="537" t="s">
        <v>2664</v>
      </c>
      <c r="C118" s="625" t="s">
        <v>3206</v>
      </c>
      <c r="D118" s="625" t="s">
        <v>3207</v>
      </c>
      <c r="E118" s="625" t="s">
        <v>3208</v>
      </c>
      <c r="F118" s="625" t="s">
        <v>3209</v>
      </c>
      <c r="G118" s="625" t="s">
        <v>3210</v>
      </c>
      <c r="H118" s="554" t="s">
        <v>3211</v>
      </c>
      <c r="I118" s="554"/>
      <c r="J118" s="554"/>
      <c r="K118" s="554"/>
      <c r="L118" s="555"/>
      <c r="M118" s="556"/>
      <c r="N118" s="1147"/>
      <c r="O118" s="1147"/>
      <c r="P118" s="2614"/>
      <c r="Q118" s="503"/>
    </row>
    <row r="119" spans="1:17" ht="15.75" thickBot="1">
      <c r="A119" s="533"/>
      <c r="B119" s="542"/>
      <c r="C119" s="559">
        <v>100</v>
      </c>
      <c r="D119" s="535">
        <f>C119-1</f>
        <v>99</v>
      </c>
      <c r="E119" s="535">
        <f t="shared" ref="E119:H119" si="29">D119-1</f>
        <v>98</v>
      </c>
      <c r="F119" s="535">
        <f t="shared" si="29"/>
        <v>97</v>
      </c>
      <c r="G119" s="535">
        <f t="shared" si="29"/>
        <v>96</v>
      </c>
      <c r="H119" s="535">
        <f t="shared" si="29"/>
        <v>95</v>
      </c>
      <c r="I119" s="535"/>
      <c r="J119" s="535"/>
      <c r="K119" s="535"/>
      <c r="L119" s="535"/>
      <c r="M119" s="536"/>
      <c r="N119" s="1148"/>
      <c r="O119" s="1148"/>
      <c r="P119" s="2614"/>
      <c r="Q119" s="503"/>
    </row>
    <row r="120" spans="1:17" s="470" customFormat="1" ht="15" thickTop="1">
      <c r="A120" s="592"/>
      <c r="B120" s="537" t="s">
        <v>2665</v>
      </c>
      <c r="C120" s="2946" t="s">
        <v>3212</v>
      </c>
      <c r="D120" s="582"/>
      <c r="E120" s="582"/>
      <c r="F120" s="582"/>
      <c r="G120" s="554"/>
      <c r="H120" s="554"/>
      <c r="I120" s="554"/>
      <c r="J120" s="554"/>
      <c r="K120" s="554"/>
      <c r="L120" s="555"/>
      <c r="M120" s="556"/>
      <c r="N120" s="1149"/>
      <c r="O120" s="1149"/>
      <c r="P120" s="2615"/>
      <c r="Q120" s="558"/>
    </row>
    <row r="121" spans="1:17" s="470" customFormat="1" ht="15.75" thickBot="1">
      <c r="A121" s="552"/>
      <c r="B121" s="534"/>
      <c r="C121" s="581">
        <v>100</v>
      </c>
      <c r="D121" s="543">
        <f>C121-$K41</f>
        <v>98</v>
      </c>
      <c r="E121" s="543">
        <f t="shared" ref="E121:M121" si="30">D121-$K41</f>
        <v>96</v>
      </c>
      <c r="F121" s="543">
        <f t="shared" si="30"/>
        <v>94</v>
      </c>
      <c r="G121" s="543">
        <f t="shared" si="30"/>
        <v>92</v>
      </c>
      <c r="H121" s="543">
        <f t="shared" si="30"/>
        <v>90</v>
      </c>
      <c r="I121" s="543">
        <f t="shared" si="30"/>
        <v>88</v>
      </c>
      <c r="J121" s="543">
        <f t="shared" si="30"/>
        <v>86</v>
      </c>
      <c r="K121" s="543">
        <f t="shared" si="30"/>
        <v>84</v>
      </c>
      <c r="L121" s="543">
        <f t="shared" si="30"/>
        <v>82</v>
      </c>
      <c r="M121" s="544">
        <f t="shared" si="30"/>
        <v>80</v>
      </c>
      <c r="N121" s="1149"/>
      <c r="O121" s="1149"/>
      <c r="P121" s="2615"/>
      <c r="Q121" s="558"/>
    </row>
    <row r="122" spans="1:17" ht="15" thickTop="1">
      <c r="A122" s="598"/>
      <c r="B122" s="537" t="s">
        <v>2600</v>
      </c>
      <c r="C122" s="553" t="str">
        <f>'比较法-办公'!C123</f>
        <v>精装</v>
      </c>
      <c r="D122" s="553" t="str">
        <f>'比较法-办公'!D123</f>
        <v>普通装修</v>
      </c>
      <c r="E122" s="553" t="str">
        <f>'比较法-办公'!E123</f>
        <v>简单装修</v>
      </c>
      <c r="F122" s="553" t="str">
        <f>'比较法-办公'!F123</f>
        <v>毛坯</v>
      </c>
      <c r="G122" s="553">
        <f>'比较法-办公'!G123</f>
        <v>0</v>
      </c>
      <c r="H122" s="582"/>
      <c r="I122" s="582"/>
      <c r="J122" s="582"/>
      <c r="K122" s="583"/>
      <c r="L122" s="584"/>
      <c r="M122" s="585"/>
      <c r="N122" s="1147"/>
      <c r="O122" s="1147"/>
      <c r="P122" s="2614"/>
      <c r="Q122" s="503"/>
    </row>
    <row r="123" spans="1:17" ht="15.75" thickBot="1">
      <c r="A123" s="533"/>
      <c r="B123" s="542"/>
      <c r="C123" s="543">
        <v>100</v>
      </c>
      <c r="D123" s="543">
        <f t="shared" ref="D123:M123" si="31">C123-$K42</f>
        <v>98</v>
      </c>
      <c r="E123" s="543">
        <f t="shared" si="31"/>
        <v>96</v>
      </c>
      <c r="F123" s="543">
        <f t="shared" si="31"/>
        <v>94</v>
      </c>
      <c r="G123" s="543">
        <f t="shared" si="31"/>
        <v>92</v>
      </c>
      <c r="H123" s="543">
        <f t="shared" si="31"/>
        <v>90</v>
      </c>
      <c r="I123" s="543">
        <f t="shared" si="31"/>
        <v>88</v>
      </c>
      <c r="J123" s="543">
        <f t="shared" si="31"/>
        <v>86</v>
      </c>
      <c r="K123" s="543">
        <f t="shared" si="31"/>
        <v>84</v>
      </c>
      <c r="L123" s="543">
        <f t="shared" si="31"/>
        <v>82</v>
      </c>
      <c r="M123" s="544">
        <f t="shared" si="31"/>
        <v>80</v>
      </c>
      <c r="N123" s="1148"/>
      <c r="O123" s="1148"/>
      <c r="P123" s="2614"/>
      <c r="Q123" s="503"/>
    </row>
    <row r="124" spans="1:17" ht="15" thickTop="1">
      <c r="A124" s="598"/>
      <c r="B124" s="537" t="s">
        <v>2601</v>
      </c>
      <c r="C124" s="577" t="s">
        <v>2577</v>
      </c>
      <c r="D124" s="577" t="s">
        <v>2578</v>
      </c>
      <c r="E124" s="577" t="s">
        <v>2579</v>
      </c>
      <c r="F124" s="577" t="s">
        <v>2580</v>
      </c>
      <c r="G124" s="577" t="s">
        <v>2581</v>
      </c>
      <c r="H124" s="538"/>
      <c r="I124" s="538"/>
      <c r="J124" s="538"/>
      <c r="K124" s="539"/>
      <c r="L124" s="540"/>
      <c r="M124" s="541"/>
      <c r="N124" s="1147"/>
      <c r="O124" s="1147"/>
      <c r="P124" s="261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8"/>
      <c r="O125" s="1148"/>
      <c r="P125" s="2614"/>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15"/>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15"/>
      <c r="Q127" s="558"/>
    </row>
    <row r="128" spans="1:17" ht="15" thickTop="1">
      <c r="A128" s="598"/>
      <c r="B128" s="537">
        <f>B45</f>
        <v>111</v>
      </c>
      <c r="C128" s="553"/>
      <c r="D128" s="553"/>
      <c r="E128" s="553"/>
      <c r="F128" s="553"/>
      <c r="G128" s="582"/>
      <c r="H128" s="582"/>
      <c r="I128" s="582"/>
      <c r="J128" s="582"/>
      <c r="K128" s="583"/>
      <c r="L128" s="584"/>
      <c r="M128" s="585"/>
      <c r="N128" s="1147"/>
      <c r="O128" s="1147"/>
      <c r="P128" s="2614"/>
      <c r="Q128" s="503"/>
    </row>
    <row r="129" spans="1:17" ht="15.75" thickBot="1">
      <c r="A129" s="533"/>
      <c r="B129" s="542"/>
      <c r="C129" s="559"/>
      <c r="D129" s="535"/>
      <c r="E129" s="535"/>
      <c r="F129" s="535"/>
      <c r="G129" s="535"/>
      <c r="H129" s="535"/>
      <c r="I129" s="535"/>
      <c r="J129" s="535"/>
      <c r="K129" s="535"/>
      <c r="L129" s="535"/>
      <c r="M129" s="536"/>
      <c r="N129" s="1148"/>
      <c r="O129" s="1148"/>
      <c r="P129" s="2614"/>
      <c r="Q129" s="503"/>
    </row>
    <row r="130" spans="1:17" ht="15" thickTop="1">
      <c r="A130" s="598"/>
      <c r="B130" s="545">
        <f>B46</f>
        <v>111</v>
      </c>
      <c r="C130" s="553"/>
      <c r="D130" s="553"/>
      <c r="E130" s="553"/>
      <c r="F130" s="553"/>
      <c r="G130" s="586"/>
      <c r="H130" s="586"/>
      <c r="I130" s="586"/>
      <c r="J130" s="586"/>
      <c r="K130" s="522"/>
      <c r="L130" s="523"/>
      <c r="M130" s="589"/>
      <c r="N130" s="1147"/>
      <c r="O130" s="1147"/>
      <c r="P130" s="2614"/>
      <c r="Q130" s="503"/>
    </row>
    <row r="131" spans="1:17" ht="15.75" thickBot="1">
      <c r="A131" s="2620"/>
      <c r="B131" s="568"/>
      <c r="C131" s="569"/>
      <c r="D131" s="569"/>
      <c r="E131" s="569"/>
      <c r="F131" s="569"/>
      <c r="G131" s="590"/>
      <c r="H131" s="590"/>
      <c r="I131" s="590"/>
      <c r="J131" s="590"/>
      <c r="K131" s="590"/>
      <c r="L131" s="590"/>
      <c r="M131" s="591"/>
      <c r="N131" s="1148"/>
      <c r="O131" s="1148"/>
      <c r="P131" s="261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5" priority="17" stopIfTrue="1" operator="containsText" text="超过">
      <formula>NOT(ISERROR(SEARCH("超过",F52)))</formula>
    </cfRule>
  </conditionalFormatting>
  <conditionalFormatting sqref="H54">
    <cfRule type="containsText" dxfId="24" priority="15" stopIfTrue="1" operator="containsText" text="超过">
      <formula>NOT(ISERROR(SEARCH("超过",H54)))</formula>
    </cfRule>
  </conditionalFormatting>
  <conditionalFormatting sqref="F54">
    <cfRule type="containsText" dxfId="23" priority="14" stopIfTrue="1" operator="containsText" text="超过">
      <formula>NOT(ISERROR(SEARCH("超过",F54)))</formula>
    </cfRule>
  </conditionalFormatting>
  <conditionalFormatting sqref="F53 H53">
    <cfRule type="containsText" dxfId="22" priority="13" stopIfTrue="1" operator="containsText" text="超过">
      <formula>NOT(ISERROR(SEARCH("超过",F53)))</formula>
    </cfRule>
  </conditionalFormatting>
  <conditionalFormatting sqref="E52">
    <cfRule type="expression" dxfId="21" priority="12" stopIfTrue="1">
      <formula>$F$52="超过30%"</formula>
    </cfRule>
  </conditionalFormatting>
  <conditionalFormatting sqref="E53">
    <cfRule type="expression" dxfId="20" priority="11" stopIfTrue="1">
      <formula>$F$53="超过20%"</formula>
    </cfRule>
  </conditionalFormatting>
  <conditionalFormatting sqref="E54">
    <cfRule type="expression" dxfId="19" priority="10" stopIfTrue="1">
      <formula>$F$54="超过30%"</formula>
    </cfRule>
  </conditionalFormatting>
  <conditionalFormatting sqref="G54">
    <cfRule type="expression" dxfId="18" priority="9" stopIfTrue="1">
      <formula>$H$54="超过30%"</formula>
    </cfRule>
  </conditionalFormatting>
  <conditionalFormatting sqref="G52">
    <cfRule type="expression" dxfId="17" priority="8" stopIfTrue="1">
      <formula>$H$52="超过30%"</formula>
    </cfRule>
  </conditionalFormatting>
  <conditionalFormatting sqref="G53">
    <cfRule type="expression" dxfId="16" priority="7" stopIfTrue="1">
      <formula>$H$53="超过20%"</formula>
    </cfRule>
  </conditionalFormatting>
  <conditionalFormatting sqref="J52">
    <cfRule type="containsText" dxfId="15" priority="6" stopIfTrue="1" operator="containsText" text="超过">
      <formula>NOT(ISERROR(SEARCH("超过",J52)))</formula>
    </cfRule>
  </conditionalFormatting>
  <conditionalFormatting sqref="J54">
    <cfRule type="containsText" dxfId="14" priority="5" stopIfTrue="1" operator="containsText" text="超过">
      <formula>NOT(ISERROR(SEARCH("超过",J54)))</formula>
    </cfRule>
  </conditionalFormatting>
  <conditionalFormatting sqref="J53">
    <cfRule type="containsText" dxfId="13" priority="4" stopIfTrue="1" operator="containsText" text="超过">
      <formula>NOT(ISERROR(SEARCH("超过",J53)))</formula>
    </cfRule>
  </conditionalFormatting>
  <conditionalFormatting sqref="I52">
    <cfRule type="expression" dxfId="12" priority="3" stopIfTrue="1">
      <formula>$J$52="超过30%"</formula>
    </cfRule>
  </conditionalFormatting>
  <conditionalFormatting sqref="I53">
    <cfRule type="expression" dxfId="11" priority="2" stopIfTrue="1">
      <formula>$J$53="超过20%"</formula>
    </cfRule>
  </conditionalFormatting>
  <conditionalFormatting sqref="I54">
    <cfRule type="expression" dxfId="1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topLeftCell="A16" zoomScale="90" zoomScaleNormal="90" zoomScaleSheetLayoutView="90" workbookViewId="0">
      <selection activeCell="F35" sqref="F35"/>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8" customWidth="1"/>
    <col min="12" max="12" width="16.375" style="301" customWidth="1"/>
    <col min="13" max="13" width="13" style="301"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1"/>
  </cols>
  <sheetData>
    <row r="1" spans="1:37" s="336" customFormat="1" ht="21">
      <c r="A1" s="1826" t="s">
        <v>1589</v>
      </c>
      <c r="B1" s="780"/>
      <c r="C1" s="1830" t="s">
        <v>3045</v>
      </c>
      <c r="D1" s="1813" t="s">
        <v>70</v>
      </c>
      <c r="E1" s="1814" t="s">
        <v>1387</v>
      </c>
      <c r="F1" s="1278" t="e">
        <f ca="1">J53</f>
        <v>#N/A</v>
      </c>
      <c r="G1" s="1829" t="e">
        <f>MATCH(C1,'数据-取费表'!A6:A16,0)+5</f>
        <v>#N/A</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1515</v>
      </c>
      <c r="B2" s="1837" t="e">
        <f ca="1">C40+J29+L46</f>
        <v>#N/A</v>
      </c>
      <c r="C2" s="1838" t="s">
        <v>1516</v>
      </c>
      <c r="D2" s="1838"/>
      <c r="E2" s="1839"/>
      <c r="F2" s="1840"/>
      <c r="G2" s="1841"/>
      <c r="H2" s="1833"/>
      <c r="I2" s="1833"/>
      <c r="J2" s="1833"/>
      <c r="K2" s="1834"/>
      <c r="L2" s="1833"/>
      <c r="M2" s="1833"/>
    </row>
    <row r="3" spans="1:37" ht="18" customHeight="1" thickBot="1">
      <c r="A3" s="1842" t="s">
        <v>1517</v>
      </c>
      <c r="B3" s="1843">
        <f ca="1">IF(ISERROR(B2*10000/F43),0,ROUND(B2*10000/F43,0))</f>
        <v>0</v>
      </c>
      <c r="C3" s="1838" t="s">
        <v>1518</v>
      </c>
      <c r="D3" s="1838"/>
      <c r="E3" s="1839"/>
      <c r="F3" s="1840"/>
      <c r="G3" s="1841"/>
      <c r="H3" s="742" t="s">
        <v>1588</v>
      </c>
      <c r="I3" s="1833"/>
      <c r="J3" s="1833"/>
      <c r="K3" s="1834"/>
      <c r="L3" s="1833"/>
      <c r="M3" s="1833"/>
    </row>
    <row r="4" spans="1:37" ht="18" customHeight="1">
      <c r="A4" s="339" t="s">
        <v>1396</v>
      </c>
      <c r="B4" s="340" t="s">
        <v>1397</v>
      </c>
      <c r="C4" s="340" t="s">
        <v>1398</v>
      </c>
      <c r="D4" s="340" t="s">
        <v>1399</v>
      </c>
      <c r="E4" s="341" t="s">
        <v>1400</v>
      </c>
      <c r="F4" s="342"/>
      <c r="G4" s="1844"/>
      <c r="H4" s="339" t="s">
        <v>1396</v>
      </c>
      <c r="I4" s="340" t="s">
        <v>1397</v>
      </c>
      <c r="J4" s="340" t="s">
        <v>1398</v>
      </c>
      <c r="K4" s="340" t="s">
        <v>1399</v>
      </c>
      <c r="L4" s="341" t="s">
        <v>1400</v>
      </c>
      <c r="M4" s="342"/>
    </row>
    <row r="5" spans="1:37" ht="18" customHeight="1">
      <c r="A5" s="343">
        <v>1</v>
      </c>
      <c r="B5" s="344" t="s">
        <v>1401</v>
      </c>
      <c r="C5" s="1287" t="e">
        <f ca="1">C6+C10+C12</f>
        <v>#N/A</v>
      </c>
      <c r="D5" s="1815" t="s">
        <v>1402</v>
      </c>
      <c r="E5" s="1288"/>
      <c r="F5" s="1289"/>
      <c r="G5" s="1844"/>
      <c r="H5" s="343">
        <v>1</v>
      </c>
      <c r="I5" s="344" t="s">
        <v>1401</v>
      </c>
      <c r="J5" s="1287" t="e">
        <f ca="1">J6+J10+J12</f>
        <v>#N/A</v>
      </c>
      <c r="K5" s="1815" t="s">
        <v>1402</v>
      </c>
      <c r="L5" s="1288"/>
      <c r="M5" s="1289"/>
    </row>
    <row r="6" spans="1:37" ht="18" customHeight="1">
      <c r="A6" s="1286" t="s">
        <v>1035</v>
      </c>
      <c r="B6" s="3251" t="s">
        <v>1403</v>
      </c>
      <c r="C6" s="1291" t="e">
        <f ca="1">ROUND(F6*F8*F7*(1-F9)/10000,0)</f>
        <v>#N/A</v>
      </c>
      <c r="D6" s="163" t="s">
        <v>3012</v>
      </c>
      <c r="E6" s="346" t="s">
        <v>1405</v>
      </c>
      <c r="F6" s="347" t="e">
        <f ca="1">INDIRECT("'数据-取费表'!u"&amp;$G$1)</f>
        <v>#N/A</v>
      </c>
      <c r="G6" s="1844"/>
      <c r="H6" s="1286" t="s">
        <v>1035</v>
      </c>
      <c r="I6" s="3251" t="s">
        <v>1403</v>
      </c>
      <c r="J6" s="345" t="e">
        <f ca="1">ROUND(M6*M8*M7*(1-M9)/10000,0)</f>
        <v>#N/A</v>
      </c>
      <c r="K6" s="163" t="s">
        <v>3011</v>
      </c>
      <c r="L6" s="346" t="s">
        <v>1405</v>
      </c>
      <c r="M6" s="347" t="e">
        <f ca="1">INDIRECT("'数据-取费表'!z"&amp;$G$1)</f>
        <v>#N/A</v>
      </c>
    </row>
    <row r="7" spans="1:37" ht="18" customHeight="1">
      <c r="A7" s="1290"/>
      <c r="B7" s="3252"/>
      <c r="C7" s="1292"/>
      <c r="D7" s="351"/>
      <c r="E7" s="2932" t="s">
        <v>1406</v>
      </c>
      <c r="F7" s="347" t="e">
        <f ca="1">IF(INDIRECT("'数据-取费表'!ah"&amp;$G$1)="",INDIRECT("'数据-取费表'!k"&amp;$G$1),INDIRECT("'数据-取费表'!ah"&amp;$G$1))</f>
        <v>#N/A</v>
      </c>
      <c r="G7" s="1844"/>
      <c r="H7" s="348"/>
      <c r="I7" s="3252"/>
      <c r="J7" s="350"/>
      <c r="K7" s="351"/>
      <c r="L7" s="346" t="s">
        <v>1406</v>
      </c>
      <c r="M7" s="347" t="e">
        <f ca="1">F7</f>
        <v>#N/A</v>
      </c>
    </row>
    <row r="8" spans="1:37" ht="18" customHeight="1">
      <c r="A8" s="348"/>
      <c r="B8" s="3252"/>
      <c r="C8" s="350"/>
      <c r="D8" s="351"/>
      <c r="E8" s="346" t="s">
        <v>1407</v>
      </c>
      <c r="F8" s="347" t="e">
        <f ca="1">INDIRECT("'数据-取费表'!ai"&amp;$G$1)</f>
        <v>#N/A</v>
      </c>
      <c r="G8" s="1844"/>
      <c r="H8" s="348"/>
      <c r="I8" s="3252"/>
      <c r="J8" s="350"/>
      <c r="K8" s="351"/>
      <c r="L8" s="346" t="s">
        <v>1407</v>
      </c>
      <c r="M8" s="347" t="e">
        <f ca="1">INDIRECT("'数据-取费表'!ai"&amp;$G$1)</f>
        <v>#N/A</v>
      </c>
    </row>
    <row r="9" spans="1:37" ht="18" customHeight="1">
      <c r="A9" s="348"/>
      <c r="B9" s="3253"/>
      <c r="C9" s="350"/>
      <c r="D9" s="351"/>
      <c r="E9" s="346" t="s">
        <v>1408</v>
      </c>
      <c r="F9" s="356" t="e">
        <f ca="1">INDIRECT("'数据-取费表'!w"&amp;$G$1)</f>
        <v>#N/A</v>
      </c>
      <c r="G9" s="1844"/>
      <c r="H9" s="348"/>
      <c r="I9" s="3253"/>
      <c r="J9" s="350"/>
      <c r="K9" s="351"/>
      <c r="L9" s="357" t="s">
        <v>1408</v>
      </c>
      <c r="M9" s="358" t="e">
        <f ca="1">INDIRECT("'数据-取费表'!ab"&amp;$G$1)</f>
        <v>#N/A</v>
      </c>
    </row>
    <row r="10" spans="1:37" ht="18" customHeight="1">
      <c r="A10" s="1286" t="s">
        <v>1039</v>
      </c>
      <c r="B10" s="1816" t="s">
        <v>1409</v>
      </c>
      <c r="C10" s="360">
        <f ca="1">ROUND(IF(F10="押一",C6/12*F11,IF(F10="押二",C6/12*2*F11,IF(F10="押三",C6/12*3*F11,C11*F11))),0)</f>
        <v>0</v>
      </c>
      <c r="D10" s="1817" t="s">
        <v>3021</v>
      </c>
      <c r="E10" s="357" t="s">
        <v>1410</v>
      </c>
      <c r="F10" s="1361" t="s">
        <v>3125</v>
      </c>
      <c r="G10" s="1844"/>
      <c r="H10" s="1286" t="s">
        <v>1039</v>
      </c>
      <c r="I10" s="1816" t="s">
        <v>1409</v>
      </c>
      <c r="J10" s="345" t="e">
        <f ca="1">ROUND(IF(M10="押一",J6/12*M11,IF(M10="押二",J6/12*2*M11,IF(M10="押三",J6/12*3*M11,J11*M11))),0)</f>
        <v>#N/A</v>
      </c>
      <c r="K10" s="1817" t="s">
        <v>3020</v>
      </c>
      <c r="L10" s="357" t="s">
        <v>1410</v>
      </c>
      <c r="M10" s="1361" t="s">
        <v>1411</v>
      </c>
    </row>
    <row r="11" spans="1:37" ht="18" customHeight="1">
      <c r="A11" s="352"/>
      <c r="B11" s="1818" t="s">
        <v>1388</v>
      </c>
      <c r="C11" s="1173"/>
      <c r="D11" s="1819"/>
      <c r="E11" s="357" t="s">
        <v>1412</v>
      </c>
      <c r="F11" s="358">
        <f ca="1">'数据-取费表'!B39</f>
        <v>1.4999999999999999E-2</v>
      </c>
      <c r="G11" s="1844"/>
      <c r="H11" s="1294"/>
      <c r="I11" s="1818" t="s">
        <v>1388</v>
      </c>
      <c r="J11" s="1173"/>
      <c r="K11" s="746"/>
      <c r="L11" s="357" t="s">
        <v>1412</v>
      </c>
      <c r="M11" s="1051">
        <f ca="1">'数据-取费表'!B39</f>
        <v>1.4999999999999999E-2</v>
      </c>
    </row>
    <row r="12" spans="1:37" ht="18" customHeight="1" thickBot="1">
      <c r="A12" s="1328" t="s">
        <v>1075</v>
      </c>
      <c r="B12" s="1820" t="s">
        <v>1413</v>
      </c>
      <c r="C12" s="1329"/>
      <c r="D12" s="1330"/>
      <c r="E12" s="1335"/>
      <c r="F12" s="1331"/>
      <c r="G12" s="1844"/>
      <c r="H12" s="1328" t="s">
        <v>1075</v>
      </c>
      <c r="I12" s="1820" t="s">
        <v>1413</v>
      </c>
      <c r="J12" s="1329"/>
      <c r="K12" s="1343"/>
      <c r="L12" s="1335"/>
      <c r="M12" s="1344"/>
    </row>
    <row r="13" spans="1:37" ht="18" customHeight="1" thickTop="1">
      <c r="A13" s="1324">
        <v>2</v>
      </c>
      <c r="B13" s="1325" t="s">
        <v>1414</v>
      </c>
      <c r="C13" s="354" t="e">
        <f ca="1">ROUND(C29*F13,0)</f>
        <v>#N/A</v>
      </c>
      <c r="D13" s="1326" t="s">
        <v>1415</v>
      </c>
      <c r="E13" s="1326" t="s">
        <v>1416</v>
      </c>
      <c r="F13" s="1327" t="e">
        <f ca="1">INDIRECT("'数据-取费表'!y"&amp;$G$1)</f>
        <v>#N/A</v>
      </c>
      <c r="G13" s="1844"/>
      <c r="H13" s="1324">
        <v>2</v>
      </c>
      <c r="I13" s="1325" t="s">
        <v>1414</v>
      </c>
      <c r="J13" s="1285" t="e">
        <f ca="1">ROUND(J14*J15,0)</f>
        <v>#N/A</v>
      </c>
      <c r="K13" s="1332" t="s">
        <v>1415</v>
      </c>
      <c r="L13" s="1845"/>
      <c r="M13" s="1846"/>
    </row>
    <row r="14" spans="1:37" ht="18" customHeight="1">
      <c r="A14" s="1196" t="s">
        <v>1034</v>
      </c>
      <c r="B14" s="346" t="s">
        <v>1417</v>
      </c>
      <c r="C14" s="362" t="e">
        <f ca="1">INDIRECT("'数据-取费表'!m"&amp;$G$1)+INDIRECT("'数据-取费表'!t"&amp;$G$1)</f>
        <v>#N/A</v>
      </c>
      <c r="D14" s="2926" t="s">
        <v>1418</v>
      </c>
      <c r="E14" s="2924"/>
      <c r="F14" s="363"/>
      <c r="G14" s="1844"/>
      <c r="H14" s="1196" t="s">
        <v>1035</v>
      </c>
      <c r="I14" s="346" t="s">
        <v>1419</v>
      </c>
      <c r="J14" s="24" t="e">
        <f ca="1">C29</f>
        <v>#N/A</v>
      </c>
      <c r="K14" s="2931"/>
      <c r="L14" s="975"/>
      <c r="M14" s="976"/>
    </row>
    <row r="15" spans="1:37" s="1851" customFormat="1" ht="18" customHeight="1" thickBot="1">
      <c r="A15" s="1196" t="s">
        <v>1036</v>
      </c>
      <c r="B15" s="346" t="s">
        <v>1420</v>
      </c>
      <c r="C15" s="24" t="e">
        <f ca="1">ROUND(C14*F15,0)</f>
        <v>#N/A</v>
      </c>
      <c r="D15" s="364" t="s">
        <v>1421</v>
      </c>
      <c r="E15" s="364" t="s">
        <v>1422</v>
      </c>
      <c r="F15" s="365">
        <f>'数据-取费表'!B33</f>
        <v>0.03</v>
      </c>
      <c r="G15" s="1847"/>
      <c r="H15" s="1334" t="s">
        <v>1039</v>
      </c>
      <c r="I15" s="1335" t="s">
        <v>1416</v>
      </c>
      <c r="J15" s="1344" t="e">
        <f ca="1">INDIRECT("'数据-取费表'!ad"&amp;$G$1)</f>
        <v>#N/A</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1389</v>
      </c>
      <c r="B16" s="346" t="s">
        <v>1423</v>
      </c>
      <c r="C16" s="24" t="e">
        <f ca="1">ROUND(INDIRECT("'数据-取费表'!m"&amp;$G$1)*F16,0)</f>
        <v>#N/A</v>
      </c>
      <c r="D16" s="346" t="s">
        <v>1421</v>
      </c>
      <c r="E16" s="346" t="s">
        <v>1422</v>
      </c>
      <c r="F16" s="366" t="e">
        <f ca="1">IF(INDIRECT("'数据-取费表'!c"&amp;$G$1)="住宅",'数据-取费表'!B34,0)</f>
        <v>#N/A</v>
      </c>
      <c r="G16" s="1844"/>
      <c r="H16" s="1324" t="s">
        <v>1030</v>
      </c>
      <c r="I16" s="1325" t="s">
        <v>1424</v>
      </c>
      <c r="J16" s="354" t="e">
        <f ca="1">ROUND(J17+J22+J23+J24,0)</f>
        <v>#N/A</v>
      </c>
      <c r="K16" s="1332" t="s">
        <v>1425</v>
      </c>
      <c r="L16" s="2927"/>
      <c r="M16" s="1289"/>
    </row>
    <row r="17" spans="1:37" s="1851" customFormat="1" ht="18" customHeight="1">
      <c r="A17" s="1196" t="s">
        <v>1390</v>
      </c>
      <c r="B17" s="346" t="s">
        <v>1426</v>
      </c>
      <c r="C17" s="24" t="e">
        <f ca="1">ROUND(F17*(F43+INDIRECT("'数据-取费表'!S"&amp;$G$1))/10000,0)</f>
        <v>#N/A</v>
      </c>
      <c r="D17" s="346" t="s">
        <v>1427</v>
      </c>
      <c r="E17" s="346" t="s">
        <v>1428</v>
      </c>
      <c r="F17" s="26">
        <f>'数据-取费表'!B35</f>
        <v>200</v>
      </c>
      <c r="G17" s="1847"/>
      <c r="H17" s="1196" t="s">
        <v>1035</v>
      </c>
      <c r="I17" s="346" t="s">
        <v>1429</v>
      </c>
      <c r="J17" s="24" t="e">
        <f ca="1">ROUND(IF(项目基本情况!B11="自然人",J5*M17,J18+J19+J20),1)</f>
        <v>#N/A</v>
      </c>
      <c r="K17" s="2926" t="s">
        <v>1430</v>
      </c>
      <c r="L17" s="2925" t="s">
        <v>1431</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1391</v>
      </c>
      <c r="B18" s="346" t="s">
        <v>1432</v>
      </c>
      <c r="C18" s="24" t="e">
        <f ca="1">ROUND(C14*F18,0)</f>
        <v>#N/A</v>
      </c>
      <c r="D18" s="346" t="s">
        <v>1421</v>
      </c>
      <c r="E18" s="346" t="s">
        <v>1422</v>
      </c>
      <c r="F18" s="366">
        <f>'数据-取费表'!B36</f>
        <v>1.4999999999999999E-2</v>
      </c>
      <c r="G18" s="1847"/>
      <c r="H18" s="1196" t="s">
        <v>1034</v>
      </c>
      <c r="I18" s="346" t="s">
        <v>1433</v>
      </c>
      <c r="J18" s="24" t="e">
        <f ca="1">ROUND(J5*M18/(1+'数据-取费表'!C42),2)</f>
        <v>#N/A</v>
      </c>
      <c r="K18" s="2925" t="s">
        <v>1434</v>
      </c>
      <c r="L18" s="346" t="s">
        <v>1422</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1035</v>
      </c>
      <c r="B19" s="346" t="s">
        <v>1435</v>
      </c>
      <c r="C19" s="24" t="e">
        <f ca="1">SUM(C14:C18)</f>
        <v>#N/A</v>
      </c>
      <c r="D19" s="139" t="s">
        <v>1436</v>
      </c>
      <c r="E19" s="2930"/>
      <c r="F19" s="26"/>
      <c r="G19" s="1844"/>
      <c r="H19" s="1196" t="s">
        <v>1036</v>
      </c>
      <c r="I19" s="346" t="s">
        <v>1437</v>
      </c>
      <c r="J19" s="24" t="e">
        <f ca="1">IF(K19="按租金收入计税",ROUND(J5*M19,2),ROUND(C29*M19*0.7,2))</f>
        <v>#N/A</v>
      </c>
      <c r="K19" s="1821" t="s">
        <v>1438</v>
      </c>
      <c r="L19" s="346" t="s">
        <v>1422</v>
      </c>
      <c r="M19" s="366">
        <f>IF(K19="按租金收入计税",'数据-取费表'!B51,'数据-取费表'!B50)</f>
        <v>1.2E-2</v>
      </c>
    </row>
    <row r="20" spans="1:37" s="1851" customFormat="1" ht="18" customHeight="1">
      <c r="A20" s="1196" t="s">
        <v>1039</v>
      </c>
      <c r="B20" s="346" t="s">
        <v>1439</v>
      </c>
      <c r="C20" s="24" t="e">
        <f ca="1">ROUND(C19*F20,0)</f>
        <v>#N/A</v>
      </c>
      <c r="D20" s="368" t="s">
        <v>1440</v>
      </c>
      <c r="E20" s="346" t="s">
        <v>1422</v>
      </c>
      <c r="F20" s="366">
        <f>'数据-取费表'!B37</f>
        <v>0.02</v>
      </c>
      <c r="G20" s="1847"/>
      <c r="H20" s="1196" t="s">
        <v>1389</v>
      </c>
      <c r="I20" s="163" t="s">
        <v>1441</v>
      </c>
      <c r="J20" s="25" t="e">
        <f ca="1">ROUND(M20*M21/10000,2)</f>
        <v>#N/A</v>
      </c>
      <c r="K20" s="369" t="s">
        <v>1442</v>
      </c>
      <c r="L20" s="346" t="s">
        <v>1443</v>
      </c>
      <c r="M20" s="370">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1075</v>
      </c>
      <c r="B21" s="346" t="s">
        <v>1444</v>
      </c>
      <c r="C21" s="24" t="s">
        <v>18</v>
      </c>
      <c r="D21" s="368" t="s">
        <v>1445</v>
      </c>
      <c r="E21" s="346" t="s">
        <v>1446</v>
      </c>
      <c r="F21" s="366">
        <f>'数据-取费表'!B38</f>
        <v>0.01</v>
      </c>
      <c r="G21" s="1847"/>
      <c r="H21" s="371"/>
      <c r="I21" s="355"/>
      <c r="J21" s="29"/>
      <c r="K21" s="372"/>
      <c r="L21" s="346" t="s">
        <v>1447</v>
      </c>
      <c r="M21" s="347" t="e">
        <f ca="1">INDIRECT("'数据-取费表'!r"&amp;$G$1)</f>
        <v>#N/A</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1392</v>
      </c>
      <c r="B22" s="346" t="s">
        <v>1448</v>
      </c>
      <c r="C22" s="24"/>
      <c r="D22" s="139" t="str">
        <f>IF(F23&lt;=1,"单利计息。","复利计息。")&amp;"建造成本、管理费用、销售费用产生的利息。"</f>
        <v>单利计息。建造成本、管理费用、销售费用产生的利息。</v>
      </c>
      <c r="E22" s="2930"/>
      <c r="F22" s="26"/>
      <c r="G22" s="1844"/>
      <c r="H22" s="1196" t="s">
        <v>1039</v>
      </c>
      <c r="I22" s="346" t="s">
        <v>1449</v>
      </c>
      <c r="J22" s="24" t="e">
        <f ca="1">ROUND(J14*M22,1)</f>
        <v>#N/A</v>
      </c>
      <c r="K22" s="2925" t="s">
        <v>1450</v>
      </c>
      <c r="L22" s="346" t="s">
        <v>1422</v>
      </c>
      <c r="M22" s="373" t="e">
        <f ca="1">INDIRECT("'数据-取费表'!Ak"&amp;$G$1)</f>
        <v>#N/A</v>
      </c>
    </row>
    <row r="23" spans="1:37" s="1851" customFormat="1" ht="18" customHeight="1">
      <c r="A23" s="1196"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1452</v>
      </c>
      <c r="F23" s="370">
        <f>'数据-取费表'!B20</f>
        <v>1</v>
      </c>
      <c r="G23" s="1847"/>
      <c r="H23" s="1196" t="s">
        <v>1075</v>
      </c>
      <c r="I23" s="346" t="s">
        <v>1453</v>
      </c>
      <c r="J23" s="24" t="e">
        <f ca="1">ROUND(J13*M23,1)</f>
        <v>#N/A</v>
      </c>
      <c r="K23" s="2925" t="s">
        <v>1454</v>
      </c>
      <c r="L23" s="346" t="s">
        <v>1455</v>
      </c>
      <c r="M23" s="375" t="e">
        <f ca="1">INDIRECT("'数据-取费表'!Al"&amp;$G$1)</f>
        <v>#N/A</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1456</v>
      </c>
      <c r="B24" s="346" t="s">
        <v>1457</v>
      </c>
      <c r="C24" s="24">
        <f ca="1">ROUND(IF('数据-取费表'!B22&lt;=1,F21*F24*F23/2,F21*(POWER((1+F24),F23/2)-1)),4)</f>
        <v>2.0000000000000001E-4</v>
      </c>
      <c r="D24" s="374" t="str">
        <f>IF(F23&lt;=1,"销售费用×利率×(建设周期÷2)","销售费用×((1+利率)^(建设周期÷2)-1)")</f>
        <v>销售费用×利率×(建设周期÷2)</v>
      </c>
      <c r="E24" s="346" t="s">
        <v>1458</v>
      </c>
      <c r="F24" s="376">
        <f ca="1">'数据-取费表'!B40</f>
        <v>4.3499999999999997E-2</v>
      </c>
      <c r="G24" s="1847"/>
      <c r="H24" s="1334" t="s">
        <v>1392</v>
      </c>
      <c r="I24" s="1335" t="s">
        <v>1439</v>
      </c>
      <c r="J24" s="1336" t="e">
        <f ca="1">ROUND(J5*M24,1)</f>
        <v>#N/A</v>
      </c>
      <c r="K24" s="1337" t="s">
        <v>1459</v>
      </c>
      <c r="L24" s="1335" t="s">
        <v>1455</v>
      </c>
      <c r="M24" s="1331" t="e">
        <f ca="1">INDIRECT("'数据-取费表'!Am"&amp;$G$1)</f>
        <v>#N/A</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6" t="s">
        <v>1460</v>
      </c>
      <c r="B25" s="346" t="s">
        <v>1461</v>
      </c>
      <c r="C25" s="24"/>
      <c r="D25" s="139" t="s">
        <v>1462</v>
      </c>
      <c r="E25" s="2930"/>
      <c r="F25" s="26"/>
      <c r="G25" s="1844"/>
      <c r="H25" s="1324" t="s">
        <v>1031</v>
      </c>
      <c r="I25" s="1339" t="s">
        <v>1463</v>
      </c>
      <c r="J25" s="354" t="e">
        <f ca="1">J5-J16</f>
        <v>#N/A</v>
      </c>
      <c r="K25" s="1340" t="s">
        <v>1464</v>
      </c>
      <c r="L25" s="1341"/>
      <c r="M25" s="1342"/>
    </row>
    <row r="26" spans="1:37">
      <c r="A26" s="1196" t="s">
        <v>1034</v>
      </c>
      <c r="B26" s="346" t="s">
        <v>1465</v>
      </c>
      <c r="C26" s="24" t="e">
        <f ca="1">ROUND((C19+C20)*F26,0)</f>
        <v>#N/A</v>
      </c>
      <c r="D26" s="368" t="s">
        <v>1466</v>
      </c>
      <c r="E26" s="357" t="s">
        <v>1467</v>
      </c>
      <c r="F26" s="356" t="e">
        <f ca="1">INDIRECT("'数据-取费表'!q"&amp;$G$1)</f>
        <v>#N/A</v>
      </c>
      <c r="G26" s="1844"/>
      <c r="H26" s="343" t="s">
        <v>1032</v>
      </c>
      <c r="I26" s="344" t="s">
        <v>1468</v>
      </c>
      <c r="J26" s="345" t="e">
        <f ca="1">IF(J5&lt;&gt;0,ROUND(J25*(1-((1+M28)/(1+M26))^M27)/(M26-M28),0),0)</f>
        <v>#N/A</v>
      </c>
      <c r="K26" s="369" t="s">
        <v>1469</v>
      </c>
      <c r="L26" s="346" t="s">
        <v>1470</v>
      </c>
      <c r="M26" s="356" t="e">
        <f ca="1">INDIRECT("'数据-取费表'!I"&amp;$G$1)</f>
        <v>#N/A</v>
      </c>
    </row>
    <row r="27" spans="1:37" ht="18" customHeight="1">
      <c r="A27" s="1196" t="s">
        <v>1036</v>
      </c>
      <c r="B27" s="346" t="s">
        <v>1471</v>
      </c>
      <c r="C27" s="24" t="e">
        <f ca="1">ROUND(F21*F26,4)</f>
        <v>#N/A</v>
      </c>
      <c r="D27" s="368" t="s">
        <v>1472</v>
      </c>
      <c r="E27" s="364"/>
      <c r="F27" s="365"/>
      <c r="G27" s="1844"/>
      <c r="H27" s="348"/>
      <c r="I27" s="349"/>
      <c r="J27" s="350"/>
      <c r="K27" s="377" t="s">
        <v>1473</v>
      </c>
      <c r="L27" s="346" t="s">
        <v>1474</v>
      </c>
      <c r="M27" s="378" t="e">
        <f ca="1">INDIRECT("'数据-取费表'!ag"&amp;$G$1)</f>
        <v>#N/A</v>
      </c>
    </row>
    <row r="28" spans="1:37" s="1851" customFormat="1" ht="18" customHeight="1">
      <c r="A28" s="1196" t="s">
        <v>1037</v>
      </c>
      <c r="B28" s="346" t="s">
        <v>1475</v>
      </c>
      <c r="C28" s="24">
        <f>ROUND(F28/(1+'数据-取费表'!C42),4)</f>
        <v>5.33E-2</v>
      </c>
      <c r="D28" s="368" t="s">
        <v>1476</v>
      </c>
      <c r="E28" s="346" t="s">
        <v>1422</v>
      </c>
      <c r="F28" s="366">
        <f>'数据-取费表'!B41</f>
        <v>5.6000000000000001E-2</v>
      </c>
      <c r="G28" s="1847"/>
      <c r="H28" s="352"/>
      <c r="I28" s="353"/>
      <c r="J28" s="354"/>
      <c r="K28" s="372"/>
      <c r="L28" s="346" t="s">
        <v>1477</v>
      </c>
      <c r="M28" s="356" t="e">
        <f ca="1">INDIRECT("'数据-取费表'!aa"&amp;$G$1)</f>
        <v>#N/A</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1038</v>
      </c>
      <c r="B29" s="1335" t="s">
        <v>1478</v>
      </c>
      <c r="C29" s="1336" t="e">
        <f ca="1">ROUND((C19+C20+C23+C26)/(1-F21-C24-C27-C28),0)</f>
        <v>#N/A</v>
      </c>
      <c r="D29" s="1337"/>
      <c r="E29" s="1335"/>
      <c r="F29" s="1338"/>
      <c r="G29" s="1847"/>
      <c r="H29" s="379" t="s">
        <v>1033</v>
      </c>
      <c r="I29" s="380" t="s">
        <v>1479</v>
      </c>
      <c r="J29" s="381" t="e">
        <f ca="1">ROUND(J26/(1+F40)^F41,0)</f>
        <v>#N/A</v>
      </c>
      <c r="K29" s="382" t="s">
        <v>1480</v>
      </c>
      <c r="L29" s="383"/>
      <c r="M29" s="384" t="e">
        <f ca="1">INDIRECT("'数据-取费表'!k"&amp;$G$1)</f>
        <v>#N/A</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1030</v>
      </c>
      <c r="B30" s="1325" t="s">
        <v>1424</v>
      </c>
      <c r="C30" s="354" t="e">
        <f ca="1">ROUND(C31+C36+C37+C38,0)</f>
        <v>#N/A</v>
      </c>
      <c r="D30" s="1332" t="s">
        <v>1425</v>
      </c>
      <c r="E30" s="2927"/>
      <c r="F30" s="1289"/>
      <c r="G30" s="1844"/>
      <c r="H30" s="743"/>
      <c r="I30" s="744"/>
      <c r="J30" s="745"/>
      <c r="K30" s="746"/>
      <c r="L30" s="747"/>
      <c r="M30" s="748"/>
    </row>
    <row r="31" spans="1:37" ht="18" customHeight="1">
      <c r="A31" s="1196" t="s">
        <v>1035</v>
      </c>
      <c r="B31" s="346" t="s">
        <v>1429</v>
      </c>
      <c r="C31" s="24" t="e">
        <f ca="1">ROUND(IF(项目基本情况!B11="自然人",C5*F31,C32+C33+C34),1)</f>
        <v>#N/A</v>
      </c>
      <c r="D31" s="2926" t="s">
        <v>1430</v>
      </c>
      <c r="E31" s="2925" t="s">
        <v>1481</v>
      </c>
      <c r="F31" s="367" t="str">
        <f ca="1">IF(项目基本情况!B11="企业","",IF(INDIRECT("'数据-取费表'!c"&amp;$G$1)="住宅",5%,IF(F6*F7*F8/12/(1+'数据-取费表'!C42)&gt;20000,12%,7%)))</f>
        <v/>
      </c>
      <c r="G31" s="1844"/>
      <c r="H31" s="743"/>
      <c r="I31" s="744"/>
      <c r="J31" s="745"/>
      <c r="K31" s="746"/>
      <c r="L31" s="747"/>
      <c r="M31" s="748"/>
    </row>
    <row r="32" spans="1:37" ht="18" customHeight="1">
      <c r="A32" s="1196" t="s">
        <v>1034</v>
      </c>
      <c r="B32" s="346" t="s">
        <v>1433</v>
      </c>
      <c r="C32" s="24" t="e">
        <f ca="1">IF(项目基本情况!B11="自然人","——",ROUND(C5*F32/(1+'数据-取费表'!C42),2))</f>
        <v>#N/A</v>
      </c>
      <c r="D32" s="2925" t="s">
        <v>1434</v>
      </c>
      <c r="E32" s="346" t="s">
        <v>1422</v>
      </c>
      <c r="F32" s="376">
        <f>'数据-取费表'!B41</f>
        <v>5.6000000000000001E-2</v>
      </c>
      <c r="G32" s="1844"/>
      <c r="H32" s="743"/>
      <c r="I32" s="744"/>
      <c r="J32" s="745"/>
      <c r="K32" s="746"/>
      <c r="L32" s="747"/>
      <c r="M32" s="748"/>
    </row>
    <row r="33" spans="1:18" ht="18" customHeight="1">
      <c r="A33" s="1196" t="s">
        <v>1036</v>
      </c>
      <c r="B33" s="346" t="s">
        <v>1437</v>
      </c>
      <c r="C33" s="24" t="e">
        <f ca="1">IF(项目基本情况!B11="自然人","——",IF(D33="按租金收入计税",ROUND(C5*F33,2),IF(D33="按房产原值计税",ROUND(C29*F33*0.7,2),INDIRECT("'数据-取费表'!Aj"&amp;$G$1))))</f>
        <v>#N/A</v>
      </c>
      <c r="D33" s="1821" t="s">
        <v>3224</v>
      </c>
      <c r="E33" s="346" t="s">
        <v>1422</v>
      </c>
      <c r="F33" s="366">
        <f>IF(D33="按票据","——",IF(D33="按租金收入计税",'数据-取费表'!B51,'数据-取费表'!B50))</f>
        <v>0.12</v>
      </c>
      <c r="G33" s="1844"/>
      <c r="H33" s="1852"/>
      <c r="I33" s="1853"/>
      <c r="J33" s="1854"/>
      <c r="K33" s="1855"/>
      <c r="L33" s="1852"/>
      <c r="M33" s="1852"/>
    </row>
    <row r="34" spans="1:18" ht="18" customHeight="1">
      <c r="A34" s="1286" t="s">
        <v>1389</v>
      </c>
      <c r="B34" s="163" t="s">
        <v>1441</v>
      </c>
      <c r="C34" s="25" t="e">
        <f ca="1">IF(项目基本情况!B11="自然人","——",ROUND(F34*F35/10000,2))</f>
        <v>#N/A</v>
      </c>
      <c r="D34" s="369" t="s">
        <v>1442</v>
      </c>
      <c r="E34" s="346" t="s">
        <v>1443</v>
      </c>
      <c r="F34" s="370">
        <f>'数据-取费表'!B52</f>
        <v>1.5</v>
      </c>
      <c r="G34" s="1844"/>
      <c r="H34" s="743"/>
      <c r="I34" s="1853"/>
      <c r="J34" s="1854"/>
      <c r="K34" s="1856"/>
      <c r="L34" s="1857"/>
      <c r="M34" s="1857"/>
    </row>
    <row r="35" spans="1:18" ht="18" customHeight="1">
      <c r="A35" s="1348"/>
      <c r="B35" s="1346"/>
      <c r="C35" s="29"/>
      <c r="D35" s="372"/>
      <c r="E35" s="346" t="s">
        <v>1447</v>
      </c>
      <c r="F35" s="347" t="e">
        <f ca="1">INDIRECT("'数据-取费表'!r"&amp;$G$1)</f>
        <v>#N/A</v>
      </c>
      <c r="G35" s="1844"/>
      <c r="H35" s="743"/>
      <c r="I35" s="1853"/>
      <c r="J35" s="1854"/>
      <c r="K35" s="1855"/>
      <c r="L35" s="1852"/>
      <c r="M35" s="1852"/>
    </row>
    <row r="36" spans="1:18" ht="18" customHeight="1">
      <c r="A36" s="1347" t="s">
        <v>1039</v>
      </c>
      <c r="B36" s="346" t="s">
        <v>1449</v>
      </c>
      <c r="C36" s="24" t="e">
        <f ca="1">ROUND(C29*F36,1)</f>
        <v>#N/A</v>
      </c>
      <c r="D36" s="2925" t="s">
        <v>1482</v>
      </c>
      <c r="E36" s="346" t="s">
        <v>1422</v>
      </c>
      <c r="F36" s="373" t="e">
        <f ca="1">INDIRECT("'数据-取费表'!Ak"&amp;$G$1)</f>
        <v>#N/A</v>
      </c>
      <c r="G36" s="1844"/>
      <c r="H36" s="1852"/>
      <c r="I36" s="1853"/>
      <c r="J36" s="1854"/>
      <c r="K36" s="749"/>
      <c r="L36" s="1852"/>
      <c r="M36" s="1852"/>
    </row>
    <row r="37" spans="1:18" ht="18" customHeight="1">
      <c r="A37" s="1196" t="s">
        <v>1075</v>
      </c>
      <c r="B37" s="346" t="s">
        <v>1453</v>
      </c>
      <c r="C37" s="24" t="e">
        <f ca="1">ROUND(C13*F37,1)</f>
        <v>#N/A</v>
      </c>
      <c r="D37" s="2925" t="s">
        <v>1454</v>
      </c>
      <c r="E37" s="346" t="s">
        <v>1455</v>
      </c>
      <c r="F37" s="375" t="e">
        <f ca="1">INDIRECT("'数据-取费表'!Al"&amp;$G$1)</f>
        <v>#N/A</v>
      </c>
      <c r="G37" s="1844"/>
      <c r="H37" s="1852"/>
      <c r="I37" s="1853"/>
      <c r="J37" s="1854"/>
      <c r="K37" s="749"/>
      <c r="L37" s="1852"/>
      <c r="M37" s="1852"/>
    </row>
    <row r="38" spans="1:18" ht="18" customHeight="1" thickBot="1">
      <c r="A38" s="1334" t="s">
        <v>1392</v>
      </c>
      <c r="B38" s="1335" t="s">
        <v>1439</v>
      </c>
      <c r="C38" s="1336" t="e">
        <f ca="1">ROUND(C5*F38,1)</f>
        <v>#N/A</v>
      </c>
      <c r="D38" s="1337" t="s">
        <v>1459</v>
      </c>
      <c r="E38" s="1335" t="s">
        <v>1455</v>
      </c>
      <c r="F38" s="1331" t="e">
        <f ca="1">INDIRECT("'数据-取费表'!Am"&amp;$G$1)</f>
        <v>#N/A</v>
      </c>
      <c r="G38" s="1844"/>
      <c r="H38" s="1852"/>
      <c r="I38" s="1853"/>
      <c r="J38" s="1854"/>
      <c r="K38" s="1858"/>
      <c r="L38" s="1852"/>
      <c r="M38" s="1852"/>
    </row>
    <row r="39" spans="1:18" ht="24.6" customHeight="1" thickTop="1">
      <c r="A39" s="1324" t="s">
        <v>1031</v>
      </c>
      <c r="B39" s="1339" t="s">
        <v>1483</v>
      </c>
      <c r="C39" s="354" t="e">
        <f ca="1">C5-C30</f>
        <v>#N/A</v>
      </c>
      <c r="D39" s="1340" t="s">
        <v>1464</v>
      </c>
      <c r="E39" s="1341"/>
      <c r="F39" s="1342"/>
      <c r="G39" s="1844"/>
      <c r="H39" s="1852"/>
      <c r="I39" s="1853"/>
      <c r="J39" s="1854"/>
      <c r="K39" s="1858"/>
      <c r="L39" s="1852"/>
      <c r="M39" s="1852"/>
    </row>
    <row r="40" spans="1:18" ht="18" customHeight="1">
      <c r="A40" s="343" t="s">
        <v>1032</v>
      </c>
      <c r="B40" s="344" t="s">
        <v>1485</v>
      </c>
      <c r="C40" s="345" t="e">
        <f ca="1">ROUND(C39*(1-((1+F42)/(1+F40))^F41)/(F40-F42),0)</f>
        <v>#N/A</v>
      </c>
      <c r="D40" s="369" t="s">
        <v>1469</v>
      </c>
      <c r="E40" s="346" t="s">
        <v>1470</v>
      </c>
      <c r="F40" s="356" t="e">
        <f ca="1">INDIRECT("'数据-取费表'!I"&amp;$G$1)</f>
        <v>#N/A</v>
      </c>
      <c r="G40" s="1844"/>
      <c r="H40" s="1832"/>
      <c r="I40" s="1853"/>
      <c r="J40" s="1854"/>
      <c r="K40" s="1858"/>
      <c r="L40" s="1832"/>
      <c r="M40" s="1832"/>
    </row>
    <row r="41" spans="1:18" ht="18" customHeight="1">
      <c r="A41" s="348"/>
      <c r="B41" s="349"/>
      <c r="C41" s="350"/>
      <c r="D41" s="377" t="s">
        <v>1486</v>
      </c>
      <c r="E41" s="346" t="s">
        <v>1474</v>
      </c>
      <c r="F41" s="378" t="e">
        <f ca="1">IF(INDIRECT("'数据-取费表'!af"&amp;$G$1)=0,INDIRECT("'数据-取费表'!ae"&amp;$G$1),INDIRECT("'数据-取费表'!af"&amp;$G$1))</f>
        <v>#N/A</v>
      </c>
      <c r="G41" s="1844"/>
      <c r="H41" s="730"/>
      <c r="I41" s="1853"/>
      <c r="J41" s="1854"/>
      <c r="K41" s="749"/>
      <c r="L41" s="730"/>
      <c r="M41" s="730"/>
    </row>
    <row r="42" spans="1:18" ht="18" customHeight="1">
      <c r="A42" s="352"/>
      <c r="B42" s="353"/>
      <c r="C42" s="354"/>
      <c r="D42" s="372"/>
      <c r="E42" s="346" t="s">
        <v>1477</v>
      </c>
      <c r="F42" s="356" t="e">
        <f ca="1">INDIRECT("'数据-取费表'!v"&amp;$G$1)</f>
        <v>#N/A</v>
      </c>
      <c r="G42" s="1844"/>
      <c r="H42" s="730"/>
      <c r="I42" s="1853"/>
      <c r="J42" s="1854"/>
      <c r="K42" s="749"/>
      <c r="L42" s="730"/>
      <c r="M42" s="730"/>
    </row>
    <row r="43" spans="1:18" ht="18" customHeight="1" thickBot="1">
      <c r="A43" s="379" t="s">
        <v>1033</v>
      </c>
      <c r="B43" s="380" t="s">
        <v>1487</v>
      </c>
      <c r="C43" s="381" t="e">
        <f ca="1">ROUND(C40*10000/F43,0)</f>
        <v>#N/A</v>
      </c>
      <c r="D43" s="382" t="s">
        <v>1488</v>
      </c>
      <c r="E43" s="383" t="s">
        <v>1489</v>
      </c>
      <c r="F43" s="384" t="e">
        <f ca="1">INDIRECT("'数据-取费表'!k"&amp;$G$1)</f>
        <v>#N/A</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4"/>
      <c r="O45" s="1862" t="s">
        <v>1519</v>
      </c>
      <c r="P45" s="1832"/>
      <c r="Q45" s="1832"/>
      <c r="R45" s="1832"/>
    </row>
    <row r="46" spans="1:18" s="1835" customFormat="1" ht="13.5" thickBot="1">
      <c r="A46" s="1863" t="s">
        <v>1520</v>
      </c>
      <c r="C46" s="1864" t="e">
        <f ca="1">C68-C40</f>
        <v>#N/A</v>
      </c>
      <c r="D46" s="1865" t="str">
        <f>C2</f>
        <v>万元</v>
      </c>
      <c r="E46" s="1859"/>
      <c r="F46" s="1859"/>
      <c r="I46" s="1866" t="s">
        <v>1521</v>
      </c>
      <c r="J46" s="1867"/>
      <c r="K46" s="1868"/>
      <c r="L46" s="1869" t="e">
        <f ca="1">IF(M47="住宅",0,IF(L48&gt;J51,L60,J60))</f>
        <v>#N/A</v>
      </c>
      <c r="O46" s="1870" t="s">
        <v>1522</v>
      </c>
      <c r="P46" s="1871" t="s">
        <v>1523</v>
      </c>
      <c r="Q46" s="1872" t="s">
        <v>1524</v>
      </c>
      <c r="R46" s="1872" t="s">
        <v>1525</v>
      </c>
    </row>
    <row r="47" spans="1:18" s="1835" customFormat="1" ht="13.5" thickBot="1">
      <c r="A47" s="1160" t="s">
        <v>1396</v>
      </c>
      <c r="B47" s="1192" t="s">
        <v>1397</v>
      </c>
      <c r="C47" s="1362" t="s">
        <v>1398</v>
      </c>
      <c r="D47" s="1192" t="s">
        <v>1399</v>
      </c>
      <c r="E47" s="1274" t="s">
        <v>1400</v>
      </c>
      <c r="F47" s="1275"/>
      <c r="G47" s="790"/>
      <c r="I47" s="1873" t="s">
        <v>1526</v>
      </c>
      <c r="J47" s="1874" t="s">
        <v>3123</v>
      </c>
      <c r="K47" s="1875" t="s">
        <v>1527</v>
      </c>
      <c r="L47" s="1876" t="e">
        <f ca="1">INDIRECT("'数据-取费表'!d"&amp;$G$1)</f>
        <v>#N/A</v>
      </c>
      <c r="M47" s="1831" t="str">
        <f>IF(ISNUMBER(FIND("住宅",C1)),"住宅","非住宅")</f>
        <v>非住宅</v>
      </c>
      <c r="O47" s="1877" t="s">
        <v>1040</v>
      </c>
      <c r="P47" s="1878" t="s">
        <v>1528</v>
      </c>
      <c r="Q47" s="1879" t="e">
        <f ca="1">C40+J29</f>
        <v>#N/A</v>
      </c>
      <c r="R47" s="1879" t="s">
        <v>1529</v>
      </c>
    </row>
    <row r="48" spans="1:18" s="1835" customFormat="1" ht="28.5" thickBot="1">
      <c r="A48" s="1355" t="s">
        <v>1135</v>
      </c>
      <c r="B48" s="344" t="s">
        <v>1401</v>
      </c>
      <c r="C48" s="2929" t="e">
        <f ca="1">C49+C53+C55</f>
        <v>#N/A</v>
      </c>
      <c r="D48" s="1357"/>
      <c r="E48" s="1358"/>
      <c r="F48" s="1176"/>
      <c r="G48" s="790"/>
      <c r="H48" s="791"/>
      <c r="I48" s="1880" t="s">
        <v>1530</v>
      </c>
      <c r="J48" s="1881" t="s">
        <v>3124</v>
      </c>
      <c r="K48" s="1882" t="s">
        <v>1531</v>
      </c>
      <c r="L48" s="1883" t="e">
        <f ca="1">INDIRECT("'数据-取费表'!f"&amp;$G$1)</f>
        <v>#N/A</v>
      </c>
      <c r="O48" s="1877" t="s">
        <v>1041</v>
      </c>
      <c r="P48" s="1878" t="s">
        <v>1532</v>
      </c>
      <c r="Q48" s="1879" t="e">
        <f ca="1">J60</f>
        <v>#N/A</v>
      </c>
      <c r="R48" s="1879" t="s">
        <v>1533</v>
      </c>
    </row>
    <row r="49" spans="1:18" s="1835" customFormat="1" ht="13.5" thickBot="1">
      <c r="A49" s="1189" t="s">
        <v>1136</v>
      </c>
      <c r="B49" s="1822" t="s">
        <v>1490</v>
      </c>
      <c r="C49" s="1359" t="e">
        <f ca="1">ROUND(F49*F51*F50*(1-F52)/10000,0)</f>
        <v>#N/A</v>
      </c>
      <c r="D49" s="1271" t="s">
        <v>3013</v>
      </c>
      <c r="E49" s="1823" t="s">
        <v>1491</v>
      </c>
      <c r="F49" s="1276"/>
      <c r="G49" s="1884"/>
      <c r="H49" s="791"/>
      <c r="I49" s="1880" t="s">
        <v>1534</v>
      </c>
      <c r="J49" s="1885">
        <v>2017</v>
      </c>
      <c r="K49" s="1882" t="s">
        <v>1535</v>
      </c>
      <c r="L49" s="1886"/>
      <c r="O49" s="1887" t="s">
        <v>1042</v>
      </c>
      <c r="P49" s="1878" t="s">
        <v>1536</v>
      </c>
      <c r="Q49" s="1879" t="e">
        <f ca="1">C29</f>
        <v>#N/A</v>
      </c>
      <c r="R49" s="1879" t="s">
        <v>1529</v>
      </c>
    </row>
    <row r="50" spans="1:18" s="1835" customFormat="1" ht="13.5" thickBot="1">
      <c r="A50" s="1190"/>
      <c r="B50" s="1193"/>
      <c r="C50" s="1363"/>
      <c r="D50" s="1167"/>
      <c r="E50" s="1272" t="s">
        <v>1406</v>
      </c>
      <c r="F50" s="1273" t="e">
        <f ca="1">F7</f>
        <v>#N/A</v>
      </c>
      <c r="H50" s="791"/>
      <c r="I50" s="1880" t="s">
        <v>1537</v>
      </c>
      <c r="J50" s="1888">
        <f>SUMPRODUCT((I63:I65=J47)*(J62:L62=J48)*(J63:L65))</f>
        <v>60</v>
      </c>
      <c r="K50" s="1882" t="s">
        <v>1538</v>
      </c>
      <c r="L50" s="1886"/>
      <c r="M50" s="1889"/>
      <c r="O50" s="1887" t="s">
        <v>1043</v>
      </c>
      <c r="P50" s="1878" t="s">
        <v>1539</v>
      </c>
      <c r="Q50" s="1890" t="e">
        <f ca="1">J58</f>
        <v>#N/A</v>
      </c>
      <c r="R50" s="1879"/>
    </row>
    <row r="51" spans="1:18" s="1835" customFormat="1" ht="13.5" thickBot="1">
      <c r="A51" s="1191"/>
      <c r="B51" s="1193"/>
      <c r="C51" s="1194"/>
      <c r="D51" s="1167"/>
      <c r="E51" s="1195" t="s">
        <v>1407</v>
      </c>
      <c r="F51" s="347" t="e">
        <f ca="1">F8</f>
        <v>#N/A</v>
      </c>
      <c r="I51" s="1891" t="s">
        <v>1540</v>
      </c>
      <c r="J51" s="1892">
        <f>IF(J49="",J50,J49+J50-YEAR('数据-取费表'!B2))</f>
        <v>59</v>
      </c>
      <c r="K51" s="1893" t="s">
        <v>1541</v>
      </c>
      <c r="L51" s="1894" t="e">
        <f ca="1">ROUND(-PV(INDIRECT("'数据-取费表'!h"&amp;$G$1),L48,(C39-C13*C76),0),0)</f>
        <v>#N/A</v>
      </c>
      <c r="M51" s="1895"/>
      <c r="O51" s="1887" t="s">
        <v>1044</v>
      </c>
      <c r="P51" s="1878" t="s">
        <v>1542</v>
      </c>
      <c r="Q51" s="1890">
        <f>J52</f>
        <v>9.0000000000000011E-2</v>
      </c>
      <c r="R51" s="1879"/>
    </row>
    <row r="52" spans="1:18" s="1835" customFormat="1" ht="13.5" thickBot="1">
      <c r="A52" s="1191"/>
      <c r="B52" s="1193"/>
      <c r="C52" s="1194"/>
      <c r="D52" s="1167"/>
      <c r="E52" s="1195" t="s">
        <v>1408</v>
      </c>
      <c r="F52" s="1270"/>
      <c r="I52" s="1896" t="s">
        <v>1543</v>
      </c>
      <c r="J52" s="1897">
        <f>'数据-取费表'!J6+0.005</f>
        <v>9.0000000000000011E-2</v>
      </c>
      <c r="K52" s="1896" t="s">
        <v>1544</v>
      </c>
      <c r="L52" s="1897"/>
      <c r="O52" s="1887" t="s">
        <v>1045</v>
      </c>
      <c r="P52" s="1878" t="s">
        <v>1545</v>
      </c>
      <c r="Q52" s="1879" t="e">
        <f ca="1">J53</f>
        <v>#N/A</v>
      </c>
      <c r="R52" s="1879" t="s">
        <v>1546</v>
      </c>
    </row>
    <row r="53" spans="1:18" s="1835" customFormat="1" ht="24.75" thickBot="1">
      <c r="A53" s="1400" t="s">
        <v>1137</v>
      </c>
      <c r="B53" s="1824" t="s">
        <v>1409</v>
      </c>
      <c r="C53" s="360">
        <f ca="1">ROUND(IF(F53="押一",C49/12*F11,IF(F53="押二",C49/12*2*F11,IF(F53="押三",C49/12*3*F11,C54*F11))),0)</f>
        <v>0</v>
      </c>
      <c r="D53" s="1817" t="s">
        <v>3020</v>
      </c>
      <c r="E53" s="357" t="s">
        <v>1410</v>
      </c>
      <c r="F53" s="1361"/>
      <c r="I53" s="1898" t="s">
        <v>1547</v>
      </c>
      <c r="J53" s="1899" t="e">
        <f ca="1">IF(M47="住宅",J51,IF(D1="——",MIN(J51,L48),IF(D1="在建（套用方法）",MIN(J51,L48-'数据-取费表'!B24),IF(D1="土地（套用方法）",MIN(J51,L48-'数据-取费表'!B20)))))</f>
        <v>#N/A</v>
      </c>
      <c r="K53" s="3249" t="s">
        <v>1548</v>
      </c>
      <c r="L53" s="3250"/>
      <c r="O53" s="1877" t="s">
        <v>1046</v>
      </c>
      <c r="P53" s="1878" t="s">
        <v>1549</v>
      </c>
      <c r="Q53" s="1879" t="e">
        <f ca="1">Q47+Q48</f>
        <v>#N/A</v>
      </c>
      <c r="R53" s="1879" t="s">
        <v>1047</v>
      </c>
    </row>
    <row r="54" spans="1:18" s="1835" customFormat="1" ht="13.5" thickBot="1">
      <c r="A54" s="1401"/>
      <c r="B54" s="1818" t="s">
        <v>1388</v>
      </c>
      <c r="C54" s="1173"/>
      <c r="D54" s="1817"/>
      <c r="E54" s="2928"/>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4"/>
      <c r="O54" s="1862" t="s">
        <v>1550</v>
      </c>
      <c r="P54" s="1832"/>
      <c r="Q54" s="1832"/>
      <c r="R54" s="1832"/>
    </row>
    <row r="55" spans="1:18" s="1835" customFormat="1" ht="13.5" thickBot="1">
      <c r="A55" s="1328" t="s">
        <v>1075</v>
      </c>
      <c r="B55" s="1820" t="s">
        <v>1413</v>
      </c>
      <c r="C55" s="1329"/>
      <c r="D55" s="1817"/>
      <c r="E55" s="2928"/>
      <c r="F55" s="1900"/>
      <c r="I55" s="1903" t="s">
        <v>1551</v>
      </c>
      <c r="J55" s="1904" t="e">
        <f ca="1">ROUND(IF(J47="钢混",J57/J50,1-(1-2%)*(J50-J57)/J50),3)</f>
        <v>#N/A</v>
      </c>
      <c r="K55" s="1905" t="s">
        <v>1552</v>
      </c>
      <c r="L55" s="1906" t="s">
        <v>1553</v>
      </c>
      <c r="O55" s="1870" t="s">
        <v>1522</v>
      </c>
      <c r="P55" s="1871" t="s">
        <v>1523</v>
      </c>
      <c r="Q55" s="1872" t="s">
        <v>1524</v>
      </c>
      <c r="R55" s="1872" t="s">
        <v>1525</v>
      </c>
    </row>
    <row r="56" spans="1:18" s="1835" customFormat="1" ht="25.5" thickTop="1" thickBot="1">
      <c r="A56" s="1171">
        <v>2</v>
      </c>
      <c r="B56" s="1172" t="s">
        <v>1414</v>
      </c>
      <c r="C56" s="275" t="e">
        <f ca="1">C13</f>
        <v>#N/A</v>
      </c>
      <c r="D56" s="1907"/>
      <c r="E56" s="1908"/>
      <c r="F56" s="1900"/>
      <c r="I56" s="1909" t="s">
        <v>1554</v>
      </c>
      <c r="J56" s="1910" t="s">
        <v>3033</v>
      </c>
      <c r="K56" s="1880" t="s">
        <v>1555</v>
      </c>
      <c r="L56" s="1883" t="e">
        <f ca="1">IF(L48&lt;J51,"——",L48-J53)</f>
        <v>#N/A</v>
      </c>
      <c r="O56" s="1877" t="s">
        <v>1040</v>
      </c>
      <c r="P56" s="1878" t="s">
        <v>1528</v>
      </c>
      <c r="Q56" s="1879" t="e">
        <f ca="1">C40+J29</f>
        <v>#N/A</v>
      </c>
      <c r="R56" s="1879" t="s">
        <v>1529</v>
      </c>
    </row>
    <row r="57" spans="1:18" s="1835" customFormat="1" ht="24.75" thickBot="1">
      <c r="A57" s="1911"/>
      <c r="B57" s="1164" t="s">
        <v>1478</v>
      </c>
      <c r="C57" s="281" t="e">
        <f ca="1">C29</f>
        <v>#N/A</v>
      </c>
      <c r="D57" s="1912"/>
      <c r="E57" s="1913"/>
      <c r="F57" s="1914"/>
      <c r="I57" s="1915" t="s">
        <v>1556</v>
      </c>
      <c r="J57" s="1916" t="e">
        <f ca="1">IF(OR(M47="住宅",J51&lt;L48,J56="是"),"——",J51-L48)</f>
        <v>#N/A</v>
      </c>
      <c r="K57" s="1880" t="s">
        <v>1557</v>
      </c>
      <c r="L57" s="1883" t="e">
        <f ca="1">IF(L48&lt;J51,"——",IF(L55="比较法",L49,IF(L55="基准地价",L50,L51)))</f>
        <v>#N/A</v>
      </c>
      <c r="O57" s="1877" t="s">
        <v>1041</v>
      </c>
      <c r="P57" s="1878" t="s">
        <v>1558</v>
      </c>
      <c r="Q57" s="1879" t="e">
        <f ca="1">L60</f>
        <v>#N/A</v>
      </c>
      <c r="R57" s="1879" t="s">
        <v>1559</v>
      </c>
    </row>
    <row r="58" spans="1:18" s="1835" customFormat="1" ht="24.75" thickBot="1">
      <c r="A58" s="359" t="s">
        <v>1030</v>
      </c>
      <c r="B58" s="1172" t="s">
        <v>1424</v>
      </c>
      <c r="C58" s="360" t="e">
        <f ca="1">ROUND(C59+C64+C65+C66,0)</f>
        <v>#N/A</v>
      </c>
      <c r="D58" s="1174" t="s">
        <v>1425</v>
      </c>
      <c r="E58" s="1175"/>
      <c r="F58" s="1176"/>
      <c r="I58" s="1915" t="s">
        <v>1560</v>
      </c>
      <c r="J58" s="1917" t="e">
        <f ca="1">IF(J55&lt;0.4,0.4,J55)</f>
        <v>#N/A</v>
      </c>
      <c r="K58" s="1893" t="s">
        <v>1561</v>
      </c>
      <c r="L58" s="1883" t="e">
        <f ca="1">ROUND(POWER(1+L52,L47-L48)*(POWER(1+L52,L48)-1)/(POWER(1+L52,L47)-1),4)</f>
        <v>#N/A</v>
      </c>
      <c r="O58" s="1887" t="s">
        <v>1042</v>
      </c>
      <c r="P58" s="1878" t="s">
        <v>1562</v>
      </c>
      <c r="Q58" s="1879">
        <f>IF(L55="比较法",L49,IF(L55="基准地价",L50,0))</f>
        <v>0</v>
      </c>
      <c r="R58" s="1879" t="s">
        <v>1529</v>
      </c>
    </row>
    <row r="59" spans="1:18" s="1835" customFormat="1" ht="24.75" thickBot="1">
      <c r="A59" s="1196" t="s">
        <v>1035</v>
      </c>
      <c r="B59" s="1164" t="s">
        <v>1429</v>
      </c>
      <c r="C59" s="24" t="e">
        <f ca="1">ROUND(IF(项目基本情况!B11="自然人",C48*F59,C60+C61+C62),1)</f>
        <v>#N/A</v>
      </c>
      <c r="D59" s="1177" t="s">
        <v>1430</v>
      </c>
      <c r="E59" s="1178" t="s">
        <v>1431</v>
      </c>
      <c r="F59" s="367" t="str">
        <f ca="1">IF(项目基本情况!B11="企业","",IF(INDIRECT("'数据-取费表'!c"&amp;$G$1)="住宅",5%,IF(F49*F50*F51/12/(1+'数据-取费表'!C42)&gt;20000,12%,7%)))</f>
        <v/>
      </c>
      <c r="I59" s="1915" t="s">
        <v>1563</v>
      </c>
      <c r="J59" s="1916" t="e">
        <f ca="1">IF(OR(M47="住宅",J51&lt;L48,J56="是"),"——",ROUND(C29*J58,0))</f>
        <v>#N/A</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#N/A</v>
      </c>
      <c r="M59" s="1831" t="e">
        <f ca="1">ROUND(POWER(1+L52,L47-(J51+'数据-取费表'!B24))*(POWER(1+L52,(J51+'数据-取费表'!B24))-1)/(POWER(1+L52,L47)-1),4)</f>
        <v>#N/A</v>
      </c>
      <c r="N59" s="1831" t="e">
        <f ca="1">ROUND(POWER(1+L52,L47-(J51+'数据-取费表'!B20))*(POWER(1+L52,(J51+'数据-取费表'!B20))-1)/(POWER(1+L52,L47)-1),4)</f>
        <v>#N/A</v>
      </c>
      <c r="O59" s="1887" t="s">
        <v>1043</v>
      </c>
      <c r="P59" s="1878" t="s">
        <v>1564</v>
      </c>
      <c r="Q59" s="1890">
        <f>L52</f>
        <v>0</v>
      </c>
      <c r="R59" s="1879"/>
    </row>
    <row r="60" spans="1:18" s="1835" customFormat="1" ht="16.5" thickBot="1">
      <c r="A60" s="1196" t="s">
        <v>1034</v>
      </c>
      <c r="B60" s="1164" t="s">
        <v>1433</v>
      </c>
      <c r="C60" s="24" t="e">
        <f ca="1">IF(项目基本情况!B11="自然人","——",ROUND(C48*F60/(1+'数据-取费表'!C42),2))</f>
        <v>#N/A</v>
      </c>
      <c r="D60" s="1178" t="s">
        <v>1434</v>
      </c>
      <c r="E60" s="1164" t="s">
        <v>1422</v>
      </c>
      <c r="F60" s="376">
        <f t="shared" ref="F60:F66" si="0">F32</f>
        <v>5.6000000000000001E-2</v>
      </c>
      <c r="I60" s="1918" t="s">
        <v>1565</v>
      </c>
      <c r="J60" s="1919" t="e">
        <f ca="1">IF(OR(M47="住宅",J51&lt;L48,J56="是"),"0",ROUND(J59/(1+J52)^J53,0))</f>
        <v>#N/A</v>
      </c>
      <c r="K60" s="1920" t="s">
        <v>1566</v>
      </c>
      <c r="L60" s="1919" t="e">
        <f ca="1">IF(OR(M47="住宅",L48&lt;J51),0,ROUND(L57*(L58/L59-1),0))</f>
        <v>#N/A</v>
      </c>
      <c r="O60" s="1887" t="s">
        <v>1044</v>
      </c>
      <c r="P60" s="1878" t="s">
        <v>1567</v>
      </c>
      <c r="Q60" s="1879" t="e">
        <f ca="1">L58</f>
        <v>#N/A</v>
      </c>
      <c r="R60" s="1879" t="s">
        <v>1568</v>
      </c>
    </row>
    <row r="61" spans="1:18" s="1835" customFormat="1" ht="13.5" thickBot="1">
      <c r="A61" s="1196" t="s">
        <v>1492</v>
      </c>
      <c r="B61" s="1164" t="s">
        <v>1493</v>
      </c>
      <c r="C61" s="24" t="e">
        <f ca="1">IF(项目基本情况!B11="自然人","——",IF(D61="按租金收入计税",ROUND(C48*F61,2),IF(D61="按房产原值计税",ROUND(C57*F61*0.7,2),INDIRECT("'数据-取费表'!Aj"&amp;$G$1))))</f>
        <v>#N/A</v>
      </c>
      <c r="D61" s="1821" t="s">
        <v>1438</v>
      </c>
      <c r="E61" s="1164" t="s">
        <v>1494</v>
      </c>
      <c r="F61" s="366">
        <f t="shared" si="0"/>
        <v>0.12</v>
      </c>
      <c r="I61" s="1921"/>
      <c r="J61" s="1921"/>
      <c r="K61" s="1921"/>
      <c r="L61" s="1921"/>
      <c r="O61" s="1887" t="s">
        <v>1045</v>
      </c>
      <c r="P61" s="1878" t="str">
        <f>K59</f>
        <v>建筑物剩余耐用年限下的土地年期修正系数Kn</v>
      </c>
      <c r="Q61" s="1879" t="e">
        <f ca="1">L59</f>
        <v>#N/A</v>
      </c>
      <c r="R61" s="1879" t="s">
        <v>1569</v>
      </c>
    </row>
    <row r="62" spans="1:18" s="1835" customFormat="1" ht="13.5" thickBot="1">
      <c r="A62" s="1196" t="s">
        <v>1495</v>
      </c>
      <c r="B62" s="1163" t="s">
        <v>1496</v>
      </c>
      <c r="C62" s="25" t="e">
        <f ca="1">IF(项目基本情况!B11="自然人","——",ROUND(F62*F63/10000,2))</f>
        <v>#N/A</v>
      </c>
      <c r="D62" s="1179" t="s">
        <v>1497</v>
      </c>
      <c r="E62" s="1164" t="s">
        <v>1498</v>
      </c>
      <c r="F62" s="370">
        <f t="shared" si="0"/>
        <v>1.5</v>
      </c>
      <c r="I62" s="1922" t="s">
        <v>1570</v>
      </c>
      <c r="J62" s="1923" t="s">
        <v>1571</v>
      </c>
      <c r="K62" s="1923" t="s">
        <v>1572</v>
      </c>
      <c r="L62" s="1923" t="s">
        <v>1573</v>
      </c>
      <c r="M62" s="1924" t="s">
        <v>1574</v>
      </c>
      <c r="O62" s="1877" t="s">
        <v>1046</v>
      </c>
      <c r="P62" s="1878" t="s">
        <v>1575</v>
      </c>
      <c r="Q62" s="1879" t="e">
        <f ca="1">Q56+Q57</f>
        <v>#N/A</v>
      </c>
      <c r="R62" s="1879" t="s">
        <v>1047</v>
      </c>
    </row>
    <row r="63" spans="1:18" s="1835" customFormat="1" ht="13.5" thickBot="1">
      <c r="A63" s="371"/>
      <c r="B63" s="1170"/>
      <c r="C63" s="29"/>
      <c r="D63" s="1180"/>
      <c r="E63" s="1164" t="s">
        <v>1499</v>
      </c>
      <c r="F63" s="347" t="e">
        <f t="shared" ca="1" si="0"/>
        <v>#N/A</v>
      </c>
      <c r="I63" s="1922" t="s">
        <v>1576</v>
      </c>
      <c r="J63" s="1923">
        <v>70</v>
      </c>
      <c r="K63" s="1923">
        <v>50</v>
      </c>
      <c r="L63" s="1923">
        <v>80</v>
      </c>
      <c r="M63" s="1925">
        <v>0.02</v>
      </c>
      <c r="O63" s="1862" t="s">
        <v>1577</v>
      </c>
      <c r="P63" s="1832"/>
      <c r="Q63" s="1832"/>
      <c r="R63" s="1832"/>
    </row>
    <row r="64" spans="1:18" s="1835" customFormat="1" ht="13.5" thickBot="1">
      <c r="A64" s="1196" t="s">
        <v>1500</v>
      </c>
      <c r="B64" s="1164" t="s">
        <v>1501</v>
      </c>
      <c r="C64" s="24" t="e">
        <f ca="1">ROUND(C57*F64,1)</f>
        <v>#N/A</v>
      </c>
      <c r="D64" s="1178" t="s">
        <v>1502</v>
      </c>
      <c r="E64" s="1164" t="s">
        <v>1494</v>
      </c>
      <c r="F64" s="373" t="e">
        <f t="shared" ca="1" si="0"/>
        <v>#N/A</v>
      </c>
      <c r="I64" s="1922" t="s">
        <v>1578</v>
      </c>
      <c r="J64" s="1923">
        <v>50</v>
      </c>
      <c r="K64" s="1923">
        <v>35</v>
      </c>
      <c r="L64" s="1923">
        <v>60</v>
      </c>
      <c r="M64" s="1924">
        <v>0</v>
      </c>
      <c r="O64" s="1870" t="s">
        <v>1522</v>
      </c>
      <c r="P64" s="1871" t="s">
        <v>1523</v>
      </c>
      <c r="Q64" s="1872" t="s">
        <v>1524</v>
      </c>
      <c r="R64" s="1872" t="s">
        <v>1525</v>
      </c>
    </row>
    <row r="65" spans="1:18" s="1835" customFormat="1" ht="13.5" thickBot="1">
      <c r="A65" s="1196" t="s">
        <v>1503</v>
      </c>
      <c r="B65" s="1164" t="s">
        <v>1453</v>
      </c>
      <c r="C65" s="24" t="e">
        <f ca="1">ROUND(C56*F65,1)</f>
        <v>#N/A</v>
      </c>
      <c r="D65" s="1178" t="s">
        <v>1454</v>
      </c>
      <c r="E65" s="1164" t="s">
        <v>1455</v>
      </c>
      <c r="F65" s="375" t="e">
        <f t="shared" ca="1" si="0"/>
        <v>#N/A</v>
      </c>
      <c r="I65" s="1922" t="s">
        <v>1579</v>
      </c>
      <c r="J65" s="1923">
        <v>40</v>
      </c>
      <c r="K65" s="1923">
        <v>30</v>
      </c>
      <c r="L65" s="1923">
        <v>50</v>
      </c>
      <c r="M65" s="1925">
        <v>0.02</v>
      </c>
      <c r="O65" s="1877" t="s">
        <v>1040</v>
      </c>
      <c r="P65" s="1878" t="s">
        <v>1528</v>
      </c>
      <c r="Q65" s="1879" t="e">
        <f ca="1">C40+J29</f>
        <v>#N/A</v>
      </c>
      <c r="R65" s="1879" t="s">
        <v>1529</v>
      </c>
    </row>
    <row r="66" spans="1:18" s="1835" customFormat="1" ht="16.5" thickBot="1">
      <c r="A66" s="1196" t="s">
        <v>1504</v>
      </c>
      <c r="B66" s="1164" t="s">
        <v>1439</v>
      </c>
      <c r="C66" s="24" t="e">
        <f ca="1">ROUND(C48*F66,1)</f>
        <v>#N/A</v>
      </c>
      <c r="D66" s="1178" t="s">
        <v>1459</v>
      </c>
      <c r="E66" s="1164" t="s">
        <v>1422</v>
      </c>
      <c r="F66" s="356" t="e">
        <f t="shared" ca="1" si="0"/>
        <v>#N/A</v>
      </c>
      <c r="O66" s="1877" t="s">
        <v>1041</v>
      </c>
      <c r="P66" s="1878" t="s">
        <v>1558</v>
      </c>
      <c r="Q66" s="1879" t="e">
        <f ca="1">L60</f>
        <v>#N/A</v>
      </c>
      <c r="R66" s="1879" t="s">
        <v>1581</v>
      </c>
    </row>
    <row r="67" spans="1:18" s="1835" customFormat="1" ht="16.5" thickBot="1">
      <c r="A67" s="1171" t="s">
        <v>1031</v>
      </c>
      <c r="B67" s="1181" t="s">
        <v>1463</v>
      </c>
      <c r="C67" s="360" t="e">
        <f ca="1">C48-C58</f>
        <v>#N/A</v>
      </c>
      <c r="D67" s="1177" t="s">
        <v>1464</v>
      </c>
      <c r="E67" s="1182"/>
      <c r="F67" s="1183"/>
      <c r="O67" s="1887" t="s">
        <v>1042</v>
      </c>
      <c r="P67" s="1878" t="s">
        <v>1562</v>
      </c>
      <c r="Q67" s="1926" t="e">
        <f ca="1">L51</f>
        <v>#N/A</v>
      </c>
      <c r="R67" s="1879" t="s">
        <v>1582</v>
      </c>
    </row>
    <row r="68" spans="1:18" s="1835" customFormat="1" ht="16.5" thickBot="1">
      <c r="A68" s="1161" t="s">
        <v>1032</v>
      </c>
      <c r="B68" s="1162" t="s">
        <v>1485</v>
      </c>
      <c r="C68" s="345" t="e">
        <f ca="1">ROUND(C67*(1-((1+F70)/(1+F68))^F69)/(F68-F70),0)</f>
        <v>#N/A</v>
      </c>
      <c r="D68" s="1179" t="s">
        <v>1469</v>
      </c>
      <c r="E68" s="1164" t="s">
        <v>1470</v>
      </c>
      <c r="F68" s="356" t="e">
        <f ca="1">F40</f>
        <v>#N/A</v>
      </c>
      <c r="O68" s="1887" t="s">
        <v>1043</v>
      </c>
      <c r="P68" s="1927" t="s">
        <v>1583</v>
      </c>
      <c r="Q68" s="1879" t="e">
        <f ca="1">ROUND(Q69-Q70*Q71,0)</f>
        <v>#N/A</v>
      </c>
      <c r="R68" s="1879" t="s">
        <v>1051</v>
      </c>
    </row>
    <row r="69" spans="1:18" s="1835" customFormat="1" ht="13.5" thickBot="1">
      <c r="A69" s="1165"/>
      <c r="B69" s="1166"/>
      <c r="C69" s="350"/>
      <c r="D69" s="1184" t="s">
        <v>1473</v>
      </c>
      <c r="E69" s="1164" t="s">
        <v>1474</v>
      </c>
      <c r="F69" s="378" t="e">
        <f ca="1">F41</f>
        <v>#N/A</v>
      </c>
      <c r="O69" s="1887" t="s">
        <v>1048</v>
      </c>
      <c r="P69" s="1927" t="s">
        <v>1584</v>
      </c>
      <c r="Q69" s="1879" t="e">
        <f ca="1">C39</f>
        <v>#N/A</v>
      </c>
      <c r="R69" s="1879" t="s">
        <v>1529</v>
      </c>
    </row>
    <row r="70" spans="1:18" s="1835" customFormat="1" ht="13.5" thickBot="1">
      <c r="A70" s="1168"/>
      <c r="B70" s="1169"/>
      <c r="C70" s="354"/>
      <c r="D70" s="1180"/>
      <c r="E70" s="1164" t="s">
        <v>1477</v>
      </c>
      <c r="F70" s="1270"/>
      <c r="O70" s="1887" t="s">
        <v>1049</v>
      </c>
      <c r="P70" s="1927" t="s">
        <v>1585</v>
      </c>
      <c r="Q70" s="1879" t="e">
        <f ca="1">C13</f>
        <v>#N/A</v>
      </c>
      <c r="R70" s="1879" t="s">
        <v>1529</v>
      </c>
    </row>
    <row r="71" spans="1:18" s="1835" customFormat="1" ht="13.5" thickBot="1">
      <c r="A71" s="1185" t="s">
        <v>1033</v>
      </c>
      <c r="B71" s="1186" t="s">
        <v>1487</v>
      </c>
      <c r="C71" s="381" t="e">
        <f ca="1">ROUND(C68*10000/F71,0)</f>
        <v>#N/A</v>
      </c>
      <c r="D71" s="1187" t="s">
        <v>1488</v>
      </c>
      <c r="E71" s="1188" t="s">
        <v>1489</v>
      </c>
      <c r="F71" s="384" t="e">
        <f ca="1">F43</f>
        <v>#N/A</v>
      </c>
      <c r="O71" s="1887" t="s">
        <v>1050</v>
      </c>
      <c r="P71" s="1927" t="s">
        <v>1586</v>
      </c>
      <c r="Q71" s="1890" t="e">
        <f ca="1">C76</f>
        <v>#N/A</v>
      </c>
      <c r="R71" s="1879"/>
    </row>
    <row r="72" spans="1:18" s="1835" customFormat="1" ht="13.5" thickBot="1">
      <c r="B72" s="794"/>
      <c r="C72" s="794"/>
      <c r="O72" s="1887" t="s">
        <v>1044</v>
      </c>
      <c r="P72" s="1878" t="s">
        <v>1564</v>
      </c>
      <c r="Q72" s="1890">
        <f>L52</f>
        <v>0</v>
      </c>
      <c r="R72" s="1879"/>
    </row>
    <row r="73" spans="1:18" ht="16.5" thickBot="1">
      <c r="A73" s="1835"/>
      <c r="B73" s="794"/>
      <c r="C73" s="794"/>
      <c r="D73" s="1835"/>
      <c r="E73" s="1835"/>
      <c r="F73" s="1835"/>
      <c r="O73" s="1887" t="s">
        <v>1045</v>
      </c>
      <c r="P73" s="1878" t="s">
        <v>1567</v>
      </c>
      <c r="Q73" s="1879" t="e">
        <f ca="1">L58</f>
        <v>#N/A</v>
      </c>
      <c r="R73" s="1879" t="s">
        <v>1568</v>
      </c>
    </row>
    <row r="74" spans="1:18" ht="13.5" thickBot="1">
      <c r="A74" s="1835"/>
      <c r="B74" s="316" t="s">
        <v>1587</v>
      </c>
      <c r="C74" s="1929"/>
      <c r="D74" s="1835"/>
      <c r="E74" s="1835"/>
      <c r="F74" s="1835"/>
      <c r="O74" s="1887" t="s">
        <v>1052</v>
      </c>
      <c r="P74" s="1878" t="str">
        <f>K59</f>
        <v>建筑物剩余耐用年限下的土地年期修正系数Kn</v>
      </c>
      <c r="Q74" s="1879" t="e">
        <f ca="1">L59</f>
        <v>#N/A</v>
      </c>
      <c r="R74" s="1879" t="s">
        <v>1569</v>
      </c>
    </row>
    <row r="75" spans="1:18" ht="13.5" thickBot="1">
      <c r="A75" s="1835"/>
      <c r="B75" s="385" t="s">
        <v>1506</v>
      </c>
      <c r="C75" s="386" t="e">
        <f ca="1">ROUND(C13*C76,0)</f>
        <v>#N/A</v>
      </c>
      <c r="D75" s="1835"/>
      <c r="E75" s="1835"/>
      <c r="F75" s="1835"/>
      <c r="K75" s="1861"/>
      <c r="L75" s="1835"/>
      <c r="O75" s="1877" t="s">
        <v>1046</v>
      </c>
      <c r="P75" s="1878" t="s">
        <v>1549</v>
      </c>
      <c r="Q75" s="1879" t="e">
        <f ca="1">Q65+Q66</f>
        <v>#N/A</v>
      </c>
      <c r="R75" s="1879" t="s">
        <v>1047</v>
      </c>
    </row>
    <row r="76" spans="1:18">
      <c r="B76" s="387" t="s">
        <v>1507</v>
      </c>
      <c r="C76" s="388" t="e">
        <f ca="1">INDIRECT("'数据-取费表'!j"&amp;$G$1)</f>
        <v>#N/A</v>
      </c>
      <c r="I76" s="1835"/>
      <c r="J76" s="1835"/>
      <c r="K76" s="1861"/>
      <c r="L76" s="1835"/>
    </row>
    <row r="77" spans="1:18">
      <c r="B77" s="389" t="s">
        <v>1508</v>
      </c>
      <c r="C77" s="390"/>
      <c r="I77" s="1835"/>
      <c r="J77" s="1835"/>
      <c r="K77" s="1861"/>
      <c r="L77" s="1835"/>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AK83"/>
  <sheetViews>
    <sheetView zoomScale="90" zoomScaleNormal="90" zoomScaleSheetLayoutView="90" workbookViewId="0">
      <selection activeCell="C1" sqref="C1"/>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8" customWidth="1"/>
    <col min="12" max="12" width="16.375" style="301" customWidth="1"/>
    <col min="13" max="13" width="13" style="301" customWidth="1"/>
    <col min="14" max="14" width="13.75" style="1835" customWidth="1"/>
    <col min="15" max="15" width="5.125" style="1835" customWidth="1"/>
    <col min="16" max="16" width="25.75" style="1835" customWidth="1"/>
    <col min="17" max="17" width="13.75" style="1835" customWidth="1"/>
    <col min="18" max="18" width="20.5" style="1835" customWidth="1"/>
    <col min="19" max="19" width="13.25" style="1835" customWidth="1"/>
    <col min="20" max="37" width="9" style="1835"/>
    <col min="38" max="16384" width="9" style="301"/>
  </cols>
  <sheetData>
    <row r="1" spans="1:37" s="336" customFormat="1" ht="21">
      <c r="A1" s="1826" t="s">
        <v>1589</v>
      </c>
      <c r="B1" s="780"/>
      <c r="C1" s="1830" t="s">
        <v>3311</v>
      </c>
      <c r="D1" s="1813" t="s">
        <v>70</v>
      </c>
      <c r="E1" s="1814" t="s">
        <v>1387</v>
      </c>
      <c r="F1" s="1278">
        <f ca="1">J53</f>
        <v>27</v>
      </c>
      <c r="G1" s="1829">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6" t="s">
        <v>1515</v>
      </c>
      <c r="B2" s="1837">
        <f ca="1">C40+J29+L46</f>
        <v>1944</v>
      </c>
      <c r="C2" s="1838" t="s">
        <v>1516</v>
      </c>
      <c r="D2" s="1838"/>
      <c r="E2" s="1839"/>
      <c r="F2" s="1840"/>
      <c r="G2" s="1841"/>
      <c r="H2" s="1833"/>
      <c r="I2" s="1833"/>
      <c r="J2" s="1833"/>
      <c r="K2" s="1834"/>
      <c r="L2" s="1833"/>
      <c r="M2" s="1833"/>
    </row>
    <row r="3" spans="1:37" ht="18" customHeight="1" thickBot="1">
      <c r="A3" s="1842" t="s">
        <v>1517</v>
      </c>
      <c r="B3" s="1843">
        <f ca="1">IF(ISERROR(B2*10000/F43),0,ROUND(B2*10000/F43,0))</f>
        <v>8798</v>
      </c>
      <c r="C3" s="1838" t="s">
        <v>1518</v>
      </c>
      <c r="D3" s="1838"/>
      <c r="E3" s="1839"/>
      <c r="F3" s="1840"/>
      <c r="G3" s="1841"/>
      <c r="H3" s="742" t="s">
        <v>1588</v>
      </c>
      <c r="I3" s="1833"/>
      <c r="J3" s="1833"/>
      <c r="K3" s="1834"/>
      <c r="L3" s="1833"/>
      <c r="M3" s="1833"/>
    </row>
    <row r="4" spans="1:37" ht="18" customHeight="1">
      <c r="A4" s="339" t="s">
        <v>1396</v>
      </c>
      <c r="B4" s="340" t="s">
        <v>1397</v>
      </c>
      <c r="C4" s="340" t="s">
        <v>1398</v>
      </c>
      <c r="D4" s="340" t="s">
        <v>1399</v>
      </c>
      <c r="E4" s="341" t="s">
        <v>1400</v>
      </c>
      <c r="F4" s="342"/>
      <c r="G4" s="1844"/>
      <c r="H4" s="339" t="s">
        <v>1396</v>
      </c>
      <c r="I4" s="340" t="s">
        <v>1397</v>
      </c>
      <c r="J4" s="340" t="s">
        <v>1398</v>
      </c>
      <c r="K4" s="340" t="s">
        <v>1399</v>
      </c>
      <c r="L4" s="341" t="s">
        <v>1400</v>
      </c>
      <c r="M4" s="342"/>
    </row>
    <row r="5" spans="1:37" ht="18" customHeight="1">
      <c r="A5" s="343">
        <v>1</v>
      </c>
      <c r="B5" s="344" t="s">
        <v>1401</v>
      </c>
      <c r="C5" s="1287">
        <f ca="1">C6+C10+C12</f>
        <v>115</v>
      </c>
      <c r="D5" s="1815" t="s">
        <v>1402</v>
      </c>
      <c r="E5" s="1288"/>
      <c r="F5" s="1289"/>
      <c r="G5" s="1844"/>
      <c r="H5" s="343">
        <v>1</v>
      </c>
      <c r="I5" s="344" t="s">
        <v>1401</v>
      </c>
      <c r="J5" s="1287">
        <f ca="1">J6+J10+J12</f>
        <v>0</v>
      </c>
      <c r="K5" s="1815" t="s">
        <v>1402</v>
      </c>
      <c r="L5" s="1288"/>
      <c r="M5" s="1289"/>
    </row>
    <row r="6" spans="1:37" ht="18" customHeight="1">
      <c r="A6" s="1286" t="s">
        <v>1035</v>
      </c>
      <c r="B6" s="3251" t="s">
        <v>1403</v>
      </c>
      <c r="C6" s="1291">
        <f ca="1">ROUND(F6*F8*F7*(1-F9)/10000,0)</f>
        <v>115</v>
      </c>
      <c r="D6" s="163" t="s">
        <v>3012</v>
      </c>
      <c r="E6" s="346" t="s">
        <v>1405</v>
      </c>
      <c r="F6" s="347">
        <f ca="1">INDIRECT("'数据-取费表'!u"&amp;$G$1)</f>
        <v>1.5</v>
      </c>
      <c r="G6" s="1844"/>
      <c r="H6" s="1286" t="s">
        <v>1035</v>
      </c>
      <c r="I6" s="3251" t="s">
        <v>1403</v>
      </c>
      <c r="J6" s="345">
        <f ca="1">ROUND(M6*M8*M7*(1-M9)/10000,0)</f>
        <v>0</v>
      </c>
      <c r="K6" s="163" t="s">
        <v>3011</v>
      </c>
      <c r="L6" s="346" t="s">
        <v>1405</v>
      </c>
      <c r="M6" s="347">
        <f ca="1">INDIRECT("'数据-取费表'!z"&amp;$G$1)</f>
        <v>0</v>
      </c>
    </row>
    <row r="7" spans="1:37" ht="18" customHeight="1">
      <c r="A7" s="1290"/>
      <c r="B7" s="3252"/>
      <c r="C7" s="1292"/>
      <c r="D7" s="351"/>
      <c r="E7" s="2999" t="s">
        <v>1406</v>
      </c>
      <c r="F7" s="347">
        <f ca="1">IF(INDIRECT("'数据-取费表'!ah"&amp;$G$1)="",INDIRECT("'数据-取费表'!k"&amp;$G$1),INDIRECT("'数据-取费表'!ah"&amp;$G$1))</f>
        <v>2209.56</v>
      </c>
      <c r="G7" s="1844"/>
      <c r="H7" s="348"/>
      <c r="I7" s="3252"/>
      <c r="J7" s="350"/>
      <c r="K7" s="351"/>
      <c r="L7" s="346" t="s">
        <v>1406</v>
      </c>
      <c r="M7" s="347">
        <f ca="1">F7</f>
        <v>2209.56</v>
      </c>
    </row>
    <row r="8" spans="1:37" ht="18" customHeight="1">
      <c r="A8" s="348"/>
      <c r="B8" s="3252"/>
      <c r="C8" s="350"/>
      <c r="D8" s="351"/>
      <c r="E8" s="346" t="s">
        <v>1407</v>
      </c>
      <c r="F8" s="347">
        <f ca="1">INDIRECT("'数据-取费表'!ai"&amp;$G$1)</f>
        <v>365</v>
      </c>
      <c r="G8" s="1844"/>
      <c r="H8" s="348"/>
      <c r="I8" s="3252"/>
      <c r="J8" s="350"/>
      <c r="K8" s="351"/>
      <c r="L8" s="346" t="s">
        <v>1407</v>
      </c>
      <c r="M8" s="347">
        <f ca="1">INDIRECT("'数据-取费表'!ai"&amp;$G$1)</f>
        <v>365</v>
      </c>
    </row>
    <row r="9" spans="1:37" ht="18" customHeight="1">
      <c r="A9" s="348"/>
      <c r="B9" s="3253"/>
      <c r="C9" s="350"/>
      <c r="D9" s="351"/>
      <c r="E9" s="346" t="s">
        <v>1408</v>
      </c>
      <c r="F9" s="356">
        <f ca="1">INDIRECT("'数据-取费表'!w"&amp;$G$1)</f>
        <v>0.05</v>
      </c>
      <c r="G9" s="1844"/>
      <c r="H9" s="348"/>
      <c r="I9" s="3253"/>
      <c r="J9" s="350"/>
      <c r="K9" s="351"/>
      <c r="L9" s="357" t="s">
        <v>1408</v>
      </c>
      <c r="M9" s="358">
        <f ca="1">INDIRECT("'数据-取费表'!ab"&amp;$G$1)</f>
        <v>0</v>
      </c>
    </row>
    <row r="10" spans="1:37" ht="18" customHeight="1">
      <c r="A10" s="1286" t="s">
        <v>1039</v>
      </c>
      <c r="B10" s="1816" t="s">
        <v>1409</v>
      </c>
      <c r="C10" s="360">
        <f ca="1">ROUND(IF(F10="押一",C6/12*F11,IF(F10="押二",C6/12*2*F11,IF(F10="押三",C6/12*3*F11,C11*F11))),0)</f>
        <v>0</v>
      </c>
      <c r="D10" s="1817" t="s">
        <v>3020</v>
      </c>
      <c r="E10" s="357" t="s">
        <v>1410</v>
      </c>
      <c r="F10" s="1361" t="s">
        <v>3122</v>
      </c>
      <c r="G10" s="1844"/>
      <c r="H10" s="1286" t="s">
        <v>1039</v>
      </c>
      <c r="I10" s="1816" t="s">
        <v>1409</v>
      </c>
      <c r="J10" s="345">
        <f ca="1">ROUND(IF(M10="押一",J6/12*M11,IF(M10="押二",J6/12*2*M11,IF(M10="押三",J6/12*3*M11,J11*M11))),0)</f>
        <v>0</v>
      </c>
      <c r="K10" s="1817" t="s">
        <v>3020</v>
      </c>
      <c r="L10" s="357" t="s">
        <v>1410</v>
      </c>
      <c r="M10" s="1361" t="s">
        <v>1411</v>
      </c>
    </row>
    <row r="11" spans="1:37" ht="18" customHeight="1">
      <c r="A11" s="352"/>
      <c r="B11" s="1818" t="s">
        <v>1388</v>
      </c>
      <c r="C11" s="1173"/>
      <c r="D11" s="1819"/>
      <c r="E11" s="357" t="s">
        <v>1412</v>
      </c>
      <c r="F11" s="358">
        <f ca="1">'数据-取费表'!B39</f>
        <v>1.4999999999999999E-2</v>
      </c>
      <c r="G11" s="1844"/>
      <c r="H11" s="1294"/>
      <c r="I11" s="1818" t="s">
        <v>1388</v>
      </c>
      <c r="J11" s="1173"/>
      <c r="K11" s="746"/>
      <c r="L11" s="357" t="s">
        <v>1412</v>
      </c>
      <c r="M11" s="1051">
        <f ca="1">'数据-取费表'!B39</f>
        <v>1.4999999999999999E-2</v>
      </c>
    </row>
    <row r="12" spans="1:37" ht="18" customHeight="1" thickBot="1">
      <c r="A12" s="1328" t="s">
        <v>1075</v>
      </c>
      <c r="B12" s="1820" t="s">
        <v>1413</v>
      </c>
      <c r="C12" s="1329"/>
      <c r="D12" s="1330"/>
      <c r="E12" s="1335"/>
      <c r="F12" s="1331"/>
      <c r="G12" s="1844"/>
      <c r="H12" s="1328" t="s">
        <v>1075</v>
      </c>
      <c r="I12" s="1820" t="s">
        <v>1413</v>
      </c>
      <c r="J12" s="1329"/>
      <c r="K12" s="1343"/>
      <c r="L12" s="1335"/>
      <c r="M12" s="1344"/>
    </row>
    <row r="13" spans="1:37" ht="18" customHeight="1" thickTop="1">
      <c r="A13" s="1324">
        <v>2</v>
      </c>
      <c r="B13" s="1325" t="s">
        <v>1414</v>
      </c>
      <c r="C13" s="354">
        <f ca="1">ROUND(C29*F13,0)</f>
        <v>487</v>
      </c>
      <c r="D13" s="1326" t="s">
        <v>1415</v>
      </c>
      <c r="E13" s="1326" t="s">
        <v>1416</v>
      </c>
      <c r="F13" s="1327">
        <f ca="1">INDIRECT("'数据-取费表'!y"&amp;$G$1)</f>
        <v>0.78</v>
      </c>
      <c r="G13" s="1844"/>
      <c r="H13" s="1324">
        <v>2</v>
      </c>
      <c r="I13" s="1325" t="s">
        <v>1414</v>
      </c>
      <c r="J13" s="1285">
        <f ca="1">ROUND(J14*J15,0)</f>
        <v>0</v>
      </c>
      <c r="K13" s="1332" t="s">
        <v>1415</v>
      </c>
      <c r="L13" s="1845"/>
      <c r="M13" s="1846"/>
    </row>
    <row r="14" spans="1:37" ht="18" customHeight="1">
      <c r="A14" s="1196" t="s">
        <v>1034</v>
      </c>
      <c r="B14" s="346" t="s">
        <v>1417</v>
      </c>
      <c r="C14" s="362">
        <f ca="1">INDIRECT("'数据-取费表'!m"&amp;$G$1)+INDIRECT("'数据-取费表'!t"&amp;$G$1)</f>
        <v>442</v>
      </c>
      <c r="D14" s="3002" t="s">
        <v>1418</v>
      </c>
      <c r="E14" s="3001"/>
      <c r="F14" s="363"/>
      <c r="G14" s="1844"/>
      <c r="H14" s="1196" t="s">
        <v>1035</v>
      </c>
      <c r="I14" s="346" t="s">
        <v>1419</v>
      </c>
      <c r="J14" s="24">
        <f ca="1">C29</f>
        <v>624</v>
      </c>
      <c r="K14" s="2998"/>
      <c r="L14" s="975"/>
      <c r="M14" s="976"/>
    </row>
    <row r="15" spans="1:37" s="1851" customFormat="1" ht="18" customHeight="1" thickBot="1">
      <c r="A15" s="1196" t="s">
        <v>1036</v>
      </c>
      <c r="B15" s="346" t="s">
        <v>1420</v>
      </c>
      <c r="C15" s="24">
        <f ca="1">ROUND(C14*F15,0)</f>
        <v>13</v>
      </c>
      <c r="D15" s="364" t="s">
        <v>1421</v>
      </c>
      <c r="E15" s="364" t="s">
        <v>1422</v>
      </c>
      <c r="F15" s="365">
        <f>'数据-取费表'!B33</f>
        <v>0.03</v>
      </c>
      <c r="G15" s="1847"/>
      <c r="H15" s="1334" t="s">
        <v>1039</v>
      </c>
      <c r="I15" s="1335" t="s">
        <v>1416</v>
      </c>
      <c r="J15" s="1344">
        <f ca="1">INDIRECT("'数据-取费表'!ad"&amp;$G$1)</f>
        <v>0</v>
      </c>
      <c r="K15" s="1345"/>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6" t="s">
        <v>1389</v>
      </c>
      <c r="B16" s="346" t="s">
        <v>1423</v>
      </c>
      <c r="C16" s="24">
        <f ca="1">ROUND(INDIRECT("'数据-取费表'!m"&amp;$G$1)*F16,0)</f>
        <v>0</v>
      </c>
      <c r="D16" s="346" t="s">
        <v>1421</v>
      </c>
      <c r="E16" s="346" t="s">
        <v>1422</v>
      </c>
      <c r="F16" s="366">
        <f ca="1">IF(INDIRECT("'数据-取费表'!c"&amp;$G$1)="住宅",'数据-取费表'!B34,0)</f>
        <v>0</v>
      </c>
      <c r="G16" s="1844"/>
      <c r="H16" s="1324" t="s">
        <v>1030</v>
      </c>
      <c r="I16" s="1325" t="s">
        <v>1424</v>
      </c>
      <c r="J16" s="354">
        <f ca="1">ROUND(J17+J22+J23+J24,0)</f>
        <v>13</v>
      </c>
      <c r="K16" s="1332" t="s">
        <v>1425</v>
      </c>
      <c r="L16" s="3004"/>
      <c r="M16" s="1289"/>
    </row>
    <row r="17" spans="1:37" s="1851" customFormat="1" ht="18" customHeight="1">
      <c r="A17" s="1196" t="s">
        <v>1390</v>
      </c>
      <c r="B17" s="346" t="s">
        <v>1426</v>
      </c>
      <c r="C17" s="24">
        <f ca="1">ROUND(F17*(F43+INDIRECT("'数据-取费表'!S"&amp;$G$1))/10000,0)</f>
        <v>49</v>
      </c>
      <c r="D17" s="346" t="s">
        <v>1427</v>
      </c>
      <c r="E17" s="346" t="s">
        <v>1428</v>
      </c>
      <c r="F17" s="26">
        <f>'数据-取费表'!B35</f>
        <v>200</v>
      </c>
      <c r="G17" s="1847"/>
      <c r="H17" s="1196" t="s">
        <v>1035</v>
      </c>
      <c r="I17" s="346" t="s">
        <v>1429</v>
      </c>
      <c r="J17" s="24">
        <f ca="1">ROUND(IF(项目基本情况!B11="自然人",J5*M17,J18+J19+J20),1)</f>
        <v>7</v>
      </c>
      <c r="K17" s="3002" t="s">
        <v>1430</v>
      </c>
      <c r="L17" s="3003" t="s">
        <v>1431</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6" t="s">
        <v>1391</v>
      </c>
      <c r="B18" s="346" t="s">
        <v>1432</v>
      </c>
      <c r="C18" s="24">
        <f ca="1">ROUND(C14*F18,0)</f>
        <v>7</v>
      </c>
      <c r="D18" s="346" t="s">
        <v>1421</v>
      </c>
      <c r="E18" s="346" t="s">
        <v>1422</v>
      </c>
      <c r="F18" s="366">
        <f>'数据-取费表'!B36</f>
        <v>1.4999999999999999E-2</v>
      </c>
      <c r="G18" s="1847"/>
      <c r="H18" s="1196" t="s">
        <v>1034</v>
      </c>
      <c r="I18" s="346" t="s">
        <v>1433</v>
      </c>
      <c r="J18" s="24">
        <f ca="1">ROUND(J5*M18/(1+'数据-取费表'!C42),2)</f>
        <v>0</v>
      </c>
      <c r="K18" s="3003" t="s">
        <v>1434</v>
      </c>
      <c r="L18" s="346" t="s">
        <v>1422</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6" t="s">
        <v>1035</v>
      </c>
      <c r="B19" s="346" t="s">
        <v>1435</v>
      </c>
      <c r="C19" s="24">
        <f ca="1">SUM(C14:C18)</f>
        <v>511</v>
      </c>
      <c r="D19" s="139" t="s">
        <v>1436</v>
      </c>
      <c r="E19" s="2997"/>
      <c r="F19" s="26"/>
      <c r="G19" s="1844"/>
      <c r="H19" s="1196" t="s">
        <v>1036</v>
      </c>
      <c r="I19" s="346" t="s">
        <v>1437</v>
      </c>
      <c r="J19" s="24">
        <f ca="1">IF(K19="按租金收入计税",ROUND(J5*M19,2),ROUND(C29*M19*0.7,2))</f>
        <v>5.24</v>
      </c>
      <c r="K19" s="1821" t="s">
        <v>1438</v>
      </c>
      <c r="L19" s="346" t="s">
        <v>1422</v>
      </c>
      <c r="M19" s="366">
        <f>IF(K19="按租金收入计税",'数据-取费表'!B51,'数据-取费表'!B50)</f>
        <v>1.2E-2</v>
      </c>
    </row>
    <row r="20" spans="1:37" s="1851" customFormat="1" ht="18" customHeight="1">
      <c r="A20" s="1196" t="s">
        <v>1039</v>
      </c>
      <c r="B20" s="346" t="s">
        <v>1439</v>
      </c>
      <c r="C20" s="24">
        <f ca="1">ROUND(C19*F20,0)</f>
        <v>10</v>
      </c>
      <c r="D20" s="368" t="s">
        <v>1440</v>
      </c>
      <c r="E20" s="346" t="s">
        <v>1422</v>
      </c>
      <c r="F20" s="366">
        <f>'数据-取费表'!B37</f>
        <v>0.02</v>
      </c>
      <c r="G20" s="1847"/>
      <c r="H20" s="1196" t="s">
        <v>1389</v>
      </c>
      <c r="I20" s="163" t="s">
        <v>1441</v>
      </c>
      <c r="J20" s="25">
        <f ca="1">ROUND(M20*M21/10000,2)</f>
        <v>1.75</v>
      </c>
      <c r="K20" s="369" t="s">
        <v>1442</v>
      </c>
      <c r="L20" s="346" t="s">
        <v>1443</v>
      </c>
      <c r="M20" s="370">
        <f>'数据-取费表'!B52</f>
        <v>1.5</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6" t="s">
        <v>1075</v>
      </c>
      <c r="B21" s="346" t="s">
        <v>1444</v>
      </c>
      <c r="C21" s="24" t="s">
        <v>18</v>
      </c>
      <c r="D21" s="368" t="s">
        <v>1445</v>
      </c>
      <c r="E21" s="346" t="s">
        <v>1446</v>
      </c>
      <c r="F21" s="366">
        <f>'数据-取费表'!B38</f>
        <v>0.01</v>
      </c>
      <c r="G21" s="1847"/>
      <c r="H21" s="371"/>
      <c r="I21" s="355"/>
      <c r="J21" s="29"/>
      <c r="K21" s="372"/>
      <c r="L21" s="346" t="s">
        <v>1447</v>
      </c>
      <c r="M21" s="347">
        <f ca="1">INDIRECT("'数据-取费表'!r"&amp;$G$1)</f>
        <v>11643.96</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6" t="s">
        <v>1392</v>
      </c>
      <c r="B22" s="346" t="s">
        <v>1448</v>
      </c>
      <c r="C22" s="24"/>
      <c r="D22" s="139" t="str">
        <f>IF(F23&lt;=1,"单利计息。","复利计息。")&amp;"建造成本、管理费用、销售费用产生的利息。"</f>
        <v>单利计息。建造成本、管理费用、销售费用产生的利息。</v>
      </c>
      <c r="E22" s="2997"/>
      <c r="F22" s="26"/>
      <c r="G22" s="1844"/>
      <c r="H22" s="1196" t="s">
        <v>1039</v>
      </c>
      <c r="I22" s="346" t="s">
        <v>1449</v>
      </c>
      <c r="J22" s="24">
        <f ca="1">ROUND(J14*M22,1)</f>
        <v>6.2</v>
      </c>
      <c r="K22" s="3003" t="s">
        <v>1450</v>
      </c>
      <c r="L22" s="346" t="s">
        <v>1422</v>
      </c>
      <c r="M22" s="373">
        <f ca="1">INDIRECT("'数据-取费表'!Ak"&amp;$G$1)</f>
        <v>0.01</v>
      </c>
    </row>
    <row r="23" spans="1:37" s="1851" customFormat="1" ht="18" customHeight="1">
      <c r="A23" s="1196" t="s">
        <v>1034</v>
      </c>
      <c r="B23" s="346" t="s">
        <v>1451</v>
      </c>
      <c r="C23" s="24">
        <f ca="1">IF('数据-取费表'!B22&lt;=1,ROUND(C19*F24*F23/2,0)+ROUND(C20*F24*F23/2,0),ROUND(C19*(POWER((1+F24),F23/2)-1),0)+ROUND(C20*(POWER((1+F24),F23/2)-1),0))</f>
        <v>11</v>
      </c>
      <c r="D23" s="374" t="str">
        <f>IF(F23&lt;=1,"(建造成本+管理费用)×利率×(建设周期÷2)","(建造成本+管理费用)×((1+利率)^(建设周期÷2)-1)")</f>
        <v>(建造成本+管理费用)×利率×(建设周期÷2)</v>
      </c>
      <c r="E23" s="346" t="s">
        <v>1452</v>
      </c>
      <c r="F23" s="370">
        <f>'数据-取费表'!B20</f>
        <v>1</v>
      </c>
      <c r="G23" s="1847"/>
      <c r="H23" s="1196" t="s">
        <v>1075</v>
      </c>
      <c r="I23" s="346" t="s">
        <v>1453</v>
      </c>
      <c r="J23" s="24">
        <f ca="1">ROUND(J13*M23,1)</f>
        <v>0</v>
      </c>
      <c r="K23" s="3003" t="s">
        <v>1454</v>
      </c>
      <c r="L23" s="346" t="s">
        <v>1422</v>
      </c>
      <c r="M23" s="375">
        <f ca="1">INDIRECT("'数据-取费表'!Al"&amp;$G$1)</f>
        <v>1E-3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6" t="s">
        <v>1036</v>
      </c>
      <c r="B24" s="346" t="s">
        <v>1457</v>
      </c>
      <c r="C24" s="24">
        <f ca="1">ROUND(IF('数据-取费表'!B22&lt;=1,F21*F24*F23/2,F21*(POWER((1+F24),F23/2)-1)),4)</f>
        <v>2.0000000000000001E-4</v>
      </c>
      <c r="D24" s="374" t="str">
        <f>IF(F23&lt;=1,"销售费用×利率×(建设周期÷2)","销售费用×((1+利率)^(建设周期÷2)-1)")</f>
        <v>销售费用×利率×(建设周期÷2)</v>
      </c>
      <c r="E24" s="346" t="s">
        <v>1458</v>
      </c>
      <c r="F24" s="376">
        <f ca="1">'数据-取费表'!B40</f>
        <v>4.3499999999999997E-2</v>
      </c>
      <c r="G24" s="1847"/>
      <c r="H24" s="1334" t="s">
        <v>1392</v>
      </c>
      <c r="I24" s="1335" t="s">
        <v>1439</v>
      </c>
      <c r="J24" s="1336">
        <f ca="1">ROUND(J5*M24,1)</f>
        <v>0</v>
      </c>
      <c r="K24" s="1337" t="s">
        <v>1459</v>
      </c>
      <c r="L24" s="1335" t="s">
        <v>1422</v>
      </c>
      <c r="M24" s="1331">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6" t="s">
        <v>1460</v>
      </c>
      <c r="B25" s="346" t="s">
        <v>1461</v>
      </c>
      <c r="C25" s="24"/>
      <c r="D25" s="139" t="s">
        <v>1462</v>
      </c>
      <c r="E25" s="2997"/>
      <c r="F25" s="26"/>
      <c r="G25" s="1844"/>
      <c r="H25" s="1324" t="s">
        <v>1031</v>
      </c>
      <c r="I25" s="1339" t="s">
        <v>1463</v>
      </c>
      <c r="J25" s="354">
        <f ca="1">J5-J16</f>
        <v>-13</v>
      </c>
      <c r="K25" s="1340" t="s">
        <v>1464</v>
      </c>
      <c r="L25" s="1341"/>
      <c r="M25" s="1342"/>
    </row>
    <row r="26" spans="1:37">
      <c r="A26" s="1196" t="s">
        <v>1034</v>
      </c>
      <c r="B26" s="346" t="s">
        <v>1465</v>
      </c>
      <c r="C26" s="24">
        <f ca="1">ROUND((C19+C20)*F26,0)</f>
        <v>52</v>
      </c>
      <c r="D26" s="368" t="s">
        <v>1466</v>
      </c>
      <c r="E26" s="357" t="s">
        <v>1467</v>
      </c>
      <c r="F26" s="356">
        <f ca="1">INDIRECT("'数据-取费表'!q"&amp;$G$1)</f>
        <v>0.1</v>
      </c>
      <c r="G26" s="1844"/>
      <c r="H26" s="343" t="s">
        <v>1032</v>
      </c>
      <c r="I26" s="344" t="s">
        <v>1468</v>
      </c>
      <c r="J26" s="345">
        <f ca="1">IF(J5&lt;&gt;0,ROUND(J25*(1-((1+M28)/(1+M26))^M27)/(M26-M28),0),0)</f>
        <v>0</v>
      </c>
      <c r="K26" s="369" t="s">
        <v>1469</v>
      </c>
      <c r="L26" s="346" t="s">
        <v>1470</v>
      </c>
      <c r="M26" s="356">
        <f ca="1">INDIRECT("'数据-取费表'!I"&amp;$G$1)</f>
        <v>4.4999999999999998E-2</v>
      </c>
    </row>
    <row r="27" spans="1:37" ht="18" customHeight="1">
      <c r="A27" s="1196" t="s">
        <v>1036</v>
      </c>
      <c r="B27" s="346" t="s">
        <v>1471</v>
      </c>
      <c r="C27" s="24">
        <f ca="1">ROUND(F21*F26,4)</f>
        <v>1E-3</v>
      </c>
      <c r="D27" s="368" t="s">
        <v>1472</v>
      </c>
      <c r="E27" s="364"/>
      <c r="F27" s="365"/>
      <c r="G27" s="1844"/>
      <c r="H27" s="348"/>
      <c r="I27" s="349"/>
      <c r="J27" s="350"/>
      <c r="K27" s="377" t="s">
        <v>1473</v>
      </c>
      <c r="L27" s="346" t="s">
        <v>1474</v>
      </c>
      <c r="M27" s="378">
        <f ca="1">INDIRECT("'数据-取费表'!ag"&amp;$G$1)</f>
        <v>0</v>
      </c>
    </row>
    <row r="28" spans="1:37" s="1851" customFormat="1" ht="18" customHeight="1">
      <c r="A28" s="1196" t="s">
        <v>1037</v>
      </c>
      <c r="B28" s="346" t="s">
        <v>1475</v>
      </c>
      <c r="C28" s="24">
        <f>ROUND(F28/(1+'数据-取费表'!C42),4)</f>
        <v>5.33E-2</v>
      </c>
      <c r="D28" s="368" t="s">
        <v>1476</v>
      </c>
      <c r="E28" s="346" t="s">
        <v>1422</v>
      </c>
      <c r="F28" s="366">
        <f>'数据-取费表'!B41</f>
        <v>5.6000000000000001E-2</v>
      </c>
      <c r="G28" s="1847"/>
      <c r="H28" s="352"/>
      <c r="I28" s="353"/>
      <c r="J28" s="354"/>
      <c r="K28" s="372"/>
      <c r="L28" s="346" t="s">
        <v>1477</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4" t="s">
        <v>1038</v>
      </c>
      <c r="B29" s="1335" t="s">
        <v>1478</v>
      </c>
      <c r="C29" s="1336">
        <f ca="1">ROUND((C19+C20+C23+C26)/(1-F21-C24-C27-C28),0)</f>
        <v>624</v>
      </c>
      <c r="D29" s="1337"/>
      <c r="E29" s="1335"/>
      <c r="F29" s="1338"/>
      <c r="G29" s="1847"/>
      <c r="H29" s="379" t="s">
        <v>1033</v>
      </c>
      <c r="I29" s="380" t="s">
        <v>1479</v>
      </c>
      <c r="J29" s="381">
        <f ca="1">ROUND(J26/(1+F40)^F41,0)</f>
        <v>0</v>
      </c>
      <c r="K29" s="382" t="s">
        <v>1480</v>
      </c>
      <c r="L29" s="383"/>
      <c r="M29" s="384">
        <f ca="1">INDIRECT("'数据-取费表'!k"&amp;$G$1)</f>
        <v>2209.56</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4" t="s">
        <v>1030</v>
      </c>
      <c r="B30" s="1325" t="s">
        <v>1424</v>
      </c>
      <c r="C30" s="354">
        <f ca="1">ROUND(C31+C36+C37+C38,0)</f>
        <v>30</v>
      </c>
      <c r="D30" s="1332" t="s">
        <v>1425</v>
      </c>
      <c r="E30" s="3004"/>
      <c r="F30" s="1289"/>
      <c r="G30" s="1844"/>
      <c r="H30" s="743"/>
      <c r="I30" s="744"/>
      <c r="J30" s="745"/>
      <c r="K30" s="746"/>
      <c r="L30" s="747"/>
      <c r="M30" s="748"/>
    </row>
    <row r="31" spans="1:37" ht="18" customHeight="1">
      <c r="A31" s="1196" t="s">
        <v>1035</v>
      </c>
      <c r="B31" s="346" t="s">
        <v>1429</v>
      </c>
      <c r="C31" s="24">
        <f ca="1">ROUND(IF(项目基本情况!B11="自然人",C5*F31,C32+C33+C34),1)</f>
        <v>21.7</v>
      </c>
      <c r="D31" s="3002" t="s">
        <v>1430</v>
      </c>
      <c r="E31" s="3003" t="s">
        <v>1481</v>
      </c>
      <c r="F31" s="367" t="str">
        <f ca="1">IF(项目基本情况!B11="企业","",IF(INDIRECT("'数据-取费表'!c"&amp;$G$1)="住宅",5%,IF(F6*F7*F8/12/(1+'数据-取费表'!C42)&gt;20000,12%,7%)))</f>
        <v/>
      </c>
      <c r="G31" s="1844"/>
      <c r="H31" s="743"/>
      <c r="I31" s="744"/>
      <c r="J31" s="745"/>
      <c r="K31" s="746"/>
      <c r="L31" s="747"/>
      <c r="M31" s="748"/>
    </row>
    <row r="32" spans="1:37" ht="18" customHeight="1">
      <c r="A32" s="1196" t="s">
        <v>1034</v>
      </c>
      <c r="B32" s="346" t="s">
        <v>1433</v>
      </c>
      <c r="C32" s="24">
        <f ca="1">IF(项目基本情况!B11="自然人","——",ROUND(C5*F32/(1+'数据-取费表'!C42),2))</f>
        <v>6.13</v>
      </c>
      <c r="D32" s="3003" t="s">
        <v>1434</v>
      </c>
      <c r="E32" s="346" t="s">
        <v>1422</v>
      </c>
      <c r="F32" s="376">
        <f>'数据-取费表'!B41</f>
        <v>5.6000000000000001E-2</v>
      </c>
      <c r="G32" s="1844"/>
      <c r="H32" s="743"/>
      <c r="I32" s="744"/>
      <c r="J32" s="745"/>
      <c r="K32" s="746"/>
      <c r="L32" s="747"/>
      <c r="M32" s="748"/>
    </row>
    <row r="33" spans="1:18" ht="18" customHeight="1">
      <c r="A33" s="1196" t="s">
        <v>1036</v>
      </c>
      <c r="B33" s="346" t="s">
        <v>1437</v>
      </c>
      <c r="C33" s="24">
        <f ca="1">IF(项目基本情况!B11="自然人","——",IF(D33="按租金收入计税",ROUND(C5*F33,2),IF(D33="按房产原值计税",ROUND(C29*F33*0.7,2),INDIRECT("'数据-取费表'!Aj"&amp;$G$1))))</f>
        <v>13.8</v>
      </c>
      <c r="D33" s="1821" t="s">
        <v>3224</v>
      </c>
      <c r="E33" s="346" t="s">
        <v>1422</v>
      </c>
      <c r="F33" s="366">
        <f>IF(D33="按票据","——",IF(D33="按租金收入计税",'数据-取费表'!B51,'数据-取费表'!B50))</f>
        <v>0.12</v>
      </c>
      <c r="G33" s="1844"/>
      <c r="H33" s="1852"/>
      <c r="I33" s="1853"/>
      <c r="J33" s="1854"/>
      <c r="K33" s="1855"/>
      <c r="L33" s="1852"/>
      <c r="M33" s="1852"/>
    </row>
    <row r="34" spans="1:18" ht="18" customHeight="1">
      <c r="A34" s="1286" t="s">
        <v>1389</v>
      </c>
      <c r="B34" s="163" t="s">
        <v>1441</v>
      </c>
      <c r="C34" s="25">
        <f ca="1">IF(项目基本情况!B11="自然人","——",ROUND(F34*F35/10000,2))</f>
        <v>1.75</v>
      </c>
      <c r="D34" s="369" t="s">
        <v>1442</v>
      </c>
      <c r="E34" s="346" t="s">
        <v>1443</v>
      </c>
      <c r="F34" s="370">
        <f>'数据-取费表'!B52</f>
        <v>1.5</v>
      </c>
      <c r="G34" s="1844"/>
      <c r="H34" s="743"/>
      <c r="I34" s="1853"/>
      <c r="J34" s="1854"/>
      <c r="K34" s="1856"/>
      <c r="L34" s="1857"/>
      <c r="M34" s="1857"/>
    </row>
    <row r="35" spans="1:18" ht="18" customHeight="1">
      <c r="A35" s="1348"/>
      <c r="B35" s="1346"/>
      <c r="C35" s="29"/>
      <c r="D35" s="372"/>
      <c r="E35" s="346" t="s">
        <v>1447</v>
      </c>
      <c r="F35" s="347">
        <f ca="1">INDIRECT("'数据-取费表'!r"&amp;$G$1)</f>
        <v>11643.96</v>
      </c>
      <c r="G35" s="1844"/>
      <c r="H35" s="743"/>
      <c r="I35" s="1853"/>
      <c r="J35" s="1854"/>
      <c r="K35" s="1855"/>
      <c r="L35" s="1852"/>
      <c r="M35" s="1852"/>
    </row>
    <row r="36" spans="1:18" ht="18" customHeight="1">
      <c r="A36" s="1347" t="s">
        <v>1039</v>
      </c>
      <c r="B36" s="346" t="s">
        <v>1449</v>
      </c>
      <c r="C36" s="24">
        <f ca="1">ROUND(C29*F36,1)</f>
        <v>6.2</v>
      </c>
      <c r="D36" s="3003" t="s">
        <v>1482</v>
      </c>
      <c r="E36" s="346" t="s">
        <v>1422</v>
      </c>
      <c r="F36" s="373">
        <f ca="1">INDIRECT("'数据-取费表'!Ak"&amp;$G$1)</f>
        <v>0.01</v>
      </c>
      <c r="G36" s="1844"/>
      <c r="H36" s="1852"/>
      <c r="I36" s="1853"/>
      <c r="J36" s="1854"/>
      <c r="K36" s="749"/>
      <c r="L36" s="1852"/>
      <c r="M36" s="1852"/>
    </row>
    <row r="37" spans="1:18" ht="18" customHeight="1">
      <c r="A37" s="1196" t="s">
        <v>1075</v>
      </c>
      <c r="B37" s="346" t="s">
        <v>1453</v>
      </c>
      <c r="C37" s="24">
        <f ca="1">ROUND(C13*F37,1)</f>
        <v>0.5</v>
      </c>
      <c r="D37" s="3003" t="s">
        <v>1454</v>
      </c>
      <c r="E37" s="346" t="s">
        <v>1422</v>
      </c>
      <c r="F37" s="375">
        <f ca="1">INDIRECT("'数据-取费表'!Al"&amp;$G$1)</f>
        <v>1E-3</v>
      </c>
      <c r="G37" s="1844"/>
      <c r="H37" s="1852"/>
      <c r="I37" s="1853"/>
      <c r="J37" s="1854"/>
      <c r="K37" s="749"/>
      <c r="L37" s="1852"/>
      <c r="M37" s="1852"/>
    </row>
    <row r="38" spans="1:18" ht="18" customHeight="1" thickBot="1">
      <c r="A38" s="1334" t="s">
        <v>1392</v>
      </c>
      <c r="B38" s="1335" t="s">
        <v>1439</v>
      </c>
      <c r="C38" s="1336">
        <f ca="1">ROUND(C5*F38,1)</f>
        <v>1.2</v>
      </c>
      <c r="D38" s="1337" t="s">
        <v>1459</v>
      </c>
      <c r="E38" s="1335" t="s">
        <v>1422</v>
      </c>
      <c r="F38" s="1331">
        <f ca="1">INDIRECT("'数据-取费表'!Am"&amp;$G$1)</f>
        <v>0.01</v>
      </c>
      <c r="G38" s="1844"/>
      <c r="H38" s="1852"/>
      <c r="I38" s="1853"/>
      <c r="J38" s="1854"/>
      <c r="K38" s="1858"/>
      <c r="L38" s="1852"/>
      <c r="M38" s="1852"/>
    </row>
    <row r="39" spans="1:18" ht="24.6" customHeight="1" thickTop="1">
      <c r="A39" s="1324" t="s">
        <v>1031</v>
      </c>
      <c r="B39" s="1339" t="s">
        <v>1463</v>
      </c>
      <c r="C39" s="354">
        <f ca="1">C5-C30</f>
        <v>85</v>
      </c>
      <c r="D39" s="1340" t="s">
        <v>1464</v>
      </c>
      <c r="E39" s="1341"/>
      <c r="F39" s="1342"/>
      <c r="G39" s="1844"/>
      <c r="H39" s="1852"/>
      <c r="I39" s="1853"/>
      <c r="J39" s="1854"/>
      <c r="K39" s="1858"/>
      <c r="L39" s="1852"/>
      <c r="M39" s="1852"/>
    </row>
    <row r="40" spans="1:18" ht="18" customHeight="1">
      <c r="A40" s="343" t="s">
        <v>1032</v>
      </c>
      <c r="B40" s="344" t="s">
        <v>1485</v>
      </c>
      <c r="C40" s="345">
        <f ca="1">ROUND(C39*(1-((1+F42)/(1+F40))^F41)/(F40-F42),0)</f>
        <v>1944</v>
      </c>
      <c r="D40" s="369" t="s">
        <v>1469</v>
      </c>
      <c r="E40" s="346" t="s">
        <v>1470</v>
      </c>
      <c r="F40" s="356">
        <f ca="1">INDIRECT("'数据-取费表'!I"&amp;$G$1)</f>
        <v>4.4999999999999998E-2</v>
      </c>
      <c r="G40" s="1844"/>
      <c r="H40" s="1832"/>
      <c r="I40" s="1853"/>
      <c r="J40" s="1854"/>
      <c r="K40" s="1858"/>
      <c r="L40" s="1832"/>
      <c r="M40" s="1832"/>
    </row>
    <row r="41" spans="1:18" ht="18" customHeight="1">
      <c r="A41" s="348"/>
      <c r="B41" s="349"/>
      <c r="C41" s="350"/>
      <c r="D41" s="377" t="s">
        <v>1486</v>
      </c>
      <c r="E41" s="346" t="s">
        <v>1474</v>
      </c>
      <c r="F41" s="378">
        <f ca="1">IF(INDIRECT("'数据-取费表'!af"&amp;$G$1)=0,INDIRECT("'数据-取费表'!ae"&amp;$G$1),INDIRECT("'数据-取费表'!af"&amp;$G$1))</f>
        <v>27</v>
      </c>
      <c r="G41" s="1844"/>
      <c r="H41" s="730"/>
      <c r="I41" s="1853"/>
      <c r="J41" s="1854"/>
      <c r="K41" s="749"/>
      <c r="L41" s="730"/>
      <c r="M41" s="730"/>
    </row>
    <row r="42" spans="1:18" ht="18" customHeight="1">
      <c r="A42" s="352"/>
      <c r="B42" s="353"/>
      <c r="C42" s="354"/>
      <c r="D42" s="372"/>
      <c r="E42" s="346" t="s">
        <v>1477</v>
      </c>
      <c r="F42" s="356">
        <f ca="1">INDIRECT("'数据-取费表'!v"&amp;$G$1)</f>
        <v>3.5000000000000003E-2</v>
      </c>
      <c r="G42" s="1844"/>
      <c r="H42" s="730"/>
      <c r="I42" s="1853"/>
      <c r="J42" s="1854"/>
      <c r="K42" s="749"/>
      <c r="L42" s="730"/>
      <c r="M42" s="730"/>
    </row>
    <row r="43" spans="1:18" ht="18" customHeight="1" thickBot="1">
      <c r="A43" s="379" t="s">
        <v>1033</v>
      </c>
      <c r="B43" s="380" t="s">
        <v>1487</v>
      </c>
      <c r="C43" s="381">
        <f ca="1">ROUND(C40*10000/F43,0)</f>
        <v>8798</v>
      </c>
      <c r="D43" s="382" t="s">
        <v>1488</v>
      </c>
      <c r="E43" s="383" t="s">
        <v>1489</v>
      </c>
      <c r="F43" s="384">
        <f ca="1">INDIRECT("'数据-取费表'!k"&amp;$G$1)</f>
        <v>2209.56</v>
      </c>
      <c r="G43" s="1844"/>
      <c r="H43" s="730"/>
      <c r="I43" s="730"/>
      <c r="J43" s="730"/>
      <c r="K43" s="749"/>
      <c r="L43" s="730"/>
      <c r="M43" s="730"/>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4"/>
      <c r="O45" s="1862" t="s">
        <v>1519</v>
      </c>
      <c r="P45" s="1832"/>
      <c r="Q45" s="1832"/>
      <c r="R45" s="1832"/>
    </row>
    <row r="46" spans="1:18" s="1835" customFormat="1" ht="13.5" thickBot="1">
      <c r="A46" s="1863" t="s">
        <v>1520</v>
      </c>
      <c r="C46" s="1864">
        <f ca="1">C68-C40</f>
        <v>-2887</v>
      </c>
      <c r="D46" s="1865" t="str">
        <f>C2</f>
        <v>万元</v>
      </c>
      <c r="E46" s="1859"/>
      <c r="F46" s="1859"/>
      <c r="I46" s="1866" t="s">
        <v>1521</v>
      </c>
      <c r="J46" s="1867"/>
      <c r="K46" s="1868"/>
      <c r="L46" s="1869" t="str">
        <f ca="1">IF(M47="住宅",0,IF(L48&gt;J51,L60,J60))</f>
        <v>0</v>
      </c>
      <c r="O46" s="1870" t="s">
        <v>1522</v>
      </c>
      <c r="P46" s="1871" t="s">
        <v>1523</v>
      </c>
      <c r="Q46" s="1872" t="s">
        <v>1524</v>
      </c>
      <c r="R46" s="1872" t="s">
        <v>1525</v>
      </c>
    </row>
    <row r="47" spans="1:18" s="1835" customFormat="1" ht="13.5" thickBot="1">
      <c r="A47" s="1160" t="s">
        <v>1396</v>
      </c>
      <c r="B47" s="1192" t="s">
        <v>1397</v>
      </c>
      <c r="C47" s="1362" t="s">
        <v>1398</v>
      </c>
      <c r="D47" s="1192" t="s">
        <v>1399</v>
      </c>
      <c r="E47" s="1274" t="s">
        <v>1400</v>
      </c>
      <c r="F47" s="1275"/>
      <c r="G47" s="790"/>
      <c r="I47" s="1873" t="s">
        <v>1526</v>
      </c>
      <c r="J47" s="1874" t="s">
        <v>3288</v>
      </c>
      <c r="K47" s="1875" t="s">
        <v>1527</v>
      </c>
      <c r="L47" s="1876">
        <f ca="1">INDIRECT("'数据-取费表'!d"&amp;$G$1)</f>
        <v>50</v>
      </c>
      <c r="M47" s="1831" t="str">
        <f>IF(ISNUMBER(FIND("住宅",C1)),"住宅","非住宅")</f>
        <v>非住宅</v>
      </c>
      <c r="O47" s="1877" t="s">
        <v>1040</v>
      </c>
      <c r="P47" s="1878" t="s">
        <v>1528</v>
      </c>
      <c r="Q47" s="1879">
        <f ca="1">C40+J29</f>
        <v>1944</v>
      </c>
      <c r="R47" s="1879" t="s">
        <v>1529</v>
      </c>
    </row>
    <row r="48" spans="1:18" s="1835" customFormat="1" ht="28.5" thickBot="1">
      <c r="A48" s="1355" t="s">
        <v>1135</v>
      </c>
      <c r="B48" s="344" t="s">
        <v>1401</v>
      </c>
      <c r="C48" s="2996">
        <f ca="1">C49+C53+C55</f>
        <v>0</v>
      </c>
      <c r="D48" s="1357"/>
      <c r="E48" s="1358"/>
      <c r="F48" s="1176"/>
      <c r="G48" s="790"/>
      <c r="H48" s="791"/>
      <c r="I48" s="1880" t="s">
        <v>1530</v>
      </c>
      <c r="J48" s="1881" t="s">
        <v>3287</v>
      </c>
      <c r="K48" s="1882" t="s">
        <v>1531</v>
      </c>
      <c r="L48" s="1883">
        <f ca="1">INDIRECT("'数据-取费表'!f"&amp;$G$1)</f>
        <v>27</v>
      </c>
      <c r="O48" s="1877" t="s">
        <v>1041</v>
      </c>
      <c r="P48" s="1878" t="s">
        <v>1532</v>
      </c>
      <c r="Q48" s="1879" t="str">
        <f ca="1">J60</f>
        <v>0</v>
      </c>
      <c r="R48" s="1879" t="s">
        <v>1533</v>
      </c>
    </row>
    <row r="49" spans="1:18" s="1835" customFormat="1" ht="13.5" thickBot="1">
      <c r="A49" s="1189" t="s">
        <v>1136</v>
      </c>
      <c r="B49" s="1822" t="s">
        <v>1490</v>
      </c>
      <c r="C49" s="1359">
        <f ca="1">ROUND(F49*F51*F50*(1-F52)/10000,0)</f>
        <v>0</v>
      </c>
      <c r="D49" s="1271" t="s">
        <v>3011</v>
      </c>
      <c r="E49" s="1823" t="s">
        <v>1491</v>
      </c>
      <c r="F49" s="1276"/>
      <c r="G49" s="1884"/>
      <c r="H49" s="791"/>
      <c r="I49" s="1880" t="s">
        <v>1534</v>
      </c>
      <c r="J49" s="1885">
        <v>2002</v>
      </c>
      <c r="K49" s="1882" t="s">
        <v>1535</v>
      </c>
      <c r="L49" s="1886"/>
      <c r="O49" s="1887" t="s">
        <v>1042</v>
      </c>
      <c r="P49" s="1878" t="s">
        <v>1536</v>
      </c>
      <c r="Q49" s="1879">
        <f ca="1">C29</f>
        <v>624</v>
      </c>
      <c r="R49" s="1879" t="s">
        <v>1529</v>
      </c>
    </row>
    <row r="50" spans="1:18" s="1835" customFormat="1" ht="13.5" thickBot="1">
      <c r="A50" s="1190"/>
      <c r="B50" s="1193"/>
      <c r="C50" s="1363"/>
      <c r="D50" s="1167"/>
      <c r="E50" s="1272" t="s">
        <v>1406</v>
      </c>
      <c r="F50" s="1273">
        <f ca="1">F7</f>
        <v>2209.56</v>
      </c>
      <c r="H50" s="791"/>
      <c r="I50" s="1880" t="s">
        <v>1537</v>
      </c>
      <c r="J50" s="1888">
        <f>SUMPRODUCT((I63:I65=J47)*(J62:L62=J48)*(J63:L65))</f>
        <v>70</v>
      </c>
      <c r="K50" s="1882" t="s">
        <v>1538</v>
      </c>
      <c r="L50" s="1886"/>
      <c r="M50" s="1889"/>
      <c r="O50" s="1887" t="s">
        <v>1043</v>
      </c>
      <c r="P50" s="1878" t="s">
        <v>1539</v>
      </c>
      <c r="Q50" s="1890" t="e">
        <f ca="1">J58</f>
        <v>#VALUE!</v>
      </c>
      <c r="R50" s="1879"/>
    </row>
    <row r="51" spans="1:18" s="1835" customFormat="1" ht="13.5" thickBot="1">
      <c r="A51" s="1191"/>
      <c r="B51" s="1193"/>
      <c r="C51" s="1194"/>
      <c r="D51" s="1167"/>
      <c r="E51" s="1195" t="s">
        <v>1407</v>
      </c>
      <c r="F51" s="347">
        <f ca="1">F8</f>
        <v>365</v>
      </c>
      <c r="I51" s="1891" t="s">
        <v>1540</v>
      </c>
      <c r="J51" s="1892">
        <f>IF(J49="",J50,J49+J50-YEAR('数据-取费表'!B2))</f>
        <v>54</v>
      </c>
      <c r="K51" s="1893" t="s">
        <v>1541</v>
      </c>
      <c r="L51" s="1894">
        <f ca="1">ROUND(-PV(INDIRECT("'数据-取费表'!h"&amp;$G$1),L48,(C39-C13*C76),0),0)</f>
        <v>712</v>
      </c>
      <c r="M51" s="1895"/>
      <c r="O51" s="1887" t="s">
        <v>1044</v>
      </c>
      <c r="P51" s="1878" t="s">
        <v>1542</v>
      </c>
      <c r="Q51" s="1890">
        <f>J52</f>
        <v>9.0000000000000011E-2</v>
      </c>
      <c r="R51" s="1879"/>
    </row>
    <row r="52" spans="1:18" s="1835" customFormat="1" ht="13.5" thickBot="1">
      <c r="A52" s="1191"/>
      <c r="B52" s="1193"/>
      <c r="C52" s="1194"/>
      <c r="D52" s="1167"/>
      <c r="E52" s="1195" t="s">
        <v>1408</v>
      </c>
      <c r="F52" s="1270"/>
      <c r="I52" s="1896" t="s">
        <v>1543</v>
      </c>
      <c r="J52" s="1897">
        <f>'数据-取费表'!J6+0.005</f>
        <v>9.0000000000000011E-2</v>
      </c>
      <c r="K52" s="1896" t="s">
        <v>1544</v>
      </c>
      <c r="L52" s="1897"/>
      <c r="O52" s="1887" t="s">
        <v>1045</v>
      </c>
      <c r="P52" s="1878" t="s">
        <v>1545</v>
      </c>
      <c r="Q52" s="1879">
        <f ca="1">J53</f>
        <v>27</v>
      </c>
      <c r="R52" s="1879" t="s">
        <v>1546</v>
      </c>
    </row>
    <row r="53" spans="1:18" s="1835" customFormat="1" ht="24.75" thickBot="1">
      <c r="A53" s="1400" t="s">
        <v>1137</v>
      </c>
      <c r="B53" s="1824" t="s">
        <v>1409</v>
      </c>
      <c r="C53" s="360">
        <f ca="1">ROUND(IF(F53="押一",C49/12*F11,IF(F53="押二",C49/12*2*F11,IF(F53="押三",C49/12*3*F11,C54*F11))),0)</f>
        <v>0</v>
      </c>
      <c r="D53" s="1817" t="s">
        <v>3020</v>
      </c>
      <c r="E53" s="357" t="s">
        <v>1410</v>
      </c>
      <c r="F53" s="1361"/>
      <c r="I53" s="1898" t="s">
        <v>1547</v>
      </c>
      <c r="J53" s="1899">
        <f ca="1">IF(M47="住宅",J51,IF(D1="——",MIN(J51,L48),IF(D1="在建（套用方法）",MIN(J51,L48-'数据-取费表'!B24),IF(D1="土地（套用方法）",MIN(J51,L48-'数据-取费表'!B20)))))</f>
        <v>27</v>
      </c>
      <c r="K53" s="3249" t="s">
        <v>1548</v>
      </c>
      <c r="L53" s="3250"/>
      <c r="O53" s="1877" t="s">
        <v>1046</v>
      </c>
      <c r="P53" s="1878" t="s">
        <v>1549</v>
      </c>
      <c r="Q53" s="1879">
        <f ca="1">Q47+Q48</f>
        <v>1944</v>
      </c>
      <c r="R53" s="1879" t="s">
        <v>1047</v>
      </c>
    </row>
    <row r="54" spans="1:18" s="1835" customFormat="1" ht="13.5" thickBot="1">
      <c r="A54" s="1401"/>
      <c r="B54" s="1818" t="s">
        <v>1388</v>
      </c>
      <c r="C54" s="1173"/>
      <c r="D54" s="1817"/>
      <c r="E54" s="3000"/>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4"/>
      <c r="O54" s="1862" t="s">
        <v>1550</v>
      </c>
      <c r="P54" s="1832"/>
      <c r="Q54" s="1832"/>
      <c r="R54" s="1832"/>
    </row>
    <row r="55" spans="1:18" s="1835" customFormat="1" ht="13.5" thickBot="1">
      <c r="A55" s="1328" t="s">
        <v>1075</v>
      </c>
      <c r="B55" s="1820" t="s">
        <v>1413</v>
      </c>
      <c r="C55" s="1329"/>
      <c r="D55" s="1817"/>
      <c r="E55" s="3000"/>
      <c r="F55" s="1900"/>
      <c r="I55" s="1903" t="s">
        <v>1551</v>
      </c>
      <c r="J55" s="1904" t="e">
        <f ca="1">ROUND(IF(J47="钢混",J57/J50,1-(1-2%)*(J50-J57)/J50),3)</f>
        <v>#VALUE!</v>
      </c>
      <c r="K55" s="1905" t="s">
        <v>1552</v>
      </c>
      <c r="L55" s="1906" t="s">
        <v>1553</v>
      </c>
      <c r="O55" s="1870" t="s">
        <v>1522</v>
      </c>
      <c r="P55" s="1871" t="s">
        <v>1523</v>
      </c>
      <c r="Q55" s="1872" t="s">
        <v>1524</v>
      </c>
      <c r="R55" s="1872" t="s">
        <v>1525</v>
      </c>
    </row>
    <row r="56" spans="1:18" s="1835" customFormat="1" ht="25.5" thickTop="1" thickBot="1">
      <c r="A56" s="1171">
        <v>2</v>
      </c>
      <c r="B56" s="1172" t="s">
        <v>1414</v>
      </c>
      <c r="C56" s="275">
        <f ca="1">C13</f>
        <v>487</v>
      </c>
      <c r="D56" s="1907"/>
      <c r="E56" s="1908"/>
      <c r="F56" s="1900"/>
      <c r="I56" s="1909" t="s">
        <v>1554</v>
      </c>
      <c r="J56" s="1910" t="s">
        <v>3032</v>
      </c>
      <c r="K56" s="1880" t="s">
        <v>1555</v>
      </c>
      <c r="L56" s="1883" t="str">
        <f ca="1">IF(L48&lt;J51,"——",L48-J53)</f>
        <v>——</v>
      </c>
      <c r="O56" s="1877" t="s">
        <v>1040</v>
      </c>
      <c r="P56" s="1878" t="s">
        <v>1528</v>
      </c>
      <c r="Q56" s="1879">
        <f ca="1">C40+J29</f>
        <v>1944</v>
      </c>
      <c r="R56" s="1879" t="s">
        <v>1529</v>
      </c>
    </row>
    <row r="57" spans="1:18" s="1835" customFormat="1" ht="24.75" thickBot="1">
      <c r="A57" s="1911"/>
      <c r="B57" s="1164" t="s">
        <v>1478</v>
      </c>
      <c r="C57" s="281">
        <f ca="1">C29</f>
        <v>624</v>
      </c>
      <c r="D57" s="1912"/>
      <c r="E57" s="1913"/>
      <c r="F57" s="1914"/>
      <c r="I57" s="1915" t="s">
        <v>1556</v>
      </c>
      <c r="J57" s="1916" t="str">
        <f ca="1">IF(OR(M47="住宅",J51&lt;L48,J56="是"),"——",J51-L48)</f>
        <v>——</v>
      </c>
      <c r="K57" s="1880" t="s">
        <v>1557</v>
      </c>
      <c r="L57" s="1883" t="str">
        <f ca="1">IF(L48&lt;J51,"——",IF(L55="比较法",L49,IF(L55="基准地价",L50,L51)))</f>
        <v>——</v>
      </c>
      <c r="O57" s="1877" t="s">
        <v>1041</v>
      </c>
      <c r="P57" s="1878" t="s">
        <v>1558</v>
      </c>
      <c r="Q57" s="1879">
        <f ca="1">L60</f>
        <v>0</v>
      </c>
      <c r="R57" s="1879" t="s">
        <v>1559</v>
      </c>
    </row>
    <row r="58" spans="1:18" s="1835" customFormat="1" ht="24.75" thickBot="1">
      <c r="A58" s="359" t="s">
        <v>1030</v>
      </c>
      <c r="B58" s="1172" t="s">
        <v>1424</v>
      </c>
      <c r="C58" s="360">
        <f ca="1">ROUND(C59+C64+C65+C66,0)</f>
        <v>61</v>
      </c>
      <c r="D58" s="1174" t="s">
        <v>1425</v>
      </c>
      <c r="E58" s="1175"/>
      <c r="F58" s="1176"/>
      <c r="I58" s="1915" t="s">
        <v>1560</v>
      </c>
      <c r="J58" s="1917" t="e">
        <f ca="1">IF(J55&lt;0.4,0.4,J55)</f>
        <v>#VALUE!</v>
      </c>
      <c r="K58" s="1893" t="s">
        <v>1561</v>
      </c>
      <c r="L58" s="1883" t="e">
        <f ca="1">ROUND(POWER(1+L52,L47-L48)*(POWER(1+L52,L48)-1)/(POWER(1+L52,L47)-1),4)</f>
        <v>#DIV/0!</v>
      </c>
      <c r="O58" s="1887" t="s">
        <v>1042</v>
      </c>
      <c r="P58" s="1878" t="s">
        <v>1562</v>
      </c>
      <c r="Q58" s="1879">
        <f>IF(L55="比较法",L49,IF(L55="基准地价",L50,0))</f>
        <v>0</v>
      </c>
      <c r="R58" s="1879" t="s">
        <v>1529</v>
      </c>
    </row>
    <row r="59" spans="1:18" s="1835" customFormat="1" ht="24.75" thickBot="1">
      <c r="A59" s="1196" t="s">
        <v>1035</v>
      </c>
      <c r="B59" s="1164" t="s">
        <v>1429</v>
      </c>
      <c r="C59" s="24">
        <f ca="1">ROUND(IF(项目基本情况!B11="自然人",C48*F59,C60+C61+C62),1)</f>
        <v>54.2</v>
      </c>
      <c r="D59" s="1177" t="s">
        <v>1430</v>
      </c>
      <c r="E59" s="1178" t="s">
        <v>1431</v>
      </c>
      <c r="F59" s="367" t="str">
        <f ca="1">IF(项目基本情况!B11="企业","",IF(INDIRECT("'数据-取费表'!c"&amp;$G$1)="住宅",5%,IF(F49*F50*F51/12/(1+'数据-取费表'!C42)&gt;20000,12%,7%)))</f>
        <v/>
      </c>
      <c r="I59" s="1915" t="s">
        <v>1563</v>
      </c>
      <c r="J59" s="1916"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1043</v>
      </c>
      <c r="P59" s="1878" t="s">
        <v>1564</v>
      </c>
      <c r="Q59" s="1890">
        <f>L52</f>
        <v>0</v>
      </c>
      <c r="R59" s="1879"/>
    </row>
    <row r="60" spans="1:18" s="1835" customFormat="1" ht="16.5" thickBot="1">
      <c r="A60" s="1196" t="s">
        <v>1034</v>
      </c>
      <c r="B60" s="1164" t="s">
        <v>1433</v>
      </c>
      <c r="C60" s="24">
        <f ca="1">IF(项目基本情况!B11="自然人","——",ROUND(C48*F60/(1+'数据-取费表'!C42),2))</f>
        <v>0</v>
      </c>
      <c r="D60" s="1178" t="s">
        <v>1434</v>
      </c>
      <c r="E60" s="1164" t="s">
        <v>1422</v>
      </c>
      <c r="F60" s="376">
        <f t="shared" ref="F60:F66" si="0">F32</f>
        <v>5.6000000000000001E-2</v>
      </c>
      <c r="I60" s="1918" t="s">
        <v>1565</v>
      </c>
      <c r="J60" s="1919" t="str">
        <f ca="1">IF(OR(M47="住宅",J51&lt;L48,J56="是"),"0",ROUND(J59/(1+J52)^J53,0))</f>
        <v>0</v>
      </c>
      <c r="K60" s="1920" t="s">
        <v>1566</v>
      </c>
      <c r="L60" s="1919">
        <f ca="1">IF(OR(M47="住宅",L48&lt;J51),0,ROUND(L57*(L58/L59-1),0))</f>
        <v>0</v>
      </c>
      <c r="O60" s="1887" t="s">
        <v>1044</v>
      </c>
      <c r="P60" s="1878" t="s">
        <v>1567</v>
      </c>
      <c r="Q60" s="1879" t="e">
        <f ca="1">L58</f>
        <v>#DIV/0!</v>
      </c>
      <c r="R60" s="1879" t="s">
        <v>1568</v>
      </c>
    </row>
    <row r="61" spans="1:18" s="1835" customFormat="1" ht="13.5" thickBot="1">
      <c r="A61" s="1196" t="s">
        <v>1492</v>
      </c>
      <c r="B61" s="1164" t="s">
        <v>1437</v>
      </c>
      <c r="C61" s="24">
        <f ca="1">IF(项目基本情况!B11="自然人","——",IF(D61="按租金收入计税",ROUND(C48*F61,2),IF(D61="按房产原值计税",ROUND(C57*F61*0.7,2),INDIRECT("'数据-取费表'!Aj"&amp;$G$1))))</f>
        <v>52.42</v>
      </c>
      <c r="D61" s="1821" t="s">
        <v>1438</v>
      </c>
      <c r="E61" s="1164" t="s">
        <v>1422</v>
      </c>
      <c r="F61" s="366">
        <f t="shared" si="0"/>
        <v>0.12</v>
      </c>
      <c r="I61" s="1921"/>
      <c r="J61" s="1921"/>
      <c r="K61" s="1921"/>
      <c r="L61" s="1921"/>
      <c r="O61" s="1887" t="s">
        <v>1045</v>
      </c>
      <c r="P61" s="1878" t="str">
        <f>K59</f>
        <v>建筑物剩余耐用年限下的土地年期修正系数Kn</v>
      </c>
      <c r="Q61" s="1879" t="e">
        <f ca="1">L59</f>
        <v>#DIV/0!</v>
      </c>
      <c r="R61" s="1879" t="s">
        <v>1569</v>
      </c>
    </row>
    <row r="62" spans="1:18" s="1835" customFormat="1" ht="13.5" thickBot="1">
      <c r="A62" s="1196" t="s">
        <v>1495</v>
      </c>
      <c r="B62" s="1163" t="s">
        <v>1441</v>
      </c>
      <c r="C62" s="25">
        <f ca="1">IF(项目基本情况!B11="自然人","——",ROUND(F62*F63/10000,2))</f>
        <v>1.75</v>
      </c>
      <c r="D62" s="1179" t="s">
        <v>1442</v>
      </c>
      <c r="E62" s="1164" t="s">
        <v>1443</v>
      </c>
      <c r="F62" s="370">
        <f t="shared" si="0"/>
        <v>1.5</v>
      </c>
      <c r="I62" s="1922" t="s">
        <v>1570</v>
      </c>
      <c r="J62" s="1923" t="s">
        <v>1571</v>
      </c>
      <c r="K62" s="1923" t="s">
        <v>1572</v>
      </c>
      <c r="L62" s="1923" t="s">
        <v>1573</v>
      </c>
      <c r="M62" s="1924" t="s">
        <v>1574</v>
      </c>
      <c r="O62" s="1877" t="s">
        <v>1046</v>
      </c>
      <c r="P62" s="1878" t="s">
        <v>1549</v>
      </c>
      <c r="Q62" s="1879">
        <f ca="1">Q56+Q57</f>
        <v>1944</v>
      </c>
      <c r="R62" s="1879" t="s">
        <v>1047</v>
      </c>
    </row>
    <row r="63" spans="1:18" s="1835" customFormat="1" ht="13.5" thickBot="1">
      <c r="A63" s="371"/>
      <c r="B63" s="1170"/>
      <c r="C63" s="29"/>
      <c r="D63" s="1180"/>
      <c r="E63" s="1164" t="s">
        <v>1447</v>
      </c>
      <c r="F63" s="347">
        <f t="shared" ca="1" si="0"/>
        <v>11643.96</v>
      </c>
      <c r="I63" s="1922" t="s">
        <v>1576</v>
      </c>
      <c r="J63" s="1923">
        <v>70</v>
      </c>
      <c r="K63" s="1923">
        <v>50</v>
      </c>
      <c r="L63" s="1923">
        <v>80</v>
      </c>
      <c r="M63" s="1925">
        <v>0.02</v>
      </c>
      <c r="O63" s="1862" t="s">
        <v>1577</v>
      </c>
      <c r="P63" s="1832"/>
      <c r="Q63" s="1832"/>
      <c r="R63" s="1832"/>
    </row>
    <row r="64" spans="1:18" s="1835" customFormat="1" ht="13.5" thickBot="1">
      <c r="A64" s="1196" t="s">
        <v>1039</v>
      </c>
      <c r="B64" s="1164" t="s">
        <v>1449</v>
      </c>
      <c r="C64" s="24">
        <f ca="1">ROUND(C57*F64,1)</f>
        <v>6.2</v>
      </c>
      <c r="D64" s="1178" t="s">
        <v>1482</v>
      </c>
      <c r="E64" s="1164" t="s">
        <v>1422</v>
      </c>
      <c r="F64" s="373">
        <f t="shared" ca="1" si="0"/>
        <v>0.01</v>
      </c>
      <c r="I64" s="1922" t="s">
        <v>1578</v>
      </c>
      <c r="J64" s="1923">
        <v>50</v>
      </c>
      <c r="K64" s="1923">
        <v>35</v>
      </c>
      <c r="L64" s="1923">
        <v>60</v>
      </c>
      <c r="M64" s="1924">
        <v>0</v>
      </c>
      <c r="O64" s="1870" t="s">
        <v>1522</v>
      </c>
      <c r="P64" s="1871" t="s">
        <v>1523</v>
      </c>
      <c r="Q64" s="1872" t="s">
        <v>1524</v>
      </c>
      <c r="R64" s="1872" t="s">
        <v>1525</v>
      </c>
    </row>
    <row r="65" spans="1:18" s="1835" customFormat="1" ht="13.5" thickBot="1">
      <c r="A65" s="1196" t="s">
        <v>1503</v>
      </c>
      <c r="B65" s="1164" t="s">
        <v>1453</v>
      </c>
      <c r="C65" s="24">
        <f ca="1">ROUND(C56*F65,1)</f>
        <v>0.5</v>
      </c>
      <c r="D65" s="1178" t="s">
        <v>1454</v>
      </c>
      <c r="E65" s="1164" t="s">
        <v>1422</v>
      </c>
      <c r="F65" s="375">
        <f t="shared" ca="1" si="0"/>
        <v>1E-3</v>
      </c>
      <c r="I65" s="1922" t="s">
        <v>1579</v>
      </c>
      <c r="J65" s="1923">
        <v>40</v>
      </c>
      <c r="K65" s="1923">
        <v>30</v>
      </c>
      <c r="L65" s="1923">
        <v>50</v>
      </c>
      <c r="M65" s="1925">
        <v>0.02</v>
      </c>
      <c r="O65" s="1877" t="s">
        <v>1040</v>
      </c>
      <c r="P65" s="1878" t="s">
        <v>1528</v>
      </c>
      <c r="Q65" s="1879">
        <f ca="1">C40+J29</f>
        <v>1944</v>
      </c>
      <c r="R65" s="1879" t="s">
        <v>1529</v>
      </c>
    </row>
    <row r="66" spans="1:18" s="1835" customFormat="1" ht="16.5" thickBot="1">
      <c r="A66" s="1196" t="s">
        <v>1504</v>
      </c>
      <c r="B66" s="1164" t="s">
        <v>1439</v>
      </c>
      <c r="C66" s="24">
        <f ca="1">ROUND(C48*F66,1)</f>
        <v>0</v>
      </c>
      <c r="D66" s="1178" t="s">
        <v>1459</v>
      </c>
      <c r="E66" s="1164" t="s">
        <v>1422</v>
      </c>
      <c r="F66" s="356">
        <f t="shared" ca="1" si="0"/>
        <v>0.01</v>
      </c>
      <c r="O66" s="1877" t="s">
        <v>1041</v>
      </c>
      <c r="P66" s="1878" t="s">
        <v>1558</v>
      </c>
      <c r="Q66" s="1879">
        <f ca="1">L60</f>
        <v>0</v>
      </c>
      <c r="R66" s="1879" t="s">
        <v>1581</v>
      </c>
    </row>
    <row r="67" spans="1:18" s="1835" customFormat="1" ht="16.5" thickBot="1">
      <c r="A67" s="1171" t="s">
        <v>1031</v>
      </c>
      <c r="B67" s="1181" t="s">
        <v>1463</v>
      </c>
      <c r="C67" s="360">
        <f ca="1">C48-C58</f>
        <v>-61</v>
      </c>
      <c r="D67" s="1177" t="s">
        <v>1464</v>
      </c>
      <c r="E67" s="1182"/>
      <c r="F67" s="1183"/>
      <c r="O67" s="1887" t="s">
        <v>1042</v>
      </c>
      <c r="P67" s="1878" t="s">
        <v>1562</v>
      </c>
      <c r="Q67" s="1926">
        <f ca="1">L51</f>
        <v>712</v>
      </c>
      <c r="R67" s="1879" t="s">
        <v>1582</v>
      </c>
    </row>
    <row r="68" spans="1:18" s="1835" customFormat="1" ht="16.5" thickBot="1">
      <c r="A68" s="1161" t="s">
        <v>1032</v>
      </c>
      <c r="B68" s="1162" t="s">
        <v>1485</v>
      </c>
      <c r="C68" s="345">
        <f ca="1">ROUND(C67*(1-((1+F70)/(1+F68))^F69)/(F68-F70),0)</f>
        <v>-943</v>
      </c>
      <c r="D68" s="1179" t="s">
        <v>1469</v>
      </c>
      <c r="E68" s="1164" t="s">
        <v>1470</v>
      </c>
      <c r="F68" s="356">
        <f ca="1">F40</f>
        <v>4.4999999999999998E-2</v>
      </c>
      <c r="O68" s="1887" t="s">
        <v>1043</v>
      </c>
      <c r="P68" s="1927" t="s">
        <v>1583</v>
      </c>
      <c r="Q68" s="1879">
        <f ca="1">ROUND(Q69-Q70*Q71,0)</f>
        <v>44</v>
      </c>
      <c r="R68" s="1879" t="s">
        <v>1051</v>
      </c>
    </row>
    <row r="69" spans="1:18" s="1835" customFormat="1" ht="13.5" thickBot="1">
      <c r="A69" s="1165"/>
      <c r="B69" s="1166"/>
      <c r="C69" s="350"/>
      <c r="D69" s="1184" t="s">
        <v>1473</v>
      </c>
      <c r="E69" s="1164" t="s">
        <v>1474</v>
      </c>
      <c r="F69" s="378">
        <f ca="1">F41</f>
        <v>27</v>
      </c>
      <c r="O69" s="1887" t="s">
        <v>1048</v>
      </c>
      <c r="P69" s="1927" t="s">
        <v>1584</v>
      </c>
      <c r="Q69" s="1879">
        <f ca="1">C39</f>
        <v>85</v>
      </c>
      <c r="R69" s="1879" t="s">
        <v>1529</v>
      </c>
    </row>
    <row r="70" spans="1:18" s="1835" customFormat="1" ht="13.5" thickBot="1">
      <c r="A70" s="1168"/>
      <c r="B70" s="1169"/>
      <c r="C70" s="354"/>
      <c r="D70" s="1180"/>
      <c r="E70" s="1164" t="s">
        <v>1477</v>
      </c>
      <c r="F70" s="1270"/>
      <c r="O70" s="1887" t="s">
        <v>1049</v>
      </c>
      <c r="P70" s="1927" t="s">
        <v>1585</v>
      </c>
      <c r="Q70" s="1879">
        <f ca="1">C13</f>
        <v>487</v>
      </c>
      <c r="R70" s="1879" t="s">
        <v>1529</v>
      </c>
    </row>
    <row r="71" spans="1:18" s="1835" customFormat="1" ht="13.5" thickBot="1">
      <c r="A71" s="1185" t="s">
        <v>1033</v>
      </c>
      <c r="B71" s="1186" t="s">
        <v>1487</v>
      </c>
      <c r="C71" s="381">
        <f ca="1">ROUND(C68*10000/F71,0)</f>
        <v>-4268</v>
      </c>
      <c r="D71" s="1187" t="s">
        <v>1488</v>
      </c>
      <c r="E71" s="1188" t="s">
        <v>1489</v>
      </c>
      <c r="F71" s="384">
        <f ca="1">F43</f>
        <v>2209.56</v>
      </c>
      <c r="O71" s="1887" t="s">
        <v>1050</v>
      </c>
      <c r="P71" s="1927" t="s">
        <v>1586</v>
      </c>
      <c r="Q71" s="1890">
        <f ca="1">C76</f>
        <v>8.5000000000000006E-2</v>
      </c>
      <c r="R71" s="1879"/>
    </row>
    <row r="72" spans="1:18" s="1835" customFormat="1" ht="13.5" thickBot="1">
      <c r="B72" s="794"/>
      <c r="C72" s="794"/>
      <c r="O72" s="1887" t="s">
        <v>1044</v>
      </c>
      <c r="P72" s="1878" t="s">
        <v>1564</v>
      </c>
      <c r="Q72" s="1890">
        <f>L52</f>
        <v>0</v>
      </c>
      <c r="R72" s="1879"/>
    </row>
    <row r="73" spans="1:18" ht="16.5" thickBot="1">
      <c r="A73" s="1835"/>
      <c r="B73" s="794"/>
      <c r="C73" s="794"/>
      <c r="D73" s="1835"/>
      <c r="E73" s="1835"/>
      <c r="F73" s="1835"/>
      <c r="O73" s="1887" t="s">
        <v>1045</v>
      </c>
      <c r="P73" s="1878" t="s">
        <v>1567</v>
      </c>
      <c r="Q73" s="1879" t="e">
        <f ca="1">L58</f>
        <v>#DIV/0!</v>
      </c>
      <c r="R73" s="1879" t="s">
        <v>1568</v>
      </c>
    </row>
    <row r="74" spans="1:18" ht="13.5" thickBot="1">
      <c r="A74" s="1835"/>
      <c r="B74" s="316" t="s">
        <v>1587</v>
      </c>
      <c r="C74" s="1929"/>
      <c r="D74" s="1835"/>
      <c r="E74" s="1835"/>
      <c r="F74" s="1835"/>
      <c r="O74" s="1887" t="s">
        <v>1052</v>
      </c>
      <c r="P74" s="1878" t="str">
        <f>K59</f>
        <v>建筑物剩余耐用年限下的土地年期修正系数Kn</v>
      </c>
      <c r="Q74" s="1879" t="e">
        <f ca="1">L59</f>
        <v>#DIV/0!</v>
      </c>
      <c r="R74" s="1879" t="s">
        <v>1569</v>
      </c>
    </row>
    <row r="75" spans="1:18" ht="13.5" thickBot="1">
      <c r="A75" s="1835"/>
      <c r="B75" s="385" t="s">
        <v>1506</v>
      </c>
      <c r="C75" s="386">
        <f ca="1">ROUND(C13*C76,0)</f>
        <v>41</v>
      </c>
      <c r="D75" s="1835"/>
      <c r="E75" s="1835"/>
      <c r="F75" s="1835"/>
      <c r="K75" s="1861"/>
      <c r="L75" s="1835"/>
      <c r="O75" s="1877" t="s">
        <v>1046</v>
      </c>
      <c r="P75" s="1878" t="s">
        <v>1549</v>
      </c>
      <c r="Q75" s="1879">
        <f ca="1">Q65+Q66</f>
        <v>1944</v>
      </c>
      <c r="R75" s="1879" t="s">
        <v>1047</v>
      </c>
    </row>
    <row r="76" spans="1:18">
      <c r="B76" s="387" t="s">
        <v>1507</v>
      </c>
      <c r="C76" s="388">
        <f ca="1">INDIRECT("'数据-取费表'!j"&amp;$G$1)</f>
        <v>8.5000000000000006E-2</v>
      </c>
      <c r="I76" s="1835"/>
      <c r="J76" s="1835"/>
      <c r="K76" s="1861"/>
      <c r="L76" s="1835"/>
    </row>
    <row r="77" spans="1:18">
      <c r="B77" s="389" t="s">
        <v>1508</v>
      </c>
      <c r="C77" s="390"/>
      <c r="I77" s="1835"/>
      <c r="J77" s="1835"/>
      <c r="K77" s="1861"/>
      <c r="L77" s="1835"/>
    </row>
    <row r="78" spans="1:18">
      <c r="B78" s="313" t="s">
        <v>1509</v>
      </c>
      <c r="C78" s="391"/>
    </row>
    <row r="79" spans="1:18">
      <c r="B79" s="385" t="s">
        <v>1510</v>
      </c>
      <c r="C79" s="317">
        <f ca="1">1-C80</f>
        <v>0.51800000000000002</v>
      </c>
    </row>
    <row r="80" spans="1:18">
      <c r="B80" s="385" t="s">
        <v>1511</v>
      </c>
      <c r="C80" s="317">
        <f ca="1">ROUND(C75/C39,3)</f>
        <v>0.48199999999999998</v>
      </c>
    </row>
    <row r="81" spans="2:3">
      <c r="B81" s="313" t="s">
        <v>1512</v>
      </c>
      <c r="C81" s="281"/>
    </row>
    <row r="82" spans="2:3">
      <c r="B82" s="316" t="s">
        <v>1513</v>
      </c>
      <c r="C82" s="318">
        <f ca="1">1-C83</f>
        <v>0.749</v>
      </c>
    </row>
    <row r="83" spans="2:3">
      <c r="B83" s="316" t="s">
        <v>1514</v>
      </c>
      <c r="C83" s="317">
        <f ca="1">ROUND(C13/C40,3)</f>
        <v>0.251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
  <sheetViews>
    <sheetView workbookViewId="0">
      <selection activeCell="H20" sqref="H20"/>
    </sheetView>
  </sheetViews>
  <sheetFormatPr defaultRowHeight="13.5"/>
  <sheetData>
    <row r="1" spans="1:44" s="1628" customFormat="1">
      <c r="A1" s="1628" t="s">
        <v>3057</v>
      </c>
      <c r="B1" s="1628" t="s">
        <v>3058</v>
      </c>
      <c r="C1" s="1628" t="s">
        <v>3059</v>
      </c>
      <c r="D1" s="1628" t="s">
        <v>3060</v>
      </c>
      <c r="E1" s="1628" t="s">
        <v>3061</v>
      </c>
      <c r="F1" s="1628" t="s">
        <v>3062</v>
      </c>
      <c r="G1" s="1628" t="s">
        <v>3063</v>
      </c>
      <c r="H1" s="1628" t="s">
        <v>3064</v>
      </c>
      <c r="I1" s="1628" t="s">
        <v>3065</v>
      </c>
      <c r="J1" s="1628" t="s">
        <v>3066</v>
      </c>
      <c r="K1" s="1628" t="s">
        <v>3067</v>
      </c>
      <c r="L1" s="1628" t="s">
        <v>3068</v>
      </c>
      <c r="M1" s="1628" t="s">
        <v>3069</v>
      </c>
      <c r="N1" s="1628" t="s">
        <v>3070</v>
      </c>
      <c r="O1" s="1628" t="s">
        <v>3071</v>
      </c>
      <c r="P1" s="1628" t="s">
        <v>3072</v>
      </c>
      <c r="Q1" s="1628" t="s">
        <v>3073</v>
      </c>
      <c r="R1" s="1628" t="s">
        <v>3074</v>
      </c>
      <c r="S1" s="1628" t="s">
        <v>3075</v>
      </c>
      <c r="T1" s="1628" t="s">
        <v>3076</v>
      </c>
      <c r="U1" s="1628" t="s">
        <v>3077</v>
      </c>
      <c r="V1" s="1628" t="s">
        <v>3078</v>
      </c>
      <c r="W1" s="1628" t="s">
        <v>3079</v>
      </c>
      <c r="X1" s="1628" t="s">
        <v>3080</v>
      </c>
      <c r="Y1" s="1628" t="s">
        <v>3081</v>
      </c>
      <c r="Z1" s="1628" t="s">
        <v>3082</v>
      </c>
      <c r="AA1" s="1628" t="s">
        <v>3083</v>
      </c>
      <c r="AB1" s="1628" t="s">
        <v>3084</v>
      </c>
      <c r="AC1" s="1628" t="s">
        <v>3085</v>
      </c>
      <c r="AD1" s="1628" t="s">
        <v>3086</v>
      </c>
      <c r="AE1" s="1628" t="s">
        <v>3087</v>
      </c>
      <c r="AF1" s="1628" t="s">
        <v>3088</v>
      </c>
      <c r="AG1" s="1628" t="s">
        <v>3089</v>
      </c>
      <c r="AH1" s="1628" t="s">
        <v>3090</v>
      </c>
      <c r="AI1" s="1628" t="s">
        <v>3091</v>
      </c>
      <c r="AJ1" s="1628" t="s">
        <v>3092</v>
      </c>
      <c r="AK1" s="1628" t="s">
        <v>3093</v>
      </c>
      <c r="AL1" s="1628" t="s">
        <v>3094</v>
      </c>
      <c r="AM1" s="1628" t="s">
        <v>3095</v>
      </c>
      <c r="AN1" s="1628" t="s">
        <v>3096</v>
      </c>
      <c r="AO1" s="1628" t="s">
        <v>3097</v>
      </c>
      <c r="AP1" s="1628" t="s">
        <v>3098</v>
      </c>
      <c r="AQ1" s="1628" t="s">
        <v>3099</v>
      </c>
      <c r="AR1" s="1628" t="s">
        <v>3100</v>
      </c>
    </row>
    <row r="2" spans="1:44" s="1628" customFormat="1">
      <c r="A2" s="1628" t="s">
        <v>3268</v>
      </c>
      <c r="B2" s="1628" t="s">
        <v>3269</v>
      </c>
      <c r="C2" s="1628" t="s">
        <v>3270</v>
      </c>
      <c r="D2" s="1628" t="s">
        <v>3271</v>
      </c>
      <c r="E2" s="1628" t="s">
        <v>1331</v>
      </c>
      <c r="F2" s="3011" t="s">
        <v>3310</v>
      </c>
      <c r="G2" s="1628" t="s">
        <v>3272</v>
      </c>
      <c r="H2" s="1628" t="s">
        <v>3273</v>
      </c>
      <c r="I2" s="1628" t="s">
        <v>3270</v>
      </c>
      <c r="J2" s="1628">
        <v>12894.05</v>
      </c>
      <c r="K2" s="1628">
        <v>25788.1</v>
      </c>
      <c r="L2" s="1628">
        <v>2</v>
      </c>
      <c r="M2" s="1628" t="s">
        <v>1331</v>
      </c>
      <c r="N2" s="1628" t="s">
        <v>1331</v>
      </c>
      <c r="O2" s="1628" t="s">
        <v>1331</v>
      </c>
      <c r="P2" s="1628" t="s">
        <v>1331</v>
      </c>
      <c r="Q2" s="1628" t="s">
        <v>1331</v>
      </c>
      <c r="R2" s="1628" t="s">
        <v>1331</v>
      </c>
      <c r="S2" s="1628" t="s">
        <v>1331</v>
      </c>
      <c r="T2" s="1628" t="s">
        <v>1331</v>
      </c>
      <c r="U2" s="1628" t="s">
        <v>1331</v>
      </c>
      <c r="V2" s="1628" t="s">
        <v>1331</v>
      </c>
      <c r="W2" s="1628" t="s">
        <v>3101</v>
      </c>
      <c r="X2" s="1628" t="s">
        <v>3274</v>
      </c>
      <c r="Y2" s="1628" t="s">
        <v>3275</v>
      </c>
      <c r="Z2" s="1628" t="s">
        <v>3275</v>
      </c>
      <c r="AA2" s="1628" t="s">
        <v>3275</v>
      </c>
      <c r="AB2" s="1628" t="s">
        <v>3276</v>
      </c>
      <c r="AC2" s="1628" t="s">
        <v>3102</v>
      </c>
      <c r="AD2" s="1628" t="s">
        <v>3277</v>
      </c>
      <c r="AE2" s="1628">
        <v>640</v>
      </c>
      <c r="AF2" s="1628">
        <v>640</v>
      </c>
      <c r="AG2" s="1628">
        <v>720</v>
      </c>
      <c r="AH2" s="1628">
        <v>33.090000000000003</v>
      </c>
      <c r="AI2" s="1628">
        <v>37.229999999999997</v>
      </c>
      <c r="AJ2" s="1628">
        <v>248.17</v>
      </c>
      <c r="AK2" s="1628">
        <v>279.19</v>
      </c>
      <c r="AL2" s="1628">
        <f>ROUND(AG2*10000/J2,0)</f>
        <v>558</v>
      </c>
      <c r="AM2" s="1628" t="s">
        <v>1331</v>
      </c>
      <c r="AN2" s="1628">
        <v>12.5</v>
      </c>
      <c r="AO2" s="1628" t="s">
        <v>3278</v>
      </c>
      <c r="AP2" s="1628" t="s">
        <v>1331</v>
      </c>
      <c r="AQ2" s="1628" t="s">
        <v>1331</v>
      </c>
      <c r="AR2" s="1628" t="s">
        <v>1331</v>
      </c>
    </row>
    <row r="3" spans="1:44" s="1628" customFormat="1">
      <c r="A3" s="1628" t="s">
        <v>3279</v>
      </c>
      <c r="B3" s="1628" t="s">
        <v>3269</v>
      </c>
      <c r="C3" s="1628" t="s">
        <v>3270</v>
      </c>
      <c r="D3" s="1628" t="s">
        <v>3271</v>
      </c>
      <c r="E3" s="1628" t="s">
        <v>1331</v>
      </c>
      <c r="F3" s="1628" t="s">
        <v>3279</v>
      </c>
      <c r="G3" s="1628" t="s">
        <v>3272</v>
      </c>
      <c r="H3" s="1628" t="s">
        <v>3280</v>
      </c>
      <c r="I3" s="1628" t="s">
        <v>3270</v>
      </c>
      <c r="J3" s="1628">
        <v>13333.34</v>
      </c>
      <c r="K3" s="1628">
        <v>26666.68</v>
      </c>
      <c r="L3" s="1628">
        <v>2</v>
      </c>
      <c r="M3" s="1628" t="s">
        <v>1331</v>
      </c>
      <c r="N3" s="1628" t="s">
        <v>1331</v>
      </c>
      <c r="O3" s="1628" t="s">
        <v>1331</v>
      </c>
      <c r="P3" s="1628" t="s">
        <v>1331</v>
      </c>
      <c r="Q3" s="1628" t="s">
        <v>1331</v>
      </c>
      <c r="R3" s="1628" t="s">
        <v>1331</v>
      </c>
      <c r="S3" s="1628" t="s">
        <v>1331</v>
      </c>
      <c r="T3" s="1628" t="s">
        <v>1331</v>
      </c>
      <c r="U3" s="1628" t="s">
        <v>1331</v>
      </c>
      <c r="V3" s="1628" t="s">
        <v>1331</v>
      </c>
      <c r="W3" s="1628" t="s">
        <v>3101</v>
      </c>
      <c r="X3" s="1628" t="s">
        <v>3274</v>
      </c>
      <c r="Y3" s="1628" t="s">
        <v>3275</v>
      </c>
      <c r="Z3" s="1628" t="s">
        <v>3275</v>
      </c>
      <c r="AA3" s="1628" t="s">
        <v>3275</v>
      </c>
      <c r="AB3" s="1628" t="s">
        <v>3281</v>
      </c>
      <c r="AC3" s="1628" t="s">
        <v>3102</v>
      </c>
      <c r="AD3" s="1628" t="s">
        <v>3282</v>
      </c>
      <c r="AE3" s="1628">
        <v>680</v>
      </c>
      <c r="AF3" s="1628">
        <v>680</v>
      </c>
      <c r="AG3" s="1628">
        <v>750</v>
      </c>
      <c r="AH3" s="1628">
        <v>34</v>
      </c>
      <c r="AI3" s="1628">
        <v>37.5</v>
      </c>
      <c r="AJ3" s="1628">
        <v>254.99</v>
      </c>
      <c r="AK3" s="1628">
        <v>281.25</v>
      </c>
      <c r="AL3" s="1628">
        <f t="shared" ref="AL3:AL4" si="0">ROUND(AG3*10000/J3,0)</f>
        <v>562</v>
      </c>
      <c r="AM3" s="1628" t="s">
        <v>1331</v>
      </c>
      <c r="AN3" s="1628">
        <v>10.29</v>
      </c>
      <c r="AO3" s="1628" t="s">
        <v>3278</v>
      </c>
      <c r="AP3" s="1628" t="s">
        <v>1331</v>
      </c>
      <c r="AQ3" s="1628" t="s">
        <v>1331</v>
      </c>
      <c r="AR3" s="1628" t="s">
        <v>1331</v>
      </c>
    </row>
    <row r="4" spans="1:44" s="1628" customFormat="1">
      <c r="A4" s="1628" t="s">
        <v>3279</v>
      </c>
      <c r="B4" s="1628" t="s">
        <v>3269</v>
      </c>
      <c r="C4" s="1628" t="s">
        <v>3270</v>
      </c>
      <c r="D4" s="1628" t="s">
        <v>3271</v>
      </c>
      <c r="E4" s="1628" t="s">
        <v>1331</v>
      </c>
      <c r="F4" s="1628" t="s">
        <v>3279</v>
      </c>
      <c r="G4" s="1628" t="s">
        <v>3272</v>
      </c>
      <c r="H4" s="1628" t="s">
        <v>3283</v>
      </c>
      <c r="I4" s="1628" t="s">
        <v>3270</v>
      </c>
      <c r="J4" s="1628">
        <v>19846.330000000002</v>
      </c>
      <c r="K4" s="1628">
        <v>39692.660000000003</v>
      </c>
      <c r="L4" s="1628">
        <v>2</v>
      </c>
      <c r="M4" s="1628" t="s">
        <v>1331</v>
      </c>
      <c r="N4" s="1628" t="s">
        <v>1331</v>
      </c>
      <c r="O4" s="1628" t="s">
        <v>1331</v>
      </c>
      <c r="P4" s="1628" t="s">
        <v>1331</v>
      </c>
      <c r="Q4" s="1628" t="s">
        <v>1331</v>
      </c>
      <c r="R4" s="1628" t="s">
        <v>1331</v>
      </c>
      <c r="S4" s="1628" t="s">
        <v>1331</v>
      </c>
      <c r="T4" s="1628" t="s">
        <v>1331</v>
      </c>
      <c r="U4" s="1628" t="s">
        <v>1331</v>
      </c>
      <c r="V4" s="1628" t="s">
        <v>1331</v>
      </c>
      <c r="W4" s="1628" t="s">
        <v>3101</v>
      </c>
      <c r="X4" s="1628" t="s">
        <v>3274</v>
      </c>
      <c r="Y4" s="1628" t="s">
        <v>3275</v>
      </c>
      <c r="Z4" s="1628" t="s">
        <v>3275</v>
      </c>
      <c r="AA4" s="1628" t="s">
        <v>3275</v>
      </c>
      <c r="AB4" s="1628" t="s">
        <v>3284</v>
      </c>
      <c r="AC4" s="1628" t="s">
        <v>3102</v>
      </c>
      <c r="AD4" s="1628" t="s">
        <v>3282</v>
      </c>
      <c r="AE4" s="1628">
        <v>1000</v>
      </c>
      <c r="AF4" s="1628">
        <v>1000</v>
      </c>
      <c r="AG4" s="1628">
        <v>1110</v>
      </c>
      <c r="AH4" s="1628">
        <v>33.590000000000003</v>
      </c>
      <c r="AI4" s="1628">
        <v>37.29</v>
      </c>
      <c r="AJ4" s="1628">
        <v>251.93</v>
      </c>
      <c r="AK4" s="1628">
        <v>279.64</v>
      </c>
      <c r="AL4" s="1628">
        <f t="shared" si="0"/>
        <v>559</v>
      </c>
      <c r="AM4" s="1628" t="s">
        <v>1331</v>
      </c>
      <c r="AN4" s="1628">
        <v>11</v>
      </c>
      <c r="AO4" s="1628" t="s">
        <v>3278</v>
      </c>
      <c r="AP4" s="1628" t="s">
        <v>1331</v>
      </c>
      <c r="AQ4" s="1628" t="s">
        <v>1331</v>
      </c>
      <c r="AR4" s="1628" t="s">
        <v>1331</v>
      </c>
    </row>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3"/>
  <sheetViews>
    <sheetView workbookViewId="0">
      <selection activeCell="G1" sqref="G1"/>
    </sheetView>
  </sheetViews>
  <sheetFormatPr defaultRowHeight="13.5"/>
  <sheetData>
    <row r="1" spans="1:17">
      <c r="A1" s="2949" t="s">
        <v>3127</v>
      </c>
      <c r="B1" s="2949" t="s">
        <v>3128</v>
      </c>
      <c r="C1" s="2949" t="s">
        <v>3129</v>
      </c>
      <c r="D1" s="2949" t="s">
        <v>3130</v>
      </c>
      <c r="F1" s="2949" t="s">
        <v>3156</v>
      </c>
      <c r="G1" s="2950">
        <f>A3+A7+A11+A15+D17</f>
        <v>0</v>
      </c>
      <c r="H1" s="2949" t="s">
        <v>3162</v>
      </c>
      <c r="I1" s="2955" t="s">
        <v>3163</v>
      </c>
    </row>
    <row r="2" spans="1:17">
      <c r="A2" s="2949" t="s">
        <v>3150</v>
      </c>
      <c r="B2" s="2950" t="s">
        <v>3131</v>
      </c>
      <c r="C2" s="2950" t="s">
        <v>3135</v>
      </c>
      <c r="D2" s="2950"/>
      <c r="F2" s="2949" t="s">
        <v>3157</v>
      </c>
      <c r="G2" s="2950">
        <f>G1-G3-G4</f>
        <v>-3328.21</v>
      </c>
      <c r="H2" s="2950">
        <v>10</v>
      </c>
      <c r="I2" s="2948">
        <f>'比较法-商业'!C49</f>
        <v>8.1999999999999993</v>
      </c>
    </row>
    <row r="3" spans="1:17">
      <c r="A3" s="2951">
        <f>'数据-基础表'!K13</f>
        <v>0</v>
      </c>
      <c r="B3" s="2950" t="s">
        <v>3132</v>
      </c>
      <c r="C3" s="2950" t="s">
        <v>3136</v>
      </c>
      <c r="D3" s="2950"/>
      <c r="F3" s="2949" t="s">
        <v>3158</v>
      </c>
      <c r="G3" s="2950">
        <f>C7+C6+C3+C2</f>
        <v>3328.21</v>
      </c>
      <c r="H3" s="2950">
        <v>5.8</v>
      </c>
      <c r="I3" s="2948">
        <f>ROUND(I2*0.7,1)</f>
        <v>5.7</v>
      </c>
    </row>
    <row r="4" spans="1:17">
      <c r="A4" s="2950">
        <f>B2+B3+B4+B5+C2+C3</f>
        <v>2793.42</v>
      </c>
      <c r="B4" s="2950" t="s">
        <v>3133</v>
      </c>
      <c r="C4" s="2950"/>
      <c r="D4" s="2950"/>
      <c r="F4" s="2949" t="s">
        <v>3159</v>
      </c>
      <c r="G4" s="2950">
        <f>D17</f>
        <v>0</v>
      </c>
      <c r="H4" s="2950">
        <v>3</v>
      </c>
      <c r="I4" s="2948">
        <f>ROUND(I2*0.3,1)</f>
        <v>2.5</v>
      </c>
    </row>
    <row r="5" spans="1:17">
      <c r="A5" s="2950"/>
      <c r="B5" s="2950" t="s">
        <v>3134</v>
      </c>
      <c r="C5" s="2950"/>
      <c r="D5" s="2950"/>
      <c r="F5" s="2952" t="s">
        <v>3160</v>
      </c>
      <c r="G5" s="2953" t="e">
        <f>ROUND(H4*G4/G1+H3*G3/G1+H2*G2/G1,1)</f>
        <v>#DIV/0!</v>
      </c>
      <c r="H5" s="2950"/>
      <c r="I5" s="2951" t="e">
        <f>ROUND(I4*G4/G1+I3*G3/G1+I2*G2/G1,1)</f>
        <v>#DIV/0!</v>
      </c>
    </row>
    <row r="6" spans="1:17">
      <c r="A6" s="2949" t="s">
        <v>3151</v>
      </c>
      <c r="B6" s="2950" t="s">
        <v>3137</v>
      </c>
      <c r="C6" s="2950" t="s">
        <v>3141</v>
      </c>
      <c r="D6" s="2950"/>
    </row>
    <row r="7" spans="1:17">
      <c r="A7" s="2951">
        <f>'数据-基础表'!K14</f>
        <v>0</v>
      </c>
      <c r="B7" s="2950" t="s">
        <v>3138</v>
      </c>
      <c r="C7" s="2950" t="s">
        <v>3142</v>
      </c>
      <c r="D7" s="2950"/>
      <c r="J7" s="2950"/>
      <c r="K7" s="2950"/>
      <c r="L7" s="2950"/>
    </row>
    <row r="8" spans="1:17">
      <c r="A8" s="2950">
        <f>B6+B7+B8+B9+C6+C7</f>
        <v>4072.34</v>
      </c>
      <c r="B8" s="2950" t="s">
        <v>3139</v>
      </c>
      <c r="C8" s="2950"/>
      <c r="D8" s="2950"/>
      <c r="J8" s="2950"/>
      <c r="K8" s="2950"/>
      <c r="L8" s="2950"/>
    </row>
    <row r="9" spans="1:17">
      <c r="A9" s="2950"/>
      <c r="B9" s="2950" t="s">
        <v>3140</v>
      </c>
      <c r="C9" s="2950"/>
      <c r="D9" s="2950"/>
      <c r="J9" s="2950"/>
      <c r="K9" s="2950"/>
      <c r="L9" s="2950"/>
    </row>
    <row r="10" spans="1:17">
      <c r="A10" s="2949" t="s">
        <v>3152</v>
      </c>
      <c r="B10" s="2950" t="s">
        <v>3143</v>
      </c>
      <c r="C10" s="2949" t="s">
        <v>3155</v>
      </c>
      <c r="D10" s="2950"/>
      <c r="J10" s="2950"/>
      <c r="K10" s="2950"/>
      <c r="L10" s="2950"/>
    </row>
    <row r="11" spans="1:17">
      <c r="A11" s="2951">
        <f>'数据-基础表'!K15</f>
        <v>0</v>
      </c>
      <c r="B11" s="2950" t="s">
        <v>3144</v>
      </c>
      <c r="C11" s="2950"/>
      <c r="D11" s="2950"/>
      <c r="J11" s="2950"/>
      <c r="K11" s="2950"/>
      <c r="L11" s="2950"/>
    </row>
    <row r="12" spans="1:17">
      <c r="A12" s="2950">
        <f>B10+B11+B12+B13</f>
        <v>1169.1300000000001</v>
      </c>
      <c r="B12" s="2950" t="s">
        <v>3145</v>
      </c>
      <c r="C12" s="2950"/>
      <c r="D12" s="2950"/>
      <c r="J12" s="2950"/>
      <c r="K12" s="2950"/>
      <c r="L12" s="2950"/>
    </row>
    <row r="13" spans="1:17">
      <c r="A13" s="2950"/>
      <c r="B13" s="2950" t="s">
        <v>3146</v>
      </c>
      <c r="C13" s="2950"/>
      <c r="D13" s="2950"/>
      <c r="J13" s="2950"/>
      <c r="K13" s="2950"/>
      <c r="L13" s="2950"/>
      <c r="Q13" s="2971"/>
    </row>
    <row r="14" spans="1:17">
      <c r="A14" s="2949" t="s">
        <v>3153</v>
      </c>
      <c r="B14" s="2950" t="s">
        <v>3147</v>
      </c>
      <c r="C14" s="2950"/>
      <c r="D14" s="2950"/>
      <c r="Q14" s="2971"/>
    </row>
    <row r="15" spans="1:17">
      <c r="A15" s="2951">
        <f>'数据-基础表'!K16</f>
        <v>0</v>
      </c>
      <c r="B15" s="2950" t="s">
        <v>3148</v>
      </c>
      <c r="C15" s="2950"/>
      <c r="D15" s="2950"/>
      <c r="Q15" s="2971"/>
    </row>
    <row r="16" spans="1:17">
      <c r="A16" s="2950">
        <f>B16+B15+B14</f>
        <v>1768.5300000000002</v>
      </c>
      <c r="B16" s="2950" t="s">
        <v>3149</v>
      </c>
      <c r="C16" s="2950"/>
      <c r="D16" s="2950"/>
      <c r="Q16" s="2971"/>
    </row>
    <row r="17" spans="1:15">
      <c r="A17" s="2949" t="s">
        <v>3154</v>
      </c>
      <c r="B17" s="2950"/>
      <c r="C17" s="2950"/>
      <c r="D17" s="2950">
        <f>'数据-汇总表'!G20</f>
        <v>0</v>
      </c>
    </row>
    <row r="23" spans="1:15">
      <c r="O23" s="2971"/>
    </row>
  </sheetData>
  <phoneticPr fontId="143" type="noConversion"/>
  <pageMargins left="0.7" right="0.7" top="0.75" bottom="0.75" header="0.3" footer="0.3"/>
  <pageSetup paperSize="9" scale="6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8" customWidth="1"/>
    <col min="2" max="9" width="12.125" style="1938" customWidth="1"/>
    <col min="10" max="16384" width="9" style="1938"/>
  </cols>
  <sheetData>
    <row r="1" spans="1:9" ht="18.75" thickBot="1">
      <c r="A1" s="3032" t="str">
        <f>IF(项目基本情况!B9="房地产市场价值","估价结果一览表","结果表-2")</f>
        <v>结果表-2</v>
      </c>
      <c r="B1" s="3032"/>
      <c r="C1" s="3032"/>
      <c r="D1" s="3032"/>
      <c r="E1" s="3032"/>
      <c r="F1" s="3032"/>
      <c r="G1" s="3032"/>
      <c r="H1" s="3032"/>
      <c r="I1" s="3032"/>
    </row>
    <row r="2" spans="1:9" ht="30" customHeight="1" thickTop="1">
      <c r="A2" s="3033" t="s">
        <v>1641</v>
      </c>
      <c r="B2" s="3033" t="s">
        <v>1642</v>
      </c>
      <c r="C2" s="3033" t="s">
        <v>1643</v>
      </c>
      <c r="D2" s="3033" t="str">
        <f>结果表!D116</f>
        <v>出让国有建设用地使用权价值</v>
      </c>
      <c r="E2" s="3033"/>
      <c r="F2" s="3033" t="str">
        <f>结果表!F116</f>
        <v>建筑物价值</v>
      </c>
      <c r="G2" s="3033"/>
      <c r="H2" s="3033" t="str">
        <f>IF(项目基本情况!B9="房地产市场价值","房地产市场价值","房地产价值")</f>
        <v>房地产价值</v>
      </c>
      <c r="I2" s="3033"/>
    </row>
    <row r="3" spans="1:9" ht="15">
      <c r="A3" s="3027"/>
      <c r="B3" s="3027"/>
      <c r="C3" s="3027"/>
      <c r="D3" s="1039" t="s">
        <v>1638</v>
      </c>
      <c r="E3" s="1039" t="s">
        <v>1644</v>
      </c>
      <c r="F3" s="1039" t="s">
        <v>1638</v>
      </c>
      <c r="G3" s="1039" t="s">
        <v>1639</v>
      </c>
      <c r="H3" s="1039" t="s">
        <v>1638</v>
      </c>
      <c r="I3" s="1039" t="s">
        <v>1639</v>
      </c>
    </row>
    <row r="4" spans="1:9" ht="30">
      <c r="A4" s="1966" t="str">
        <f>项目基本情况!S2</f>
        <v>河北省廊坊开发区全兴路50号3幢、4幢工业用房房地产</v>
      </c>
      <c r="B4" s="1039">
        <f>项目基本情况!C17</f>
        <v>8377.9700000000012</v>
      </c>
      <c r="C4" s="1039">
        <f>项目基本情况!C18</f>
        <v>39950.5</v>
      </c>
      <c r="D4" s="1039">
        <f ca="1">结果表!D118</f>
        <v>4701</v>
      </c>
      <c r="E4" s="1039">
        <f ca="1">结果表!E118</f>
        <v>5611</v>
      </c>
      <c r="F4" s="1039">
        <f ca="1">结果表!F118</f>
        <v>2808</v>
      </c>
      <c r="G4" s="1039">
        <f ca="1">结果表!G118</f>
        <v>3352</v>
      </c>
      <c r="H4" s="1039">
        <f ca="1">结果表!H118</f>
        <v>7509</v>
      </c>
      <c r="I4" s="1039">
        <f ca="1">结果表!I118</f>
        <v>8963</v>
      </c>
    </row>
    <row r="5" spans="1:9" ht="30" customHeight="1">
      <c r="A5" s="3027" t="s">
        <v>1640</v>
      </c>
      <c r="B5" s="3027"/>
      <c r="C5" s="3027"/>
      <c r="D5" s="3028" t="str">
        <f ca="1">结果表!D119</f>
        <v>肆仟柒佰零壹万元整</v>
      </c>
      <c r="E5" s="3028"/>
      <c r="F5" s="3028" t="str">
        <f ca="1">结果表!F119</f>
        <v>贰仟捌佰零捌万元整</v>
      </c>
      <c r="G5" s="3028"/>
      <c r="H5" s="3028" t="str">
        <f ca="1">结果表!H119</f>
        <v>柒仟伍佰零玖万元整</v>
      </c>
      <c r="I5" s="3028"/>
    </row>
    <row r="6" spans="1:9" ht="15.75">
      <c r="A6" s="3026" t="str">
        <f>结果表!A120</f>
        <v>估价师知悉的法定优先受偿款</v>
      </c>
      <c r="B6" s="3026"/>
      <c r="C6" s="3026"/>
      <c r="D6" s="3026">
        <f>结果表!D120</f>
        <v>0</v>
      </c>
      <c r="E6" s="3026"/>
      <c r="F6" s="3026"/>
      <c r="G6" s="3026"/>
      <c r="H6" s="3026"/>
      <c r="I6" s="3026"/>
    </row>
    <row r="7" spans="1:9" ht="15">
      <c r="A7" s="3027" t="s">
        <v>1640</v>
      </c>
      <c r="B7" s="3027"/>
      <c r="C7" s="3027"/>
      <c r="D7" s="3029" t="str">
        <f>结果表!D121</f>
        <v>零元整</v>
      </c>
      <c r="E7" s="3030"/>
      <c r="F7" s="3030"/>
      <c r="G7" s="3030"/>
      <c r="H7" s="3030"/>
      <c r="I7" s="3031"/>
    </row>
    <row r="8" spans="1:9" ht="15.75">
      <c r="A8" s="3026" t="str">
        <f>结果表!A122</f>
        <v/>
      </c>
      <c r="B8" s="3026"/>
      <c r="C8" s="3026"/>
      <c r="D8" s="3026" t="str">
        <f>结果表!D122</f>
        <v>——</v>
      </c>
      <c r="E8" s="3026"/>
      <c r="F8" s="3026"/>
      <c r="G8" s="3026"/>
      <c r="H8" s="3026"/>
      <c r="I8" s="3026"/>
    </row>
    <row r="9" spans="1:9" ht="15">
      <c r="A9" s="3027" t="s">
        <v>1640</v>
      </c>
      <c r="B9" s="3027"/>
      <c r="C9" s="3027"/>
      <c r="D9" s="3028" t="e">
        <f>结果表!D123</f>
        <v>#VALUE!</v>
      </c>
      <c r="E9" s="3028"/>
      <c r="F9" s="3028"/>
      <c r="G9" s="3028"/>
      <c r="H9" s="3028"/>
      <c r="I9" s="3028"/>
    </row>
    <row r="10" spans="1:9" ht="15.75">
      <c r="A10" s="3026" t="str">
        <f>结果表!A124</f>
        <v>抵押担保权已注销时的房地产抵押价值</v>
      </c>
      <c r="B10" s="3026"/>
      <c r="C10" s="3026"/>
      <c r="D10" s="3026">
        <f ca="1">结果表!D124</f>
        <v>7509</v>
      </c>
      <c r="E10" s="3026"/>
      <c r="F10" s="3026"/>
      <c r="G10" s="3026"/>
      <c r="H10" s="3026"/>
      <c r="I10" s="3026"/>
    </row>
    <row r="11" spans="1:9" ht="15">
      <c r="A11" s="3027" t="s">
        <v>1640</v>
      </c>
      <c r="B11" s="3027"/>
      <c r="C11" s="3027"/>
      <c r="D11" s="3028" t="str">
        <f ca="1">结果表!D125</f>
        <v>柒仟伍佰零玖万元整</v>
      </c>
      <c r="E11" s="3028"/>
      <c r="F11" s="3028"/>
      <c r="G11" s="3028"/>
      <c r="H11" s="3028"/>
      <c r="I11" s="3028"/>
    </row>
    <row r="12" spans="1:9" ht="15.75">
      <c r="A12" s="3026" t="str">
        <f>结果表!A126</f>
        <v/>
      </c>
      <c r="B12" s="3026"/>
      <c r="C12" s="3026"/>
      <c r="D12" s="3026" t="str">
        <f>结果表!D126</f>
        <v>——</v>
      </c>
      <c r="E12" s="3026"/>
      <c r="F12" s="3026"/>
      <c r="G12" s="3026"/>
      <c r="H12" s="3026"/>
      <c r="I12" s="3026"/>
    </row>
    <row r="13" spans="1:9" ht="15.75" thickBot="1">
      <c r="A13" s="3023" t="s">
        <v>1640</v>
      </c>
      <c r="B13" s="3023"/>
      <c r="C13" s="3023"/>
      <c r="D13" s="3024" t="e">
        <f>结果表!D127</f>
        <v>#VALUE!</v>
      </c>
      <c r="E13" s="3024"/>
      <c r="F13" s="3024"/>
      <c r="G13" s="3024"/>
      <c r="H13" s="3024"/>
      <c r="I13" s="3024"/>
    </row>
    <row r="14" spans="1:9" ht="15" thickTop="1">
      <c r="A14" s="3025" t="s">
        <v>1645</v>
      </c>
      <c r="B14" s="3025"/>
      <c r="C14" s="3025"/>
      <c r="D14" s="3025"/>
      <c r="E14" s="3025"/>
      <c r="F14" s="3025"/>
      <c r="G14" s="3025"/>
      <c r="H14" s="3025"/>
      <c r="I14" s="3025"/>
    </row>
    <row r="16" spans="1:9" ht="18.75">
      <c r="A16" s="1967" t="s">
        <v>1628</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5" workbookViewId="0">
      <selection activeCell="O28" sqref="O28"/>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8" customWidth="1"/>
    <col min="2" max="3" width="22.375" style="1938" customWidth="1"/>
    <col min="4" max="4" width="23" style="1938" customWidth="1"/>
    <col min="5" max="16384" width="9" style="1938"/>
  </cols>
  <sheetData>
    <row r="1" spans="1:4" ht="18.75">
      <c r="A1" s="3040" t="s">
        <v>1662</v>
      </c>
      <c r="B1" s="3040"/>
      <c r="C1" s="3040"/>
      <c r="D1" s="3040"/>
    </row>
    <row r="2" spans="1:4" ht="18">
      <c r="A2" s="3041" t="s">
        <v>1646</v>
      </c>
      <c r="B2" s="3041"/>
      <c r="C2" s="3041"/>
      <c r="D2" s="3041"/>
    </row>
    <row r="3" spans="1:4" ht="18.75">
      <c r="A3" s="1970" t="s">
        <v>1647</v>
      </c>
      <c r="B3" s="1970" t="s">
        <v>1648</v>
      </c>
      <c r="C3" s="1970" t="s">
        <v>1649</v>
      </c>
      <c r="D3" s="1970" t="s">
        <v>1650</v>
      </c>
    </row>
    <row r="4" spans="1:4" ht="56.25" customHeight="1">
      <c r="A4" s="1971" t="str">
        <f>项目基本情况!B4</f>
        <v>欧红伟</v>
      </c>
      <c r="B4" s="1972">
        <f ca="1">项目基本情况!C4</f>
        <v>1120000080</v>
      </c>
      <c r="C4" s="1973"/>
      <c r="D4" s="1974" t="s">
        <v>1651</v>
      </c>
    </row>
    <row r="5" spans="1:4" ht="56.25" customHeight="1">
      <c r="A5" s="1971" t="str">
        <f>项目基本情况!D4</f>
        <v>崔锴</v>
      </c>
      <c r="B5" s="1972">
        <f ca="1">项目基本情况!E4</f>
        <v>1120100036</v>
      </c>
      <c r="C5" s="1975"/>
      <c r="D5" s="1974" t="s">
        <v>1651</v>
      </c>
    </row>
    <row r="6" spans="1:4" ht="18">
      <c r="A6" s="3041" t="s">
        <v>1652</v>
      </c>
      <c r="B6" s="3041"/>
      <c r="C6" s="3041"/>
      <c r="D6" s="3041"/>
    </row>
    <row r="7" spans="1:4" ht="18.75">
      <c r="A7" s="1970" t="s">
        <v>1647</v>
      </c>
      <c r="B7" s="1972" t="s">
        <v>1653</v>
      </c>
      <c r="C7" s="1970" t="s">
        <v>1649</v>
      </c>
      <c r="D7" s="1970" t="s">
        <v>1650</v>
      </c>
    </row>
    <row r="8" spans="1:4" ht="56.25" customHeight="1">
      <c r="A8" s="1976" t="s">
        <v>869</v>
      </c>
      <c r="B8" s="1976" t="s">
        <v>1</v>
      </c>
      <c r="C8" s="1973"/>
      <c r="D8" s="1974" t="s">
        <v>1651</v>
      </c>
    </row>
    <row r="9" spans="1:4">
      <c r="A9" s="726"/>
      <c r="B9" s="726"/>
      <c r="C9" s="726"/>
      <c r="D9" s="726"/>
    </row>
    <row r="10" spans="1:4" ht="18.75">
      <c r="A10" s="1977" t="s">
        <v>1654</v>
      </c>
      <c r="B10" s="726"/>
      <c r="C10" s="726"/>
      <c r="D10" s="726"/>
    </row>
    <row r="11" spans="1:4" ht="30" customHeight="1">
      <c r="A11" s="3042" t="s">
        <v>1655</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9"/>
      <c r="C12" s="3039"/>
      <c r="D12" s="3039"/>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9"/>
      <c r="C13" s="3039"/>
      <c r="D13" s="3039"/>
    </row>
    <row r="14" spans="1:4" ht="15.75" customHeight="1">
      <c r="A14" s="3034" t="str">
        <f>IF(项目基本情况!B8="抵押","4.本次评估估价师所知悉的法定优先受偿款情况说明如下：","——")</f>
        <v>4.本次评估估价师所知悉的法定优先受偿款情况说明如下：</v>
      </c>
      <c r="B14" s="3039"/>
      <c r="C14" s="3039"/>
      <c r="D14" s="3039"/>
    </row>
    <row r="15" spans="1:4" ht="42" customHeight="1">
      <c r="A15" s="3034"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4"/>
      <c r="C15" s="3034"/>
      <c r="D15" s="3034"/>
    </row>
    <row r="16" spans="1:4" ht="30" customHeight="1">
      <c r="A16" s="3036" t="s">
        <v>1656</v>
      </c>
      <c r="B16" s="3036"/>
      <c r="C16" s="3036"/>
      <c r="D16" s="3036"/>
    </row>
    <row r="17" spans="1:4" ht="144" customHeight="1">
      <c r="A17" s="3036" t="s">
        <v>1657</v>
      </c>
      <c r="B17" s="3036"/>
      <c r="C17" s="3036"/>
      <c r="D17" s="3036"/>
    </row>
    <row r="18" spans="1:4" ht="15.75" customHeight="1">
      <c r="A18" s="3034" t="str">
        <f>IF(项目基本情况!B8="抵押",结果表!K120,"——")</f>
        <v>故，本次评估不存在估价师知悉的法定优先受偿款</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4"/>
      <c r="C20" s="3034"/>
      <c r="D20" s="3034"/>
    </row>
    <row r="21" spans="1:4" ht="57.75" customHeight="1">
      <c r="A21" s="30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7"/>
      <c r="C21" s="3037"/>
      <c r="D21" s="3037"/>
    </row>
    <row r="22" spans="1:4" ht="18.75" customHeight="1">
      <c r="A22" s="3038" t="s">
        <v>1658</v>
      </c>
      <c r="B22" s="3038"/>
      <c r="C22" s="3038"/>
      <c r="D22" s="3038"/>
    </row>
    <row r="23" spans="1:4">
      <c r="A23" s="1978"/>
      <c r="B23" s="1950"/>
      <c r="C23" s="1950"/>
      <c r="D23" s="1950"/>
    </row>
    <row r="24" spans="1:4">
      <c r="A24" s="1978"/>
      <c r="B24" s="1950"/>
      <c r="C24" s="1950"/>
      <c r="D24" s="1950"/>
    </row>
    <row r="25" spans="1:4" ht="18.75">
      <c r="A25" s="1979" t="s">
        <v>1659</v>
      </c>
    </row>
    <row r="26" spans="1:4" ht="18">
      <c r="A26" s="1948"/>
    </row>
    <row r="27" spans="1:4" ht="18.75">
      <c r="A27" s="1948" t="s">
        <v>1660</v>
      </c>
    </row>
    <row r="30" spans="1:4" ht="18.75">
      <c r="D30" s="1979" t="s">
        <v>1661</v>
      </c>
    </row>
    <row r="31" spans="1:4" ht="13.5" customHeight="1">
      <c r="C31" s="3035">
        <v>42551</v>
      </c>
      <c r="D31" s="30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6" customWidth="1"/>
    <col min="3" max="10" width="12.5" style="1936" customWidth="1"/>
    <col min="11" max="16384" width="9" style="1936"/>
  </cols>
  <sheetData>
    <row r="1" spans="1:10" ht="18.75">
      <c r="A1" s="1969" t="s">
        <v>870</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1663</v>
      </c>
    </row>
    <row r="3" spans="1:7">
      <c r="A3" s="1984" t="s">
        <v>82</v>
      </c>
      <c r="B3" s="1968" t="s">
        <v>1664</v>
      </c>
      <c r="G3" s="1985"/>
    </row>
    <row r="4" spans="1:7">
      <c r="G4" s="1985"/>
    </row>
    <row r="5" spans="1:7">
      <c r="A5" s="1987" t="s">
        <v>73</v>
      </c>
      <c r="B5" s="1968" t="s">
        <v>1665</v>
      </c>
      <c r="G5" s="1985"/>
    </row>
    <row r="6" spans="1:7">
      <c r="G6" s="1985"/>
    </row>
    <row r="7" spans="1:7">
      <c r="A7" s="1988" t="s">
        <v>135</v>
      </c>
      <c r="B7" s="1968" t="s">
        <v>1666</v>
      </c>
      <c r="G7" s="1985"/>
    </row>
    <row r="8" spans="1:7">
      <c r="G8" s="1985"/>
    </row>
    <row r="9" spans="1:7">
      <c r="A9" s="1989" t="s">
        <v>74</v>
      </c>
      <c r="B9" s="1968" t="s">
        <v>1667</v>
      </c>
    </row>
    <row r="11" spans="1:7">
      <c r="A11" s="1990" t="s">
        <v>75</v>
      </c>
      <c r="B11" s="1991" t="s">
        <v>72</v>
      </c>
    </row>
    <row r="13" spans="1:7">
      <c r="A13" s="1992" t="s">
        <v>1668</v>
      </c>
    </row>
    <row r="15" spans="1:7" ht="13.5">
      <c r="A15" s="3048" t="s">
        <v>1669</v>
      </c>
      <c r="B15" s="3043" t="s">
        <v>136</v>
      </c>
      <c r="C15" s="3044"/>
    </row>
    <row r="16" spans="1:7" ht="13.5">
      <c r="A16" s="3049"/>
      <c r="B16" s="3043" t="s">
        <v>69</v>
      </c>
      <c r="C16" s="3044"/>
    </row>
    <row r="17" spans="1:3" ht="13.5">
      <c r="A17" s="3049"/>
      <c r="B17" s="3046" t="s">
        <v>1670</v>
      </c>
      <c r="C17" s="1993" t="s">
        <v>1669</v>
      </c>
    </row>
    <row r="18" spans="1:3" ht="13.5">
      <c r="A18" s="3049"/>
      <c r="B18" s="3046"/>
      <c r="C18" s="1993" t="s">
        <v>1671</v>
      </c>
    </row>
    <row r="19" spans="1:3" ht="13.5">
      <c r="A19" s="3049"/>
      <c r="B19" s="3046"/>
      <c r="C19" s="1993" t="s">
        <v>1672</v>
      </c>
    </row>
    <row r="20" spans="1:3" ht="13.5">
      <c r="A20" s="3050"/>
      <c r="B20" s="3045" t="s">
        <v>1673</v>
      </c>
      <c r="C20" s="3044"/>
    </row>
    <row r="21" spans="1:3" ht="13.5">
      <c r="A21" s="1994" t="s">
        <v>1674</v>
      </c>
      <c r="B21" s="1995"/>
      <c r="C21" s="1996"/>
    </row>
    <row r="22" spans="1:3" ht="13.5">
      <c r="A22" s="3047" t="s">
        <v>1675</v>
      </c>
      <c r="B22" s="3045" t="s">
        <v>1676</v>
      </c>
      <c r="C22" s="3044"/>
    </row>
    <row r="23" spans="1:3" ht="13.5">
      <c r="A23" s="3047"/>
      <c r="B23" s="3045" t="s">
        <v>1677</v>
      </c>
      <c r="C23" s="3044"/>
    </row>
    <row r="24" spans="1:3" ht="13.5">
      <c r="A24" s="3047"/>
      <c r="B24" s="3045" t="s">
        <v>1678</v>
      </c>
      <c r="C24" s="3044"/>
    </row>
    <row r="25" spans="1:3" ht="13.5">
      <c r="A25" s="3047"/>
      <c r="B25" s="3046" t="s">
        <v>1679</v>
      </c>
      <c r="C25" s="1993" t="s">
        <v>1680</v>
      </c>
    </row>
    <row r="26" spans="1:3" ht="13.5">
      <c r="A26" s="3047"/>
      <c r="B26" s="3046"/>
      <c r="C26" s="1993" t="s">
        <v>1681</v>
      </c>
    </row>
    <row r="27" spans="1:3" ht="13.5">
      <c r="A27" s="3047"/>
      <c r="B27" s="3046"/>
      <c r="C27" s="1993" t="s">
        <v>1682</v>
      </c>
    </row>
    <row r="28" spans="1:3" ht="13.5">
      <c r="A28" s="3047"/>
      <c r="B28" s="3046"/>
      <c r="C28" s="1993" t="s">
        <v>1683</v>
      </c>
    </row>
    <row r="29" spans="1:3" ht="13.5">
      <c r="A29" s="3047"/>
      <c r="B29" s="3046"/>
      <c r="C29" s="1993" t="s">
        <v>1684</v>
      </c>
    </row>
    <row r="30" spans="1:3" ht="13.5">
      <c r="A30" s="3047"/>
      <c r="B30" s="3046"/>
      <c r="C30" s="1993" t="s">
        <v>1685</v>
      </c>
    </row>
    <row r="31" spans="1:3" ht="13.5">
      <c r="A31" s="3047"/>
      <c r="B31" s="3046"/>
      <c r="C31" s="1993" t="s">
        <v>1686</v>
      </c>
    </row>
    <row r="32" spans="1:3" ht="13.5">
      <c r="A32" s="3047"/>
      <c r="B32" s="3046"/>
      <c r="C32" s="1993" t="s">
        <v>1687</v>
      </c>
    </row>
    <row r="33" spans="1:3" ht="13.5">
      <c r="A33" s="3047"/>
      <c r="B33" s="3046"/>
      <c r="C33" s="1993" t="s">
        <v>1688</v>
      </c>
    </row>
    <row r="34" spans="1:3">
      <c r="A34" s="1997" t="s">
        <v>76</v>
      </c>
    </row>
    <row r="37" spans="1:3">
      <c r="A37" s="1997" t="s">
        <v>1689</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43222</v>
      </c>
      <c r="C2" s="1015" t="s">
        <v>826</v>
      </c>
      <c r="D2" s="1015"/>
    </row>
    <row r="3" spans="1:6" ht="24" customHeight="1">
      <c r="A3" s="1016" t="s">
        <v>827</v>
      </c>
      <c r="B3" s="1017" t="s">
        <v>828</v>
      </c>
      <c r="C3" s="2332" t="s">
        <v>829</v>
      </c>
      <c r="D3" s="2335" t="s">
        <v>830</v>
      </c>
      <c r="E3" s="1018" t="s">
        <v>831</v>
      </c>
      <c r="F3" s="1017" t="s">
        <v>829</v>
      </c>
    </row>
    <row r="4" spans="1:6" ht="24" customHeight="1">
      <c r="A4" s="1695" t="s">
        <v>832</v>
      </c>
      <c r="B4" s="1018">
        <f ca="1">IF(C4&lt;B2,"已过期",1119970066)</f>
        <v>1119970066</v>
      </c>
      <c r="C4" s="2333">
        <v>43849</v>
      </c>
      <c r="D4" s="2336" t="s">
        <v>832</v>
      </c>
      <c r="E4" s="1018">
        <f ca="1">IF(F4&lt;B2,"已过期",96010014)</f>
        <v>96010014</v>
      </c>
      <c r="F4" s="1026">
        <v>47118</v>
      </c>
    </row>
    <row r="5" spans="1:6" ht="24" customHeight="1">
      <c r="A5" s="1695" t="s">
        <v>833</v>
      </c>
      <c r="B5" s="1018">
        <f ca="1">IF(C5&lt;B2,"已过期",1119970074)</f>
        <v>1119970074</v>
      </c>
      <c r="C5" s="2333">
        <v>43849</v>
      </c>
      <c r="D5" s="2336" t="s">
        <v>833</v>
      </c>
      <c r="E5" s="1018">
        <f ca="1">IF(F5&lt;B2,"已过期",2002110027)</f>
        <v>2002110027</v>
      </c>
      <c r="F5" s="1026">
        <v>46752</v>
      </c>
    </row>
    <row r="6" spans="1:6" ht="24" customHeight="1">
      <c r="A6" s="1695" t="s">
        <v>834</v>
      </c>
      <c r="B6" s="1018">
        <f ca="1">IF(C6&lt;B2,"已过期",1119970111)</f>
        <v>1119970111</v>
      </c>
      <c r="C6" s="2333">
        <v>43849</v>
      </c>
      <c r="D6" s="2336" t="s">
        <v>834</v>
      </c>
      <c r="E6" s="1018">
        <f ca="1">IF(F6&lt;B2,"已过期",94010078)</f>
        <v>94010078</v>
      </c>
      <c r="F6" s="1026">
        <v>46387</v>
      </c>
    </row>
    <row r="7" spans="1:6" ht="24" customHeight="1">
      <c r="A7" s="1695" t="s">
        <v>835</v>
      </c>
      <c r="B7" s="1018">
        <f ca="1">IF(C7&lt;B2,"已过期",1120050019)</f>
        <v>1120050019</v>
      </c>
      <c r="C7" s="2333">
        <v>43359</v>
      </c>
      <c r="D7" s="2336" t="s">
        <v>835</v>
      </c>
      <c r="E7" s="1018">
        <f ca="1">IF(F7&lt;B2,"已过期",2002110030)</f>
        <v>2002110030</v>
      </c>
      <c r="F7" s="1026">
        <v>46387</v>
      </c>
    </row>
    <row r="8" spans="1:6" ht="24" customHeight="1">
      <c r="A8" s="1695" t="s">
        <v>836</v>
      </c>
      <c r="B8" s="1018">
        <f ca="1">IF(C8&lt;B2,"已过期",1120000080)</f>
        <v>1120000080</v>
      </c>
      <c r="C8" s="2333">
        <v>43849</v>
      </c>
      <c r="D8" s="2336" t="s">
        <v>836</v>
      </c>
      <c r="E8" s="1018">
        <f ca="1">IF(F8&lt;B2,"已过期",2000110082)</f>
        <v>2000110082</v>
      </c>
      <c r="F8" s="1026">
        <v>46387</v>
      </c>
    </row>
    <row r="9" spans="1:6" ht="24" customHeight="1">
      <c r="A9" s="1695" t="s">
        <v>837</v>
      </c>
      <c r="B9" s="1018">
        <f ca="1">IF(C9&lt;B2,"已过期",1419970001)</f>
        <v>1419970001</v>
      </c>
      <c r="C9" s="2333">
        <v>43867</v>
      </c>
      <c r="D9" s="2336" t="s">
        <v>837</v>
      </c>
      <c r="E9" s="1018">
        <f ca="1">IF(F9&lt;B2,"已过期",2002110125)</f>
        <v>2002110125</v>
      </c>
      <c r="F9" s="1026">
        <v>47118</v>
      </c>
    </row>
    <row r="10" spans="1:6" ht="24" customHeight="1">
      <c r="A10" s="1695" t="s">
        <v>838</v>
      </c>
      <c r="B10" s="1018">
        <f ca="1">IF(C10&lt;B2,"已过期",1120060040)</f>
        <v>1120060040</v>
      </c>
      <c r="C10" s="2333">
        <v>43483</v>
      </c>
      <c r="D10" s="2336" t="s">
        <v>838</v>
      </c>
      <c r="E10" s="1018">
        <f ca="1">IF(F10&lt;B2,"已过期",2004110096)</f>
        <v>2004110096</v>
      </c>
      <c r="F10" s="1026">
        <v>47118</v>
      </c>
    </row>
    <row r="11" spans="1:6" ht="24" customHeight="1">
      <c r="A11" s="1695" t="s">
        <v>839</v>
      </c>
      <c r="B11" s="1018">
        <f ca="1">IF(C11&lt;B2,"已过期",1120100036)</f>
        <v>1120100036</v>
      </c>
      <c r="C11" s="2333">
        <v>43622</v>
      </c>
      <c r="D11" s="2336" t="s">
        <v>839</v>
      </c>
      <c r="E11" s="1018">
        <f ca="1">IF(F11&lt;B2,"已过期",2010110070)</f>
        <v>2010110070</v>
      </c>
      <c r="F11" s="1026">
        <v>47907</v>
      </c>
    </row>
    <row r="12" spans="1:6" ht="24" customHeight="1">
      <c r="A12" s="1695"/>
      <c r="B12" s="1018"/>
      <c r="C12" s="2333"/>
      <c r="D12" s="2336"/>
      <c r="E12" s="1018"/>
      <c r="F12" s="1018"/>
    </row>
    <row r="13" spans="1:6" ht="24" customHeight="1">
      <c r="A13" s="1695" t="s">
        <v>840</v>
      </c>
      <c r="B13" s="1018">
        <f ca="1">IF(C13&lt;B2,"已过期",1120070131)</f>
        <v>1120070131</v>
      </c>
      <c r="C13" s="2333">
        <v>43814</v>
      </c>
      <c r="D13" s="2336" t="s">
        <v>840</v>
      </c>
      <c r="E13" s="1018">
        <v>2014110011</v>
      </c>
      <c r="F13" s="1026">
        <v>49302</v>
      </c>
    </row>
    <row r="14" spans="1:6" ht="24" customHeight="1">
      <c r="A14" s="1695" t="s">
        <v>841</v>
      </c>
      <c r="B14" s="1018">
        <f ca="1">IF(C14&lt;B2,"已过期",1120130020)</f>
        <v>1120130020</v>
      </c>
      <c r="C14" s="2333">
        <v>43622</v>
      </c>
      <c r="D14" s="2336"/>
      <c r="E14" s="1018"/>
      <c r="F14" s="1018"/>
    </row>
    <row r="15" spans="1:6" ht="24" customHeight="1">
      <c r="A15" s="1696" t="s">
        <v>1149</v>
      </c>
      <c r="B15" s="1018">
        <v>1120070085</v>
      </c>
      <c r="C15" s="2333">
        <v>43814</v>
      </c>
      <c r="D15" s="2337" t="s">
        <v>1149</v>
      </c>
      <c r="E15" s="1018">
        <v>2004110128</v>
      </c>
      <c r="F15" s="1019">
        <v>47118</v>
      </c>
    </row>
    <row r="16" spans="1:6" ht="24" customHeight="1">
      <c r="A16" s="1695" t="s">
        <v>842</v>
      </c>
      <c r="B16" s="1018">
        <f ca="1">IF(C16&lt;B2,"已过期",1120140022)</f>
        <v>1120140022</v>
      </c>
      <c r="C16" s="2333">
        <v>44029</v>
      </c>
      <c r="D16" s="2336" t="s">
        <v>842</v>
      </c>
      <c r="E16" s="1018">
        <f ca="1">IF(F16&lt;B2,"已过期",2008110059)</f>
        <v>2008110059</v>
      </c>
      <c r="F16" s="1026">
        <v>47177</v>
      </c>
    </row>
    <row r="17" spans="1:7" ht="24" customHeight="1">
      <c r="A17" s="1695"/>
      <c r="B17" s="1018"/>
      <c r="C17" s="2333"/>
      <c r="D17" s="2336"/>
      <c r="E17" s="1018"/>
      <c r="F17" s="1026"/>
    </row>
    <row r="18" spans="1:7" ht="24" customHeight="1">
      <c r="A18" s="1695"/>
      <c r="B18" s="1018"/>
      <c r="C18" s="2333"/>
      <c r="D18" s="2336"/>
      <c r="E18" s="1018"/>
      <c r="F18" s="1026"/>
    </row>
    <row r="19" spans="1:7" ht="24" customHeight="1">
      <c r="A19" s="1695"/>
      <c r="B19" s="1018"/>
      <c r="C19" s="2333"/>
      <c r="D19" s="2336"/>
      <c r="E19" s="1018"/>
      <c r="F19" s="1018"/>
    </row>
    <row r="20" spans="1:7" ht="24" customHeight="1">
      <c r="A20" s="1695"/>
      <c r="B20" s="1018"/>
      <c r="C20" s="2333"/>
      <c r="D20" s="2336"/>
      <c r="E20" s="1018"/>
      <c r="F20" s="1018"/>
    </row>
    <row r="21" spans="1:7" ht="24" customHeight="1">
      <c r="A21" s="1695"/>
      <c r="B21" s="1018"/>
      <c r="C21" s="2333"/>
      <c r="D21" s="2336" t="s">
        <v>843</v>
      </c>
      <c r="E21" s="1018">
        <f ca="1">IF(F21&lt;B2,"已过期",2011110090)</f>
        <v>2011110090</v>
      </c>
      <c r="F21" s="1026">
        <v>48302</v>
      </c>
    </row>
    <row r="22" spans="1:7" ht="24" customHeight="1">
      <c r="A22" s="1695" t="s">
        <v>844</v>
      </c>
      <c r="B22" s="1018">
        <f ca="1">IF(C22&lt;B2,"已过期",1120020033)</f>
        <v>1120020033</v>
      </c>
      <c r="C22" s="2333">
        <v>43304</v>
      </c>
      <c r="D22" s="2336" t="s">
        <v>844</v>
      </c>
      <c r="E22" s="1018">
        <f ca="1">IF(F22&lt;B2,"已过期",2000110137)</f>
        <v>2000110137</v>
      </c>
      <c r="F22" s="1026">
        <v>46387</v>
      </c>
    </row>
    <row r="23" spans="1:7" ht="24" customHeight="1">
      <c r="A23" s="1695" t="s">
        <v>845</v>
      </c>
      <c r="B23" s="1018">
        <f ca="1">IF(C23&lt;B2,"已过期",1120130048)</f>
        <v>1120130048</v>
      </c>
      <c r="C23" s="2333">
        <v>43686</v>
      </c>
      <c r="D23" s="2336"/>
      <c r="E23" s="1018"/>
      <c r="F23" s="1018"/>
    </row>
    <row r="24" spans="1:7" s="1020" customFormat="1" ht="24" customHeight="1">
      <c r="A24" s="1696" t="s">
        <v>1333</v>
      </c>
      <c r="B24" s="1696" t="s">
        <v>1333</v>
      </c>
      <c r="C24" s="2334" t="s">
        <v>1333</v>
      </c>
      <c r="D24" s="2337" t="s">
        <v>1333</v>
      </c>
      <c r="E24" s="1696" t="s">
        <v>1333</v>
      </c>
      <c r="F24" s="1696" t="s">
        <v>1333</v>
      </c>
    </row>
    <row r="25" spans="1:7" ht="24" customHeight="1">
      <c r="A25" s="3051" t="s">
        <v>846</v>
      </c>
      <c r="B25" s="3051"/>
      <c r="C25" s="3051"/>
      <c r="D25" s="3051"/>
      <c r="E25" s="3051"/>
      <c r="F25" s="3051"/>
      <c r="G25" s="3051"/>
    </row>
    <row r="26" spans="1:7" s="1021" customFormat="1" ht="24" customHeight="1">
      <c r="A26" s="3052" t="s">
        <v>847</v>
      </c>
      <c r="B26" s="3052"/>
      <c r="C26" s="3053"/>
      <c r="D26" s="3054" t="s">
        <v>848</v>
      </c>
      <c r="E26" s="3052"/>
      <c r="F26" s="3052"/>
    </row>
    <row r="27" spans="1:7" s="1023" customFormat="1" ht="24" customHeight="1">
      <c r="A27" s="1022" t="s">
        <v>849</v>
      </c>
      <c r="B27" s="1017" t="s">
        <v>850</v>
      </c>
      <c r="C27" s="2332" t="s">
        <v>851</v>
      </c>
      <c r="D27" s="2340" t="s">
        <v>849</v>
      </c>
      <c r="E27" s="1017" t="s">
        <v>850</v>
      </c>
      <c r="F27" s="1017" t="s">
        <v>851</v>
      </c>
    </row>
    <row r="28" spans="1:7" s="1023" customFormat="1" ht="24" customHeight="1">
      <c r="A28" s="1024" t="s">
        <v>852</v>
      </c>
      <c r="B28" s="1025" t="s">
        <v>853</v>
      </c>
      <c r="C28" s="2338">
        <v>43725</v>
      </c>
      <c r="D28" s="2341" t="s">
        <v>854</v>
      </c>
      <c r="E28" s="1024" t="s">
        <v>855</v>
      </c>
      <c r="F28" s="1053">
        <v>44377</v>
      </c>
    </row>
    <row r="29" spans="1:7" s="1023" customFormat="1" ht="24" customHeight="1">
      <c r="A29" s="1024"/>
      <c r="B29" s="1024"/>
      <c r="C29" s="2339"/>
      <c r="D29" s="2341" t="s">
        <v>856</v>
      </c>
      <c r="E29" s="1197" t="s">
        <v>1384</v>
      </c>
      <c r="F29" s="1198">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土地比较法-住宅、综合</vt:lpstr>
      <vt:lpstr>成本法 (元)</vt:lpstr>
      <vt:lpstr>假设开发法</vt:lpstr>
      <vt:lpstr>收益法（汇总）</vt:lpstr>
      <vt:lpstr>收益法-工业</vt:lpstr>
      <vt:lpstr>收益法 (元)</vt:lpstr>
      <vt:lpstr>酒店收入计算</vt:lpstr>
      <vt:lpstr>比较法-住宅</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比较法-商业</vt:lpstr>
      <vt:lpstr>收益法-车库</vt:lpstr>
      <vt:lpstr>收益法-办公</vt:lpstr>
      <vt:lpstr>土地案例+位置图</vt:lpstr>
      <vt:lpstr>租金</vt:lpstr>
      <vt:lpstr>Sheet1</vt:lpstr>
      <vt:lpstr>估价师及机构信息!Print_Area</vt:lpstr>
      <vt:lpstr>'收益法 (元)'!Print_Area</vt:lpstr>
      <vt:lpstr>'收益法-办公'!Print_Area</vt:lpstr>
      <vt:lpstr>'收益法-车库'!Print_Area</vt:lpstr>
      <vt:lpstr>'收益法-工业'!Print_Area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2018-04-16T08:46:23Z</cp:lastPrinted>
  <dcterms:created xsi:type="dcterms:W3CDTF">2015-07-13T07:17:23Z</dcterms:created>
  <dcterms:modified xsi:type="dcterms:W3CDTF">2018-05-02T10:28:48Z</dcterms:modified>
</cp:coreProperties>
</file>