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不动产权证" sheetId="77" r:id="rId45"/>
    <sheet name="案例" sheetId="78" r:id="rId46"/>
    <sheet name="政策" sheetId="79" r:id="rId47"/>
    <sheet name="建安取值"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9" i="80" l="1"/>
  <c r="K20" i="80"/>
  <c r="K21" i="80"/>
  <c r="K22" i="80"/>
  <c r="K23" i="80"/>
  <c r="K24" i="80"/>
  <c r="K25" i="80"/>
  <c r="K26" i="80"/>
  <c r="K27" i="80"/>
  <c r="K28" i="80"/>
  <c r="K29" i="80"/>
  <c r="K30" i="80"/>
  <c r="K31" i="80"/>
  <c r="K32" i="80"/>
  <c r="K33" i="80"/>
  <c r="K18" i="80"/>
  <c r="F34" i="80"/>
  <c r="K34" i="80" l="1"/>
  <c r="L34" i="80" s="1"/>
  <c r="N6" i="1"/>
  <c r="C6" i="68"/>
  <c r="I41" i="40"/>
  <c r="G41" i="40"/>
  <c r="E41" i="40"/>
  <c r="O26" i="78"/>
  <c r="O44" i="78"/>
  <c r="O10" i="78"/>
  <c r="E109" i="40" l="1"/>
  <c r="F109" i="40" s="1"/>
  <c r="G109" i="40" s="1"/>
  <c r="H109" i="40" s="1"/>
  <c r="I109" i="40" s="1"/>
  <c r="D109" i="40"/>
  <c r="E108" i="40"/>
  <c r="F108" i="40" s="1"/>
  <c r="G108" i="40" s="1"/>
  <c r="H108" i="40" s="1"/>
  <c r="I108" i="40" s="1"/>
  <c r="D108" i="40"/>
  <c r="I34" i="40"/>
  <c r="G34" i="40"/>
  <c r="E34" i="40"/>
  <c r="C34" i="40"/>
  <c r="E75" i="40"/>
  <c r="F75" i="40" s="1"/>
  <c r="G75" i="40" s="1"/>
  <c r="H75" i="40" s="1"/>
  <c r="I75" i="40" s="1"/>
  <c r="D75" i="40"/>
  <c r="E66" i="40"/>
  <c r="F66" i="40" s="1"/>
  <c r="G66" i="40" s="1"/>
  <c r="H66" i="40" s="1"/>
  <c r="I66" i="40" s="1"/>
  <c r="J66" i="40" s="1"/>
  <c r="K66" i="40" s="1"/>
  <c r="L66" i="40" s="1"/>
  <c r="M66" i="40" s="1"/>
  <c r="N66" i="40" s="1"/>
  <c r="O66" i="40" s="1"/>
  <c r="D66" i="40"/>
  <c r="Y6" i="1"/>
  <c r="F19" i="6"/>
  <c r="I14" i="3"/>
  <c r="I15" i="3"/>
  <c r="I16" i="3"/>
  <c r="I17" i="3"/>
  <c r="I18" i="3"/>
  <c r="I19" i="3"/>
  <c r="I20" i="3"/>
  <c r="I21" i="3"/>
  <c r="I22" i="3"/>
  <c r="I23" i="3"/>
  <c r="I24" i="3"/>
  <c r="I25" i="3"/>
  <c r="I26" i="3"/>
  <c r="I27" i="3"/>
  <c r="I28" i="3"/>
  <c r="I13" i="3"/>
  <c r="C28" i="3"/>
  <c r="C14" i="3"/>
  <c r="C15" i="3"/>
  <c r="C16" i="3"/>
  <c r="C17" i="3"/>
  <c r="C18" i="3"/>
  <c r="C19" i="3"/>
  <c r="C20" i="3"/>
  <c r="C21" i="3"/>
  <c r="C22" i="3"/>
  <c r="C23" i="3"/>
  <c r="C24" i="3"/>
  <c r="C25" i="3"/>
  <c r="C26" i="3"/>
  <c r="C27" i="3"/>
  <c r="C13" i="3"/>
  <c r="I7" i="40"/>
  <c r="G7" i="40"/>
  <c r="E7" i="40"/>
  <c r="I5" i="40"/>
  <c r="G5" i="40"/>
  <c r="E5" i="40"/>
  <c r="K28" i="77" l="1"/>
  <c r="F29"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B61" i="72" s="1"/>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G5" i="3" s="1"/>
  <c r="B3"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S11" i="39"/>
  <c r="G4" i="4"/>
  <c r="I4" i="4"/>
  <c r="K5" i="4"/>
  <c r="B47" i="48"/>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s="1"/>
  <c r="S31" i="39"/>
  <c r="S11" i="40"/>
  <c r="E98" i="40"/>
  <c r="F98" i="40" s="1"/>
  <c r="G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AC36" i="40"/>
  <c r="W38" i="40"/>
  <c r="AA32" i="40"/>
  <c r="AC15" i="40"/>
  <c r="AB27" i="40"/>
  <c r="S30" i="40"/>
  <c r="AA19"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G30" i="6"/>
  <c r="G31" i="6" s="1"/>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c r="K7" i="1"/>
  <c r="M7" i="1" s="1"/>
  <c r="O7" i="1" s="1"/>
  <c r="G1" i="15"/>
  <c r="G1" i="69"/>
  <c r="G1" i="67"/>
  <c r="U32" i="40"/>
  <c r="AB31" i="40"/>
  <c r="S37" i="40"/>
  <c r="W34" i="40"/>
  <c r="W19" i="40"/>
  <c r="W27" i="40"/>
  <c r="S36" i="40"/>
  <c r="W37" i="40"/>
  <c r="AC14" i="40"/>
  <c r="S13" i="40"/>
  <c r="S33" i="40"/>
  <c r="AA15"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T11" i="1"/>
  <c r="D9" i="69"/>
  <c r="C9" i="69" s="1"/>
  <c r="D19" i="12"/>
  <c r="C19" i="12" s="1"/>
  <c r="AQ9" i="1"/>
  <c r="AR11" i="1"/>
  <c r="E30" i="6"/>
  <c r="K15" i="1"/>
  <c r="T9" i="1"/>
  <c r="T13" i="1"/>
  <c r="E565" i="3"/>
  <c r="E183" i="3"/>
  <c r="E213" i="3"/>
  <c r="E361" i="3"/>
  <c r="E17" i="3"/>
  <c r="E503" i="3"/>
  <c r="E302" i="3"/>
  <c r="C77" i="9"/>
  <c r="C74" i="9" s="1"/>
  <c r="D9" i="68"/>
  <c r="C9" i="68" s="1"/>
  <c r="S7" i="1"/>
  <c r="T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E583" i="3"/>
  <c r="AA6" i="3"/>
  <c r="X6" i="3"/>
  <c r="E399" i="3"/>
  <c r="E336" i="3"/>
  <c r="E280" i="3"/>
  <c r="E246" i="3"/>
  <c r="E124" i="3"/>
  <c r="E293" i="3"/>
  <c r="K14" i="1"/>
  <c r="M14" i="1" s="1"/>
  <c r="O14" i="1" s="1"/>
  <c r="E311" i="3"/>
  <c r="E358" i="3"/>
  <c r="E514" i="3"/>
  <c r="E559" i="3"/>
  <c r="E570" i="3"/>
  <c r="E55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E48" i="35"/>
  <c r="E59" i="34"/>
  <c r="F59" i="34"/>
  <c r="C65" i="40"/>
  <c r="D63" i="40"/>
  <c r="E63" i="40" s="1"/>
  <c r="L27" i="6"/>
  <c r="AP7" i="1"/>
  <c r="Q16" i="1"/>
  <c r="F27"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R7" i="1"/>
  <c r="C13" i="12"/>
  <c r="F34" i="11"/>
  <c r="F11" i="12"/>
  <c r="F34" i="68"/>
  <c r="F63" i="40"/>
  <c r="E65" i="40"/>
  <c r="R8" i="1"/>
  <c r="G63" i="40"/>
  <c r="G65" i="40" s="1"/>
  <c r="F65" i="40"/>
  <c r="H63" i="40"/>
  <c r="I63" i="40" s="1"/>
  <c r="H65" i="40"/>
  <c r="C34" i="69"/>
  <c r="C38" i="69" s="1"/>
  <c r="AE7" i="1"/>
  <c r="AE8" i="1"/>
  <c r="AG6" i="1"/>
  <c r="H109" i="9"/>
  <c r="D124" i="9" s="1"/>
  <c r="H110" i="9"/>
  <c r="D18" i="53" s="1"/>
  <c r="B35" i="72" s="1"/>
  <c r="D16" i="53"/>
  <c r="B34" i="72" s="1"/>
  <c r="J7" i="33"/>
  <c r="F7" i="33"/>
  <c r="S7" i="33" s="1"/>
  <c r="H7" i="33"/>
  <c r="AB7" i="33" s="1"/>
  <c r="T48" i="33"/>
  <c r="G48" i="33" s="1"/>
  <c r="G52" i="33" s="1"/>
  <c r="H52" i="33" s="1"/>
  <c r="U7" i="33"/>
  <c r="H112" i="9"/>
  <c r="D21" i="53" s="1"/>
  <c r="B39" i="72" s="1"/>
  <c r="H111" i="9"/>
  <c r="D126" i="9"/>
  <c r="I14" i="74" s="1"/>
  <c r="B8" i="74" s="1"/>
  <c r="D19" i="53"/>
  <c r="D59" i="9"/>
  <c r="M55" i="9"/>
  <c r="B38" i="72"/>
  <c r="D20" i="53"/>
  <c r="B40" i="72"/>
  <c r="AD3" i="71"/>
  <c r="D6" i="73"/>
  <c r="D2" i="33"/>
  <c r="J15" i="15"/>
  <c r="M8" i="67"/>
  <c r="M26" i="15"/>
  <c r="M29" i="67"/>
  <c r="F8" i="15"/>
  <c r="M23" i="15"/>
  <c r="F5" i="73"/>
  <c r="B13" i="76"/>
  <c r="E12" i="76"/>
  <c r="F26" i="15"/>
  <c r="AO12" i="1"/>
  <c r="F3" i="73"/>
  <c r="D5" i="73"/>
  <c r="C76" i="67"/>
  <c r="M6" i="67"/>
  <c r="M27" i="67"/>
  <c r="F36" i="15"/>
  <c r="M23" i="67"/>
  <c r="D3" i="73"/>
  <c r="F4" i="73"/>
  <c r="E9" i="76"/>
  <c r="AO10" i="1"/>
  <c r="F40" i="15"/>
  <c r="D35" i="9"/>
  <c r="F16" i="67"/>
  <c r="F9" i="67"/>
  <c r="M8" i="15"/>
  <c r="F42" i="15"/>
  <c r="AO7" i="1"/>
  <c r="E10" i="76"/>
  <c r="M27" i="15"/>
  <c r="M24" i="15"/>
  <c r="D4" i="73"/>
  <c r="F7" i="15"/>
  <c r="L47" i="67"/>
  <c r="L48" i="15"/>
  <c r="F7" i="67"/>
  <c r="F6" i="73"/>
  <c r="B9" i="76"/>
  <c r="M29" i="15"/>
  <c r="B11" i="76"/>
  <c r="L48" i="67"/>
  <c r="E7" i="76"/>
  <c r="D2" i="37"/>
  <c r="F40" i="67"/>
  <c r="D2" i="21"/>
  <c r="F36" i="67"/>
  <c r="F9" i="15"/>
  <c r="F7" i="73"/>
  <c r="AO9" i="1"/>
  <c r="F35" i="67"/>
  <c r="F13" i="67"/>
  <c r="L47" i="15"/>
  <c r="D2" i="35"/>
  <c r="E13" i="76"/>
  <c r="M9" i="67"/>
  <c r="B12" i="76"/>
  <c r="M28" i="67"/>
  <c r="B8" i="76"/>
  <c r="D2" i="34"/>
  <c r="C76" i="15"/>
  <c r="F37" i="67"/>
  <c r="F38" i="15"/>
  <c r="F20" i="31"/>
  <c r="M6" i="15"/>
  <c r="F37" i="15"/>
  <c r="F13" i="15"/>
  <c r="E8" i="76"/>
  <c r="AO8" i="1"/>
  <c r="M28" i="15"/>
  <c r="B10" i="76"/>
  <c r="F26" i="67"/>
  <c r="C14" i="15"/>
  <c r="F16" i="15"/>
  <c r="E11" i="76"/>
  <c r="F6" i="15"/>
  <c r="AO13" i="1"/>
  <c r="F43" i="67"/>
  <c r="AO11" i="1"/>
  <c r="F38" i="67"/>
  <c r="F6" i="67"/>
  <c r="E2" i="68"/>
  <c r="E2" i="69"/>
  <c r="D2" i="36"/>
  <c r="D7" i="73"/>
  <c r="F41" i="67"/>
  <c r="B7" i="76"/>
  <c r="F8" i="67"/>
  <c r="M22" i="67"/>
  <c r="M24" i="67"/>
  <c r="M21" i="67"/>
  <c r="F42" i="67"/>
  <c r="F43" i="15"/>
  <c r="J15" i="67"/>
  <c r="M9" i="15"/>
  <c r="M22" i="15"/>
  <c r="M26" i="67"/>
  <c r="D34" i="9"/>
  <c r="C36" i="69" l="1"/>
  <c r="D10" i="52"/>
  <c r="D125" i="9"/>
  <c r="D11" i="52" s="1"/>
  <c r="H14" i="74"/>
  <c r="B7" i="74" s="1"/>
  <c r="D12" i="52"/>
  <c r="D127" i="9"/>
  <c r="D13" i="52" s="1"/>
  <c r="D17" i="53"/>
  <c r="B36" i="72" s="1"/>
  <c r="J53" i="15"/>
  <c r="Q52" i="15" s="1"/>
  <c r="U35" i="40"/>
  <c r="W35" i="40"/>
  <c r="W32" i="40"/>
  <c r="AC32" i="40"/>
  <c r="AB33" i="40"/>
  <c r="J28" i="40"/>
  <c r="H28" i="40"/>
  <c r="U28" i="40" s="1"/>
  <c r="F28" i="40"/>
  <c r="AA28" i="40" s="1"/>
  <c r="H98" i="40"/>
  <c r="I98" i="40" s="1"/>
  <c r="J98" i="40" s="1"/>
  <c r="K98" i="40" s="1"/>
  <c r="L98" i="40" s="1"/>
  <c r="M98" i="40" s="1"/>
  <c r="S28" i="40"/>
  <c r="U25" i="40"/>
  <c r="W25" i="40"/>
  <c r="S25" i="40"/>
  <c r="G92" i="40"/>
  <c r="J23" i="40"/>
  <c r="AC23" i="40" s="1"/>
  <c r="H23" i="40"/>
  <c r="F23" i="40"/>
  <c r="AA23" i="40" s="1"/>
  <c r="W23" i="40"/>
  <c r="S23" i="40"/>
  <c r="F90" i="40"/>
  <c r="G90" i="40" s="1"/>
  <c r="F21" i="40"/>
  <c r="J21" i="40"/>
  <c r="H21" i="40"/>
  <c r="AB19" i="40"/>
  <c r="F86" i="40"/>
  <c r="G86" i="40" s="1"/>
  <c r="J17" i="40"/>
  <c r="W17" i="40" s="1"/>
  <c r="H17" i="40"/>
  <c r="F17" i="40"/>
  <c r="AC17" i="40"/>
  <c r="S14" i="40"/>
  <c r="AC11" i="40"/>
  <c r="C94" i="9"/>
  <c r="C92" i="9"/>
  <c r="F32" i="15"/>
  <c r="F60" i="15" s="1"/>
  <c r="F31" i="12"/>
  <c r="C31" i="12" s="1"/>
  <c r="F32" i="67"/>
  <c r="F60" i="67" s="1"/>
  <c r="F30" i="11"/>
  <c r="C48" i="11" s="1"/>
  <c r="F54" i="9"/>
  <c r="M18" i="15"/>
  <c r="F30" i="69"/>
  <c r="C48" i="69" s="1"/>
  <c r="F28" i="67"/>
  <c r="C28" i="67" s="1"/>
  <c r="F30" i="68"/>
  <c r="C30" i="68" s="1"/>
  <c r="C36" i="68"/>
  <c r="C36" i="11"/>
  <c r="D68" i="9"/>
  <c r="C30" i="69"/>
  <c r="C48" i="68"/>
  <c r="F28" i="15"/>
  <c r="C28" i="15" s="1"/>
  <c r="M18" i="67"/>
  <c r="F52" i="9"/>
  <c r="C40" i="68"/>
  <c r="C40" i="69"/>
  <c r="C47" i="69"/>
  <c r="D45" i="69" s="1"/>
  <c r="H16" i="1"/>
  <c r="K16" i="1"/>
  <c r="AQ7" i="1"/>
  <c r="E59" i="40"/>
  <c r="M16" i="1"/>
  <c r="N16" i="1" s="1"/>
  <c r="F50" i="11" s="1"/>
  <c r="BL5" i="3"/>
  <c r="F28" i="12"/>
  <c r="C29" i="12" s="1"/>
  <c r="D28" i="12" s="1"/>
  <c r="AZ14" i="3"/>
  <c r="AZ15" i="3"/>
  <c r="AZ22" i="3"/>
  <c r="AZ25" i="3"/>
  <c r="P7" i="1"/>
  <c r="P6" i="1"/>
  <c r="F27" i="11"/>
  <c r="F27" i="68"/>
  <c r="C29" i="68" s="1"/>
  <c r="D27" i="68" s="1"/>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237" i="3"/>
  <c r="E261" i="3"/>
  <c r="E304" i="3"/>
  <c r="E528" i="3"/>
  <c r="BA5" i="3"/>
  <c r="E27" i="6" s="1"/>
  <c r="E31" i="6" s="1"/>
  <c r="AZ18" i="3"/>
  <c r="AZ5" i="3" s="1"/>
  <c r="E13"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O9" i="1"/>
  <c r="P9" i="1" s="1"/>
  <c r="E60" i="40"/>
  <c r="E65" i="39"/>
  <c r="O8" i="1"/>
  <c r="P8" i="1" s="1"/>
  <c r="P14" i="1"/>
  <c r="P11" i="1"/>
  <c r="K21" i="6"/>
  <c r="M21" i="6" s="1"/>
  <c r="I21" i="6" s="1"/>
  <c r="O12" i="1"/>
  <c r="P12" i="1" s="1"/>
  <c r="G16" i="1"/>
  <c r="J10" i="39"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10" i="40"/>
  <c r="AA10" i="40" s="1"/>
  <c r="S10" i="40"/>
  <c r="AA7" i="33"/>
  <c r="R48" i="33" s="1"/>
  <c r="W7" i="33"/>
  <c r="AC7" i="33"/>
  <c r="V48" i="33" s="1"/>
  <c r="I48" i="33" s="1"/>
  <c r="I65" i="40"/>
  <c r="J63" i="40"/>
  <c r="H10" i="40"/>
  <c r="J10" i="40"/>
  <c r="G59" i="34"/>
  <c r="G52" i="37"/>
  <c r="E46" i="36"/>
  <c r="D58" i="21"/>
  <c r="F48" i="35"/>
  <c r="C70" i="39"/>
  <c r="D68" i="39"/>
  <c r="C34" i="11"/>
  <c r="D23" i="67"/>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67"/>
  <c r="F59" i="15"/>
  <c r="F59" i="67"/>
  <c r="M17" i="67"/>
  <c r="F31" i="67"/>
  <c r="C17" i="67"/>
  <c r="C14" i="67"/>
  <c r="C16" i="15"/>
  <c r="F31" i="15"/>
  <c r="G1" i="73"/>
  <c r="C17" i="15"/>
  <c r="M17" i="15"/>
  <c r="K4" i="4" l="1"/>
  <c r="B46" i="48" s="1"/>
  <c r="B4" i="72" s="1"/>
  <c r="B4" i="62"/>
  <c r="B71" i="72" s="1"/>
  <c r="D22" i="43"/>
  <c r="F1" i="15"/>
  <c r="AB28" i="40"/>
  <c r="AC28" i="40"/>
  <c r="W28" i="40"/>
  <c r="AB23" i="40"/>
  <c r="U23" i="40"/>
  <c r="AB21" i="40"/>
  <c r="U21" i="40"/>
  <c r="AA21" i="40"/>
  <c r="S21" i="40"/>
  <c r="W21" i="40"/>
  <c r="AC21" i="40"/>
  <c r="AA17" i="40"/>
  <c r="S17" i="40"/>
  <c r="U17" i="40"/>
  <c r="AB17" i="40"/>
  <c r="C30" i="11"/>
  <c r="F50" i="68"/>
  <c r="H10" i="39"/>
  <c r="F10" i="39"/>
  <c r="C47" i="68"/>
  <c r="D45" i="68" s="1"/>
  <c r="F50" i="69"/>
  <c r="E16" i="6"/>
  <c r="L16" i="1"/>
  <c r="C47" i="11"/>
  <c r="D45" i="11" s="1"/>
  <c r="C29" i="11"/>
  <c r="D27" i="11" s="1"/>
  <c r="AY6" i="3"/>
  <c r="E3" i="6"/>
  <c r="E62" i="39"/>
  <c r="E57" i="40"/>
  <c r="K20" i="6"/>
  <c r="M20" i="6" s="1"/>
  <c r="I20" i="6" s="1"/>
  <c r="S20" i="6" s="1"/>
  <c r="K19" i="6"/>
  <c r="S6" i="1" s="1"/>
  <c r="K25" i="6"/>
  <c r="M25" i="6" s="1"/>
  <c r="I25" i="6" s="1"/>
  <c r="S25" i="6" s="1"/>
  <c r="K24" i="6"/>
  <c r="M24" i="6" s="1"/>
  <c r="I24" i="6" s="1"/>
  <c r="S24" i="6" s="1"/>
  <c r="K26" i="6"/>
  <c r="M26" i="6" s="1"/>
  <c r="I26" i="6" s="1"/>
  <c r="S26" i="6" s="1"/>
  <c r="K22" i="6"/>
  <c r="M22" i="6" s="1"/>
  <c r="I22" i="6" s="1"/>
  <c r="S22" i="6" s="1"/>
  <c r="K23" i="6"/>
  <c r="M23" i="6" s="1"/>
  <c r="I23" i="6" s="1"/>
  <c r="S23" i="6" s="1"/>
  <c r="P16" i="1"/>
  <c r="C11" i="12" s="1"/>
  <c r="C15" i="12" s="1"/>
  <c r="E58" i="40"/>
  <c r="E63" i="39"/>
  <c r="AC6" i="3"/>
  <c r="E6" i="3" s="1"/>
  <c r="S21" i="6"/>
  <c r="O16"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G48" i="35"/>
  <c r="F46" i="36"/>
  <c r="H59" i="34"/>
  <c r="W10" i="40"/>
  <c r="AC10" i="40"/>
  <c r="U10" i="40"/>
  <c r="AB10" i="40"/>
  <c r="K63" i="40"/>
  <c r="J65" i="40"/>
  <c r="I52" i="33"/>
  <c r="J52" i="33" s="1"/>
  <c r="G53" i="33"/>
  <c r="H53" i="33" s="1"/>
  <c r="D70" i="39"/>
  <c r="E68" i="39"/>
  <c r="E58" i="21"/>
  <c r="H52" i="37"/>
  <c r="AB10" i="39"/>
  <c r="U10" i="39"/>
  <c r="AA10" i="39"/>
  <c r="S10" i="39"/>
  <c r="E48" i="33"/>
  <c r="R49" i="33"/>
  <c r="C38" i="11"/>
  <c r="C35" i="11"/>
  <c r="P23" i="43"/>
  <c r="B71" i="39" s="1"/>
  <c r="C6" i="71"/>
  <c r="C5" i="71" s="1"/>
  <c r="D5" i="71" s="1"/>
  <c r="D7" i="71"/>
  <c r="P25" i="43"/>
  <c r="C49" i="67"/>
  <c r="C49" i="15"/>
  <c r="C38" i="68"/>
  <c r="C35" i="68"/>
  <c r="B40" i="1"/>
  <c r="C19" i="15"/>
  <c r="C18" i="67"/>
  <c r="C15" i="67"/>
  <c r="M11" i="15"/>
  <c r="J10" i="15" s="1"/>
  <c r="J5" i="15" s="1"/>
  <c r="F11" i="67"/>
  <c r="F11" i="15"/>
  <c r="M11" i="67"/>
  <c r="J10" i="67" s="1"/>
  <c r="J5" i="67" s="1"/>
  <c r="Q73" i="67"/>
  <c r="Q60" i="67"/>
  <c r="P28" i="43"/>
  <c r="M28" i="43"/>
  <c r="N28" i="43"/>
  <c r="O28" i="43"/>
  <c r="Q60" i="15"/>
  <c r="Q73" i="15"/>
  <c r="Q74" i="15"/>
  <c r="Q61" i="15"/>
  <c r="Q61" i="67"/>
  <c r="Q74" i="67"/>
  <c r="AE6" i="1"/>
  <c r="C12" i="12" l="1"/>
  <c r="AQ6" i="1"/>
  <c r="S16" i="1"/>
  <c r="T6" i="1"/>
  <c r="T16" i="1" s="1"/>
  <c r="AR6" i="1"/>
  <c r="E66" i="39"/>
  <c r="D3" i="21"/>
  <c r="D19" i="11"/>
  <c r="C19" i="11" s="1"/>
  <c r="C20" i="11" s="1"/>
  <c r="C28" i="11" s="1"/>
  <c r="C27" i="11" s="1"/>
  <c r="C17" i="4"/>
  <c r="B4" i="52" s="1"/>
  <c r="B43" i="72" s="1"/>
  <c r="L18" i="9"/>
  <c r="D3" i="37"/>
  <c r="D3" i="34"/>
  <c r="D3" i="33"/>
  <c r="E6" i="6"/>
  <c r="D37" i="11"/>
  <c r="C37" i="11" s="1"/>
  <c r="C33" i="11" s="1"/>
  <c r="C39" i="11" s="1"/>
  <c r="C46" i="11" s="1"/>
  <c r="C45" i="11" s="1"/>
  <c r="D14" i="12"/>
  <c r="M18" i="9"/>
  <c r="B118" i="9" s="1"/>
  <c r="B14" i="74" s="1"/>
  <c r="B1" i="74" s="1"/>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546" i="3"/>
  <c r="AY510" i="3"/>
  <c r="AY16" i="3"/>
  <c r="AY584" i="3"/>
  <c r="AY514" i="3"/>
  <c r="AY519" i="3"/>
  <c r="AY96" i="3"/>
  <c r="AY80" i="3"/>
  <c r="AY37" i="3"/>
  <c r="AY189" i="3"/>
  <c r="AY169" i="3"/>
  <c r="AY129" i="3"/>
  <c r="AY282" i="3"/>
  <c r="AY266" i="3"/>
  <c r="AY223" i="3"/>
  <c r="AY369"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571" i="3"/>
  <c r="AY495" i="3"/>
  <c r="BG6" i="3"/>
  <c r="AY501" i="3"/>
  <c r="AY494" i="3"/>
  <c r="AY582" i="3"/>
  <c r="AY101" i="3"/>
  <c r="AY65" i="3"/>
  <c r="AY48" i="3"/>
  <c r="AY194" i="3"/>
  <c r="AY158" i="3"/>
  <c r="AY137" i="3"/>
  <c r="AY287" i="3"/>
  <c r="AY251" i="3"/>
  <c r="AY234" i="3"/>
  <c r="AY380"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S6" i="43"/>
  <c r="S4" i="43"/>
  <c r="S5" i="43"/>
  <c r="S3" i="43"/>
  <c r="C23" i="43"/>
  <c r="C21" i="43" s="1"/>
  <c r="S7" i="43"/>
  <c r="C115" i="43"/>
  <c r="D113" i="43" s="1"/>
  <c r="E52" i="33"/>
  <c r="F52" i="33" s="1"/>
  <c r="E53" i="33"/>
  <c r="F53" i="33" s="1"/>
  <c r="I52" i="37"/>
  <c r="J52" i="37" s="1"/>
  <c r="K52" i="37" s="1"/>
  <c r="L52" i="37" s="1"/>
  <c r="M52" i="37" s="1"/>
  <c r="N52" i="37" s="1"/>
  <c r="O52" i="37" s="1"/>
  <c r="F7" i="37"/>
  <c r="F58" i="21"/>
  <c r="G58" i="21" s="1"/>
  <c r="H58" i="21" s="1"/>
  <c r="I58" i="21" s="1"/>
  <c r="J58" i="21" s="1"/>
  <c r="K58" i="21" s="1"/>
  <c r="L58" i="21" s="1"/>
  <c r="M58" i="21" s="1"/>
  <c r="N58" i="21" s="1"/>
  <c r="O58" i="21" s="1"/>
  <c r="H7" i="21"/>
  <c r="I53" i="33"/>
  <c r="J53" i="33" s="1"/>
  <c r="H7" i="37"/>
  <c r="C49" i="33"/>
  <c r="B2" i="33" s="1"/>
  <c r="B3" i="33" s="1"/>
  <c r="C48" i="33"/>
  <c r="J7" i="37"/>
  <c r="F7" i="21"/>
  <c r="F68" i="39"/>
  <c r="E70" i="39"/>
  <c r="K65" i="40"/>
  <c r="L63" i="40"/>
  <c r="I59" i="34"/>
  <c r="G46" i="36"/>
  <c r="H46" i="36" s="1"/>
  <c r="I46" i="36" s="1"/>
  <c r="J46" i="36" s="1"/>
  <c r="K46" i="36" s="1"/>
  <c r="L46" i="36" s="1"/>
  <c r="M46" i="36" s="1"/>
  <c r="N46" i="36" s="1"/>
  <c r="O46" i="36" s="1"/>
  <c r="J7" i="36"/>
  <c r="H48" i="35"/>
  <c r="I48" i="35" s="1"/>
  <c r="J48" i="35" s="1"/>
  <c r="K48" i="35" s="1"/>
  <c r="L48" i="35" s="1"/>
  <c r="M48" i="35" s="1"/>
  <c r="N48" i="35" s="1"/>
  <c r="O48" i="35" s="1"/>
  <c r="J7" i="35"/>
  <c r="J7" i="21"/>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69" i="15" l="1"/>
  <c r="J29" i="15"/>
  <c r="M27" i="6"/>
  <c r="I19" i="6"/>
  <c r="D17" i="12"/>
  <c r="C17" i="12" s="1"/>
  <c r="C14" i="12"/>
  <c r="C16" i="12" s="1"/>
  <c r="D10" i="11"/>
  <c r="C10" i="11" s="1"/>
  <c r="D10" i="68"/>
  <c r="D20" i="12"/>
  <c r="C20" i="12" s="1"/>
  <c r="D10" i="69"/>
  <c r="H20" i="6"/>
  <c r="D19" i="6"/>
  <c r="C18" i="4"/>
  <c r="D23" i="6"/>
  <c r="D6" i="6"/>
  <c r="D9" i="6"/>
  <c r="D10" i="6"/>
  <c r="L19" i="9"/>
  <c r="D29" i="6"/>
  <c r="H19" i="6"/>
  <c r="D26" i="6"/>
  <c r="D8" i="6"/>
  <c r="D14" i="6"/>
  <c r="D5" i="6"/>
  <c r="D12" i="6"/>
  <c r="D11" i="6"/>
  <c r="D13" i="6"/>
  <c r="D28" i="6"/>
  <c r="E61" i="40"/>
  <c r="H23" i="6"/>
  <c r="R23" i="6" s="1"/>
  <c r="H24" i="6"/>
  <c r="H25" i="6"/>
  <c r="H26" i="6"/>
  <c r="R26" i="6" s="1"/>
  <c r="D20" i="6"/>
  <c r="D21" i="6"/>
  <c r="D15" i="6"/>
  <c r="M19" i="9"/>
  <c r="C118" i="9" s="1"/>
  <c r="C14" i="74" s="1"/>
  <c r="B2" i="74" s="1"/>
  <c r="H22" i="6"/>
  <c r="D24" i="6"/>
  <c r="R24" i="6" s="1"/>
  <c r="D22" i="6"/>
  <c r="R22" i="6" s="1"/>
  <c r="D25" i="6"/>
  <c r="H21" i="6"/>
  <c r="C8" i="74"/>
  <c r="C7" i="74"/>
  <c r="AC7" i="35"/>
  <c r="V38" i="35" s="1"/>
  <c r="I38" i="35" s="1"/>
  <c r="W7" i="35"/>
  <c r="F7" i="36"/>
  <c r="J59" i="34"/>
  <c r="G68" i="39"/>
  <c r="F70" i="39"/>
  <c r="AC7" i="37"/>
  <c r="V42" i="37" s="1"/>
  <c r="I42" i="37" s="1"/>
  <c r="W7" i="37"/>
  <c r="AB7" i="37"/>
  <c r="T42" i="37" s="1"/>
  <c r="G42" i="37" s="1"/>
  <c r="U7" i="37"/>
  <c r="F7" i="35"/>
  <c r="H7" i="36"/>
  <c r="AC7" i="21"/>
  <c r="V48" i="21" s="1"/>
  <c r="I48" i="21" s="1"/>
  <c r="W7" i="21"/>
  <c r="W7" i="36"/>
  <c r="AC7" i="36"/>
  <c r="V36" i="36" s="1"/>
  <c r="I36" i="36" s="1"/>
  <c r="M63" i="40"/>
  <c r="L65" i="40"/>
  <c r="S7" i="21"/>
  <c r="AA7" i="21"/>
  <c r="R48" i="21" s="1"/>
  <c r="U7" i="21"/>
  <c r="AB7" i="21"/>
  <c r="T48" i="21" s="1"/>
  <c r="G48" i="21" s="1"/>
  <c r="S7" i="37"/>
  <c r="AA7" i="37"/>
  <c r="R42" i="37" s="1"/>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H27" i="6" l="1"/>
  <c r="D30" i="6"/>
  <c r="D16" i="6"/>
  <c r="R20" i="6"/>
  <c r="R25" i="6"/>
  <c r="D27" i="6"/>
  <c r="R19" i="6"/>
  <c r="C10" i="69"/>
  <c r="C8" i="69" s="1"/>
  <c r="C5" i="69" s="1"/>
  <c r="D19" i="69"/>
  <c r="C10" i="68"/>
  <c r="B29" i="1" s="1"/>
  <c r="C8" i="68" s="1"/>
  <c r="D19" i="68"/>
  <c r="I27" i="6"/>
  <c r="S19" i="6"/>
  <c r="S27" i="6" s="1"/>
  <c r="D8" i="74"/>
  <c r="D7" i="74"/>
  <c r="R21" i="6"/>
  <c r="A7" i="51"/>
  <c r="B7" i="72" s="1"/>
  <c r="C4" i="52"/>
  <c r="B45" i="72" s="1"/>
  <c r="A10" i="51"/>
  <c r="B9" i="72" s="1"/>
  <c r="AB7" i="35"/>
  <c r="T38" i="35" s="1"/>
  <c r="G38" i="35" s="1"/>
  <c r="U7" i="35"/>
  <c r="E48" i="21"/>
  <c r="R49" i="21"/>
  <c r="I40" i="36"/>
  <c r="J40" i="36" s="1"/>
  <c r="U7" i="36"/>
  <c r="AB7" i="36"/>
  <c r="T36" i="36" s="1"/>
  <c r="G36" i="36" s="1"/>
  <c r="AA7" i="36"/>
  <c r="R36" i="36" s="1"/>
  <c r="S7" i="36"/>
  <c r="E42" i="37"/>
  <c r="R43" i="37"/>
  <c r="G52" i="21"/>
  <c r="H52" i="21" s="1"/>
  <c r="G53" i="21"/>
  <c r="H53" i="21" s="1"/>
  <c r="N63" i="40"/>
  <c r="M65" i="40"/>
  <c r="I52" i="21"/>
  <c r="J52" i="21" s="1"/>
  <c r="I53" i="21"/>
  <c r="J53" i="21" s="1"/>
  <c r="AA7" i="35"/>
  <c r="R38" i="35" s="1"/>
  <c r="S7" i="35"/>
  <c r="G46" i="37"/>
  <c r="H46" i="37" s="1"/>
  <c r="G47" i="37"/>
  <c r="H47" i="37" s="1"/>
  <c r="I47" i="37"/>
  <c r="J47" i="37" s="1"/>
  <c r="I46" i="37"/>
  <c r="J46" i="37" s="1"/>
  <c r="H68" i="39"/>
  <c r="G70" i="39"/>
  <c r="K59" i="34"/>
  <c r="I42" i="35"/>
  <c r="J42"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C18" i="12" l="1"/>
  <c r="C21" i="12" s="1"/>
  <c r="R27" i="6"/>
  <c r="R6" i="1"/>
  <c r="D31" i="6"/>
  <c r="C19" i="68"/>
  <c r="D37" i="68"/>
  <c r="C37" i="68" s="1"/>
  <c r="C33" i="68" s="1"/>
  <c r="C19" i="69"/>
  <c r="C24" i="69" s="1"/>
  <c r="D37" i="69"/>
  <c r="C37" i="69" s="1"/>
  <c r="C33" i="69" s="1"/>
  <c r="C22" i="12"/>
  <c r="C27" i="12" s="1"/>
  <c r="C25" i="12" s="1"/>
  <c r="C23" i="69"/>
  <c r="I6" i="6"/>
  <c r="I5" i="6"/>
  <c r="L59" i="34"/>
  <c r="E47" i="37"/>
  <c r="F47" i="37" s="1"/>
  <c r="E46" i="37"/>
  <c r="F46" i="37" s="1"/>
  <c r="E36" i="36"/>
  <c r="R37" i="36"/>
  <c r="G40" i="36"/>
  <c r="H40" i="36" s="1"/>
  <c r="G41" i="36"/>
  <c r="H41" i="36" s="1"/>
  <c r="E52" i="21"/>
  <c r="F52" i="21" s="1"/>
  <c r="E53" i="21"/>
  <c r="F53" i="21" s="1"/>
  <c r="G42" i="35"/>
  <c r="H42" i="35" s="1"/>
  <c r="G43" i="35"/>
  <c r="H43" i="35" s="1"/>
  <c r="I68" i="39"/>
  <c r="H70" i="39"/>
  <c r="E38" i="35"/>
  <c r="R39" i="35"/>
  <c r="O63" i="40"/>
  <c r="O65" i="40" s="1"/>
  <c r="H7" i="40" s="1"/>
  <c r="N65" i="40"/>
  <c r="J7" i="40" s="1"/>
  <c r="C42" i="37"/>
  <c r="C43" i="37"/>
  <c r="B2" i="37" s="1"/>
  <c r="B3" i="37" s="1"/>
  <c r="C48" i="21"/>
  <c r="C49" i="21"/>
  <c r="B2" i="21" s="1"/>
  <c r="B3"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B6" i="76"/>
  <c r="E6" i="76"/>
  <c r="C34" i="15" l="1"/>
  <c r="C31" i="15" s="1"/>
  <c r="C30" i="15" s="1"/>
  <c r="C39" i="15" s="1"/>
  <c r="F63" i="15"/>
  <c r="C62" i="15" s="1"/>
  <c r="C59" i="15" s="1"/>
  <c r="C58" i="15" s="1"/>
  <c r="C67" i="15" s="1"/>
  <c r="C68" i="15" s="1"/>
  <c r="J20" i="15"/>
  <c r="J17" i="15" s="1"/>
  <c r="J16" i="15" s="1"/>
  <c r="J25" i="15" s="1"/>
  <c r="R16" i="1"/>
  <c r="C56" i="11"/>
  <c r="C57" i="11" s="1"/>
  <c r="C20" i="69"/>
  <c r="C28" i="69" s="1"/>
  <c r="C27" i="69" s="1"/>
  <c r="C39" i="69"/>
  <c r="C42" i="69"/>
  <c r="C39" i="68"/>
  <c r="C43" i="68" s="1"/>
  <c r="C42" i="68"/>
  <c r="C30" i="12"/>
  <c r="C28" i="12" s="1"/>
  <c r="C32" i="12" s="1"/>
  <c r="B2" i="12" s="1"/>
  <c r="B3" i="12" s="1"/>
  <c r="C24" i="68"/>
  <c r="W7" i="40"/>
  <c r="AC7" i="40"/>
  <c r="V42" i="40" s="1"/>
  <c r="I42" i="40" s="1"/>
  <c r="C38" i="35"/>
  <c r="C39" i="35"/>
  <c r="B2" i="35" s="1"/>
  <c r="B3" i="35" s="1"/>
  <c r="C36" i="36"/>
  <c r="C37" i="36"/>
  <c r="B2" i="36" s="1"/>
  <c r="B3" i="36" s="1"/>
  <c r="F7" i="40"/>
  <c r="U7" i="40"/>
  <c r="AB7" i="40"/>
  <c r="T42" i="40" s="1"/>
  <c r="G42" i="40" s="1"/>
  <c r="E43" i="35"/>
  <c r="F43" i="35" s="1"/>
  <c r="E42" i="35"/>
  <c r="F42" i="35" s="1"/>
  <c r="I43" i="35"/>
  <c r="J43" i="35" s="1"/>
  <c r="J68" i="39"/>
  <c r="I70" i="39"/>
  <c r="E40" i="36"/>
  <c r="F40" i="36" s="1"/>
  <c r="E41" i="36"/>
  <c r="F41" i="36" s="1"/>
  <c r="I41" i="36"/>
  <c r="J41" i="36" s="1"/>
  <c r="M59" i="34"/>
  <c r="E2" i="76"/>
  <c r="B2" i="76"/>
  <c r="B3" i="43"/>
  <c r="J16" i="67"/>
  <c r="J25" i="67" s="1"/>
  <c r="C40" i="67"/>
  <c r="Q69" i="67"/>
  <c r="Q68" i="67" s="1"/>
  <c r="C58" i="67"/>
  <c r="C67" i="67" s="1"/>
  <c r="C68" i="67" s="1"/>
  <c r="C80" i="67"/>
  <c r="C79" i="67" s="1"/>
  <c r="L51" i="67"/>
  <c r="L51" i="15"/>
  <c r="Q69" i="15" l="1"/>
  <c r="Q68" i="15" s="1"/>
  <c r="C40" i="15"/>
  <c r="C43" i="15" s="1"/>
  <c r="C80" i="15"/>
  <c r="C79" i="15" s="1"/>
  <c r="C25" i="69"/>
  <c r="C22" i="69" s="1"/>
  <c r="C31" i="69" s="1"/>
  <c r="C41" i="68"/>
  <c r="C46" i="68"/>
  <c r="C45" i="68" s="1"/>
  <c r="C46" i="69"/>
  <c r="C45" i="69" s="1"/>
  <c r="C43" i="69"/>
  <c r="C41" i="69" s="1"/>
  <c r="K68" i="39"/>
  <c r="J70" i="39"/>
  <c r="G46" i="40"/>
  <c r="H46" i="40" s="1"/>
  <c r="G47" i="40"/>
  <c r="H47" i="40" s="1"/>
  <c r="N59" i="34"/>
  <c r="I46" i="40"/>
  <c r="J46" i="40" s="1"/>
  <c r="S7" i="40"/>
  <c r="AA7" i="40"/>
  <c r="R42" i="40" s="1"/>
  <c r="B3" i="76"/>
  <c r="Q67" i="67"/>
  <c r="L57" i="67"/>
  <c r="L60" i="67" s="1"/>
  <c r="Q67" i="15"/>
  <c r="L57" i="15"/>
  <c r="L60" i="15" s="1"/>
  <c r="L46" i="15" s="1"/>
  <c r="C71" i="67"/>
  <c r="C45" i="67"/>
  <c r="C46" i="67" s="1"/>
  <c r="Q56" i="67"/>
  <c r="Q47" i="67"/>
  <c r="Q53" i="67" s="1"/>
  <c r="Q65" i="67"/>
  <c r="C43" i="67"/>
  <c r="D2" i="67"/>
  <c r="C83" i="67"/>
  <c r="C82" i="67" s="1"/>
  <c r="C71" i="15"/>
  <c r="Q65" i="15" l="1"/>
  <c r="C46" i="15"/>
  <c r="C83" i="15"/>
  <c r="C82" i="15" s="1"/>
  <c r="Q47" i="15"/>
  <c r="Q53" i="15" s="1"/>
  <c r="Q56" i="15"/>
  <c r="B2" i="15"/>
  <c r="C49" i="69"/>
  <c r="C51" i="69" s="1"/>
  <c r="C52" i="69" s="1"/>
  <c r="B2" i="69" s="1"/>
  <c r="B3" i="69" s="1"/>
  <c r="B3" i="15"/>
  <c r="C49" i="68"/>
  <c r="C51" i="68" s="1"/>
  <c r="E42" i="40"/>
  <c r="R43" i="40"/>
  <c r="O59" i="34"/>
  <c r="H7" i="34" s="1"/>
  <c r="F7" i="34"/>
  <c r="L68" i="39"/>
  <c r="K70" i="39"/>
  <c r="Q57" i="15"/>
  <c r="Q66" i="15"/>
  <c r="Q75" i="15" s="1"/>
  <c r="Q66" i="67"/>
  <c r="Q75" i="67" s="1"/>
  <c r="Q57" i="67"/>
  <c r="Q62" i="67" s="1"/>
  <c r="B2" i="67"/>
  <c r="B3" i="67"/>
  <c r="D20" i="9"/>
  <c r="AO6" i="1"/>
  <c r="D19" i="9"/>
  <c r="Q62" i="15" l="1"/>
  <c r="D102" i="9"/>
  <c r="D21" i="9"/>
  <c r="B6" i="70"/>
  <c r="B2" i="70" s="1"/>
  <c r="B3" i="70" s="1"/>
  <c r="D103" i="9"/>
  <c r="C57" i="69"/>
  <c r="C56" i="69" s="1"/>
  <c r="M68" i="39"/>
  <c r="L70" i="39"/>
  <c r="J7" i="34"/>
  <c r="C42" i="40"/>
  <c r="C43" i="40"/>
  <c r="S7" i="34"/>
  <c r="AA7" i="34"/>
  <c r="R49" i="34" s="1"/>
  <c r="U7" i="34"/>
  <c r="AB7" i="34"/>
  <c r="T49" i="34" s="1"/>
  <c r="G49" i="34" s="1"/>
  <c r="E46" i="40"/>
  <c r="F46" i="40" s="1"/>
  <c r="E47" i="40"/>
  <c r="F47" i="40" s="1"/>
  <c r="I47" i="40"/>
  <c r="J47" i="40" s="1"/>
  <c r="AC7" i="34" l="1"/>
  <c r="V49" i="34" s="1"/>
  <c r="I49" i="34" s="1"/>
  <c r="W7" i="34"/>
  <c r="N68" i="39"/>
  <c r="M70" i="39"/>
  <c r="G53" i="34"/>
  <c r="H53" i="34" s="1"/>
  <c r="R50" i="34"/>
  <c r="E49" i="34"/>
  <c r="B53" i="40"/>
  <c r="F53" i="40" s="1"/>
  <c r="B58" i="40"/>
  <c r="F58" i="40" s="1"/>
  <c r="B52" i="40"/>
  <c r="F52" i="40" s="1"/>
  <c r="B51" i="40"/>
  <c r="F51" i="40" s="1"/>
  <c r="B55" i="40"/>
  <c r="F55" i="40" s="1"/>
  <c r="B60" i="40"/>
  <c r="F60" i="40" s="1"/>
  <c r="B57" i="40"/>
  <c r="F57" i="40" s="1"/>
  <c r="B59" i="40"/>
  <c r="F59" i="40" s="1"/>
  <c r="B56" i="40"/>
  <c r="F56" i="40" s="1"/>
  <c r="B54" i="40"/>
  <c r="F54" i="40" s="1"/>
  <c r="C7" i="68" l="1"/>
  <c r="C5" i="68" s="1"/>
  <c r="F61" i="40"/>
  <c r="B2" i="40" s="1"/>
  <c r="B3" i="40" s="1"/>
  <c r="O68" i="39"/>
  <c r="O70" i="39" s="1"/>
  <c r="N70" i="39"/>
  <c r="I53" i="34"/>
  <c r="J53" i="34" s="1"/>
  <c r="I54" i="34"/>
  <c r="J54" i="34" s="1"/>
  <c r="E54" i="34"/>
  <c r="F54" i="34" s="1"/>
  <c r="E53" i="34"/>
  <c r="F53" i="34" s="1"/>
  <c r="G54" i="34"/>
  <c r="H54" i="34" s="1"/>
  <c r="C50" i="34"/>
  <c r="B2" i="34" s="1"/>
  <c r="B3" i="34" s="1"/>
  <c r="C49" i="34"/>
  <c r="C23" i="68" l="1"/>
  <c r="C20" i="68"/>
  <c r="C25" i="68" s="1"/>
  <c r="F7" i="39"/>
  <c r="J7" i="39"/>
  <c r="H7" i="39"/>
  <c r="C28" i="68" l="1"/>
  <c r="C27" i="68" s="1"/>
  <c r="C22" i="68"/>
  <c r="AB7" i="39"/>
  <c r="T47" i="39" s="1"/>
  <c r="G47" i="39" s="1"/>
  <c r="U7" i="39"/>
  <c r="AC7" i="39"/>
  <c r="V47" i="39" s="1"/>
  <c r="I47" i="39" s="1"/>
  <c r="W7" i="39"/>
  <c r="S7" i="39"/>
  <c r="AA7" i="39"/>
  <c r="R47" i="39" s="1"/>
  <c r="C31" i="68" l="1"/>
  <c r="C52" i="68" s="1"/>
  <c r="C57" i="68" s="1"/>
  <c r="C56" i="68" s="1"/>
  <c r="I51" i="39"/>
  <c r="J51" i="39" s="1"/>
  <c r="G51" i="39"/>
  <c r="H51" i="39" s="1"/>
  <c r="G52" i="39"/>
  <c r="H52" i="39" s="1"/>
  <c r="E47" i="39"/>
  <c r="R48" i="39"/>
  <c r="B2" i="68" l="1"/>
  <c r="E52" i="39"/>
  <c r="F52" i="39" s="1"/>
  <c r="E51" i="39"/>
  <c r="F51" i="39" s="1"/>
  <c r="C48" i="39"/>
  <c r="C47" i="39"/>
  <c r="I52" i="39"/>
  <c r="J52" i="39" s="1"/>
  <c r="C19" i="9"/>
  <c r="D22" i="9" l="1"/>
  <c r="C102" i="9"/>
  <c r="C21" i="9"/>
  <c r="G19" i="9"/>
  <c r="B3" i="6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0" i="9"/>
  <c r="C103" i="9" l="1"/>
  <c r="G20" i="9"/>
  <c r="C32" i="9"/>
  <c r="G21" i="9"/>
  <c r="H118" i="9" l="1"/>
  <c r="C35" i="9"/>
  <c r="F118" i="9" l="1"/>
  <c r="C34" i="9"/>
  <c r="D118" i="9" s="1"/>
  <c r="C104" i="9"/>
  <c r="H4" i="52"/>
  <c r="H101" i="9"/>
  <c r="I118" i="9"/>
  <c r="H119" i="9"/>
  <c r="H5" i="52" s="1"/>
  <c r="D14" i="74"/>
  <c r="E14" i="74" l="1"/>
  <c r="F14" i="74"/>
  <c r="C105" i="9"/>
  <c r="H102" i="9"/>
  <c r="D7" i="53" s="1"/>
  <c r="B21" i="72" s="1"/>
  <c r="I4" i="52"/>
  <c r="D4" i="52"/>
  <c r="B47" i="72" s="1"/>
  <c r="D119" i="9"/>
  <c r="D5" i="52" s="1"/>
  <c r="B49" i="72" s="1"/>
  <c r="M48" i="9"/>
  <c r="H107" i="9"/>
  <c r="M49" i="9" s="1"/>
  <c r="D5" i="53"/>
  <c r="D45" i="9"/>
  <c r="G118" i="9"/>
  <c r="G4" i="52" s="1"/>
  <c r="B52" i="72" s="1"/>
  <c r="F119" i="9"/>
  <c r="F5" i="52" s="1"/>
  <c r="B53" i="72" s="1"/>
  <c r="F4" i="52"/>
  <c r="B51" i="72" s="1"/>
  <c r="L68" i="9" l="1"/>
  <c r="M68" i="9" s="1"/>
  <c r="L65" i="9"/>
  <c r="M65" i="9" s="1"/>
  <c r="L66" i="9"/>
  <c r="M66" i="9" s="1"/>
  <c r="L64" i="9"/>
  <c r="M64" i="9" s="1"/>
  <c r="L63" i="9"/>
  <c r="M63" i="9" s="1"/>
  <c r="L67" i="9"/>
  <c r="M67" i="9" s="1"/>
  <c r="D55" i="9"/>
  <c r="M53" i="9" s="1"/>
  <c r="C78" i="9"/>
  <c r="C73" i="9" s="1"/>
  <c r="D52" i="9"/>
  <c r="D53" i="9"/>
  <c r="C72" i="9"/>
  <c r="C85" i="9"/>
  <c r="C93" i="9"/>
  <c r="C86" i="9" s="1"/>
  <c r="C64" i="9"/>
  <c r="C63" i="9" s="1"/>
  <c r="C67" i="9" s="1"/>
  <c r="C68" i="9" s="1"/>
  <c r="D54" i="9" s="1"/>
  <c r="H108" i="9"/>
  <c r="D15" i="53" s="1"/>
  <c r="B31" i="72" s="1"/>
  <c r="D13" i="53"/>
  <c r="D122" i="9"/>
  <c r="D6" i="53"/>
  <c r="B22" i="72" s="1"/>
  <c r="B20" i="72"/>
  <c r="E118" i="9"/>
  <c r="E4" i="52" s="1"/>
  <c r="B48" i="72" s="1"/>
  <c r="M69" i="9" l="1"/>
  <c r="N69" i="9" s="1"/>
  <c r="C79" i="9"/>
  <c r="C80" i="9" s="1"/>
  <c r="E80" i="9" s="1"/>
  <c r="E81" i="9" s="1"/>
  <c r="D123" i="9"/>
  <c r="D9" i="52" s="1"/>
  <c r="D8" i="52"/>
  <c r="G14" i="74"/>
  <c r="B30" i="72"/>
  <c r="D14" i="53"/>
  <c r="B32" i="72" s="1"/>
  <c r="C95" i="9"/>
  <c r="C81" i="9" l="1"/>
  <c r="C96" i="9"/>
  <c r="E96" i="9" s="1"/>
  <c r="E97" i="9" s="1"/>
  <c r="C97" i="9" l="1"/>
  <c r="D58" i="9" s="1"/>
  <c r="D56" i="9" s="1"/>
  <c r="M54" i="9" s="1"/>
  <c r="N57" i="9" s="1"/>
  <c r="N59" i="9" s="1"/>
  <c r="N58" i="9" l="1"/>
  <c r="P57" i="9"/>
  <c r="N61" i="9"/>
  <c r="N60" i="9"/>
  <c r="D15" i="74" l="1"/>
  <c r="E15" i="74" l="1"/>
  <c r="B5" i="74"/>
  <c r="G15" i="74"/>
  <c r="B6" i="74" s="1"/>
  <c r="F15"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<sst xmlns="http://schemas.openxmlformats.org/spreadsheetml/2006/main" count="7868" uniqueCount="3260">
  <si>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</si>
  <si>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</si>
  <si>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</si>
  <si>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</si>
  <si>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</si>
  <si>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</si>
  <si>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</si>
  <si>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</si>
  <si>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</si>
  <si>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</si>
  <si>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</si>
  <si>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</si>
  <si>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</si>
  <si>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</si>
  <si>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</si>
  <si>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</si>
  <si>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</si>
  <si>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</si>
  <si>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</si>
  <si>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</si>
  <si>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</si>
  <si>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</si>
  <si>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</si>
  <si>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</si>
  <si>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</si>
  <si>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</si>
  <si>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</si>
  <si>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</si>
  <si>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</si>
  <si>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</si>
  <si>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</si>
  <si>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</si>
  <si>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</si>
  <si>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</si>
  <si>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</si>
  <si>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</si>
  <si>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</si>
  <si>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</si>
  <si>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</si>
  <si>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</si>
  <si>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</si>
  <si>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</si>
  <si>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</si>
  <si>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</si>
  <si>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</si>
  <si>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</si>
  <si>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</si>
  <si>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</si>
  <si>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</si>
  <si>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</si>
  <si>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</si>
  <si>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</si>
  <si>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</si>
  <si>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</si>
  <si>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</si>
  <si>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</si>
  <si>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</si>
  <si>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</si>
  <si>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</si>
  <si>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</si>
  <si>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</si>
  <si>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</si>
  <si>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</si>
  <si>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</si>
  <si>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</si>
  <si>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</si>
  <si>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</si>
  <si>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</si>
  <si>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</si>
  <si>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</si>
  <si>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</si>
  <si>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</si>
  <si>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</si>
  <si>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</si>
  <si>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</si>
  <si>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</si>
  <si>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</si>
  <si>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</si>
  <si>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</si>
  <si>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</si>
  <si>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</si>
  <si>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</si>
  <si>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</si>
  <si>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</si>
  <si>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</si>
  <si>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</si>
  <si>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</si>
  <si>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</si>
  <si>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</si>
  <si>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</si>
  <si>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</si>
  <si>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</si>
  <si>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</si>
  <si>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</si>
  <si>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</si>
  <si>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</si>
  <si>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</si>
  <si>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</si>
  <si>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</si>
  <si>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</si>
  <si>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</si>
  <si>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</si>
  <si>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</si>
  <si>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</si>
  <si>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</si>
  <si>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</si>
  <si>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</si>
  <si>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</si>
  <si>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</si>
  <si>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</si>
  <si>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</si>
  <si>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</si>
  <si>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</si>
  <si>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</si>
  <si>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</si>
  <si>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</si>
  <si>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</si>
  <si>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</si>
  <si>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</si>
  <si>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</si>
  <si>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</si>
  <si>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</si>
  <si>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</si>
  <si>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</si>
  <si>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</si>
  <si>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</si>
  <si>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</si>
  <si>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</si>
  <si>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</si>
  <si>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</si>
  <si>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</si>
  <si>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</si>
  <si>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</si>
  <si>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</si>
  <si>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</si>
  <si>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</si>
  <si>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</si>
  <si>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</si>
  <si>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</si>
  <si>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</si>
  <si>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</si>
  <si>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</si>
  <si>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</si>
  <si>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</si>
  <si>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</si>
  <si>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</si>
  <si>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</si>
  <si>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</si>
  <si>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</si>
  <si>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</si>
  <si>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</si>
  <si>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</si>
  <si>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</si>
  <si>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</si>
  <si>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</si>
  <si>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</si>
  <si>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</si>
  <si>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</si>
  <si>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</si>
  <si>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</si>
  <si>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</si>
  <si>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</si>
  <si>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</si>
  <si>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</si>
  <si>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</si>
  <si>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</si>
  <si>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</si>
  <si>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</si>
  <si>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</si>
  <si>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</si>
  <si>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</si>
  <si>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</si>
  <si>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</si>
  <si>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</si>
  <si>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</si>
  <si>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</si>
  <si>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</si>
  <si>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</si>
  <si>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</si>
  <si>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</si>
  <si>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</si>
  <si>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</si>
  <si>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</si>
  <si>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</si>
  <si>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</si>
  <si>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</si>
  <si>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</si>
  <si>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</si>
  <si>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</si>
  <si>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</si>
  <si>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</si>
  <si>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</si>
  <si>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</si>
  <si>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</si>
  <si>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</si>
  <si>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</si>
  <si>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</si>
  <si>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</si>
  <si>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</si>
  <si>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</si>
  <si>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</si>
  <si>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</si>
  <si>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</si>
  <si>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</si>
  <si>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</si>
  <si>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</si>
  <si>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</si>
  <si>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</si>
  <si>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</si>
  <si>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</si>
  <si>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</si>
  <si>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</si>
  <si>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</si>
  <si>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</si>
  <si>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</si>
  <si>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</si>
  <si>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</si>
  <si>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</si>
  <si>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</si>
  <si>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</si>
  <si>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</si>
  <si>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</si>
  <si>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</si>
  <si>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</si>
  <si>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</si>
  <si>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</si>
  <si>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</si>
  <si>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</si>
  <si>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</si>
  <si>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</si>
  <si>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</si>
  <si>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</si>
  <si>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</si>
  <si>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</si>
  <si>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</si>
  <si>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</si>
  <si>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</si>
  <si>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</si>
  <si>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</si>
  <si>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</si>
  <si>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</si>
  <si>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</si>
  <si>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</si>
  <si>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</si>
  <si>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</si>
  <si>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</si>
  <si>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</si>
  <si>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</si>
  <si>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</si>
  <si>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</si>
  <si>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</si>
  <si>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</si>
  <si>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</si>
  <si>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</si>
  <si>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</si>
  <si>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</si>
  <si>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</si>
  <si>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</si>
  <si>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</si>
  <si>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</si>
  <si>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</si>
  <si>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</si>
  <si>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</si>
  <si>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</si>
  <si>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</si>
  <si>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</si>
  <si>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</si>
  <si>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</si>
  <si>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</si>
  <si>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</si>
  <si>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</si>
  <si>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</si>
  <si>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</si>
  <si>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</si>
  <si>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</si>
  <si>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</si>
  <si>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</si>
  <si>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</si>
  <si>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</si>
  <si>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</si>
  <si>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</si>
  <si>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</si>
  <si>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</si>
  <si>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</si>
  <si>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</si>
  <si>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</si>
  <si>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</si>
  <si>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</si>
  <si>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</si>
  <si>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</si>
  <si>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</si>
  <si>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</si>
  <si>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</si>
  <si>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</si>
  <si>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</si>
  <si>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</si>
  <si>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</si>
  <si>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</si>
  <si>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</si>
  <si>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</si>
  <si>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</si>
  <si>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</si>
  <si>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</si>
  <si>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</si>
  <si>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</si>
  <si>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</si>
  <si>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</si>
  <si>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</si>
  <si>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</si>
  <si>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</si>
  <si>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</si>
  <si>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</si>
  <si>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</si>
  <si>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</si>
  <si>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</si>
  <si>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</si>
  <si>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</si>
  <si>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</si>
  <si>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</si>
  <si>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</si>
  <si>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</si>
  <si>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</si>
  <si>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</si>
  <si>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</si>
  <si>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</si>
  <si>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</si>
  <si>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</si>
  <si>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</si>
  <si>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</si>
  <si>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</si>
  <si>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</si>
  <si>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</si>
  <si>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</si>
  <si>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</si>
  <si>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</si>
  <si>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</si>
  <si>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</si>
  <si>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</si>
  <si>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</si>
  <si>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</si>
  <si>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</si>
  <si>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</si>
  <si>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</si>
  <si>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</si>
  <si>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</si>
  <si>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</si>
  <si>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</si>
  <si>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</si>
  <si>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</si>
  <si>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</si>
  <si>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</si>
  <si>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</si>
  <si>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</si>
  <si>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</si>
  <si>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</si>
  <si>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</si>
  <si>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</si>
  <si>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</si>
  <si>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</si>
  <si>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</si>
  <si>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</si>
  <si>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</si>
  <si>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</si>
  <si>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</si>
  <si>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</si>
  <si>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</si>
  <si>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</si>
  <si>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</si>
  <si>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</si>
  <si>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</si>
  <si>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</si>
  <si>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</si>
  <si>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</si>
  <si>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</si>
  <si>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</si>
  <si>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</si>
  <si>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</si>
  <si>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</si>
  <si>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</si>
  <si>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</si>
  <si>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</si>
  <si>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</si>
  <si>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</si>
  <si>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</si>
  <si>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</si>
  <si>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</si>
  <si>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</si>
  <si>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</si>
  <si>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</si>
  <si>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</si>
  <si>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</si>
  <si>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</si>
  <si>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</si>
  <si>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</si>
  <si>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</si>
  <si>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</si>
  <si>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</si>
  <si>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</si>
  <si>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</si>
  <si>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</si>
  <si>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</si>
  <si>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</si>
  <si>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</si>
  <si>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</si>
  <si>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</si>
  <si>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</si>
  <si>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</si>
  <si>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</si>
  <si>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</si>
  <si>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</si>
  <si>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</si>
  <si>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</si>
  <si>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</si>
  <si>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</si>
  <si>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</si>
  <si>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</si>
  <si>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</si>
  <si>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</si>
  <si>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</si>
  <si>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</si>
  <si>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</si>
  <si>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</si>
  <si>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</si>
  <si>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</si>
  <si>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</si>
  <si>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</si>
  <si>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</si>
  <si>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</si>
  <si>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</si>
  <si>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</si>
  <si>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</si>
  <si>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</si>
  <si>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</si>
  <si>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</si>
  <si>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</si>
  <si>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</si>
  <si>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</si>
  <si>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</si>
  <si>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</si>
  <si>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</si>
  <si>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</si>
  <si>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</si>
  <si>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</si>
  <si>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</si>
  <si>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</si>
  <si>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</si>
  <si>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</si>
  <si>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</si>
  <si>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</si>
  <si>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</si>
  <si>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</si>
  <si>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</si>
  <si>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</si>
  <si>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</si>
  <si>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</si>
  <si>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</si>
  <si>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</si>
  <si>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</si>
  <si>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</si>
  <si>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</si>
  <si>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</si>
  <si>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</si>
  <si>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</si>
  <si>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</si>
  <si>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</si>
  <si>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</si>
  <si>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</si>
  <si>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</si>
  <si>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</si>
  <si>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</si>
  <si>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</si>
  <si>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</si>
  <si>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</si>
  <si>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</si>
  <si>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</si>
  <si>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</si>
  <si>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</si>
  <si>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</si>
  <si>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</si>
  <si>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</si>
  <si>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</si>
  <si>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</si>
  <si>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</si>
  <si>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</si>
  <si>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</si>
  <si>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</si>
  <si>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</si>
  <si>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</si>
  <si>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</si>
  <si>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</si>
  <si>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</si>
  <si>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</si>
  <si>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</si>
  <si>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</si>
  <si>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</si>
  <si>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</si>
  <si>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</si>
  <si>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</si>
  <si>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</si>
  <si>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</si>
  <si>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</si>
  <si>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</si>
  <si>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</si>
  <si>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</si>
  <si>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</si>
  <si>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</si>
  <si>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</si>
  <si>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</si>
  <si>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</si>
  <si>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</si>
  <si>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</si>
  <si>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</si>
  <si>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</si>
  <si>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</si>
  <si>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</si>
  <si>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</si>
  <si>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</si>
  <si>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</si>
  <si>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</si>
  <si>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</si>
  <si>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</si>
  <si>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</si>
  <si>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</si>
  <si>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</si>
  <si>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</si>
  <si>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</si>
  <si>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</si>
  <si>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</si>
  <si>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</si>
  <si>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</si>
  <si>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</si>
  <si>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</si>
  <si>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</si>
  <si>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</si>
  <si>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</si>
  <si>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</si>
  <si>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</si>
  <si>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</si>
  <si>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</si>
  <si>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</si>
  <si>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</si>
  <si>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</si>
  <si>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</si>
  <si>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</si>
  <si>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</si>
  <si>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</si>
  <si>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</si>
  <si>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</si>
  <si>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</si>
  <si>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</si>
  <si>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</si>
  <si>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</si>
  <si>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</si>
  <si>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</si>
  <si>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</si>
  <si>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</si>
  <si>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</si>
  <si>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</si>
  <si>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</si>
  <si>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</si>
  <si>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</si>
  <si>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</si>
  <si>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</si>
  <si>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</si>
  <si>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</si>
  <si>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</si>
  <si>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</si>
  <si>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</si>
  <si>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</si>
  <si>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</si>
  <si>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</si>
  <si>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</si>
  <si>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</si>
  <si>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</si>
  <si>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</si>
  <si>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</si>
  <si>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</si>
  <si>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</si>
  <si>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</si>
  <si>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</si>
  <si>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</si>
  <si>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</si>
  <si>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</si>
  <si>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</si>
  <si>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</si>
  <si>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</si>
  <si>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</si>
  <si>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</si>
  <si>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</si>
  <si>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</si>
  <si>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</si>
  <si>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</si>
  <si>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</si>
  <si>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</si>
  <si>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</si>
  <si>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</si>
  <si>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</si>
  <si>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</si>
  <si>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</si>
  <si>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</si>
  <si>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</si>
  <si>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</si>
  <si>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</si>
  <si>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</si>
  <si>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</si>
  <si>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</si>
  <si>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</si>
  <si>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</si>
  <si>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</si>
  <si>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</si>
  <si>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</si>
  <si>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</si>
  <si>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</si>
  <si>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</si>
  <si>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</si>
  <si>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</si>
  <si>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</si>
  <si>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</si>
  <si>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</si>
  <si>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</si>
  <si>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</si>
  <si>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</si>
  <si>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</si>
  <si>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</si>
  <si>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</si>
  <si>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</si>
  <si>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</si>
  <si>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</si>
  <si>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</si>
  <si>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</si>
  <si>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</si>
  <si>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</si>
  <si>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</si>
  <si>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</si>
  <si>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</si>
  <si>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</si>
  <si>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</si>
  <si>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</si>
  <si>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</si>
  <si>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</si>
  <si>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</si>
  <si>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</si>
  <si>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</si>
  <si>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</si>
  <si>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</si>
  <si>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</si>
  <si>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</si>
  <si>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</si>
  <si>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</si>
  <si>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</si>
  <si>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</si>
  <si>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</si>
  <si>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</si>
  <si>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</si>
  <si>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</si>
  <si>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</si>
  <si>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</si>
  <si>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</si>
  <si>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</si>
  <si>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</si>
  <si>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</si>
  <si>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</si>
  <si>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</si>
  <si>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</si>
  <si>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</si>
  <si>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</si>
  <si>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</si>
  <si>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</si>
  <si>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</si>
  <si>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</si>
  <si>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</si>
  <si>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</si>
  <si>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</si>
  <si>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</si>
  <si>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</si>
  <si>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</si>
  <si>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</si>
  <si>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</si>
  <si>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</si>
  <si>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</si>
  <si>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</si>
  <si>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</si>
  <si>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</si>
  <si>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</si>
  <si>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</si>
  <si>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</si>
  <si>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</si>
  <si>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</si>
  <si>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</si>
  <si>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</si>
  <si>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</si>
  <si>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</si>
  <si>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</si>
  <si>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</si>
  <si>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</si>
  <si>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</si>
  <si>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</si>
  <si>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</si>
  <si>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</si>
  <si>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</si>
  <si>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</si>
  <si>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</si>
  <si>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</si>
  <si>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</si>
  <si>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</si>
  <si>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</si>
  <si>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</si>
  <si>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</si>
  <si>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</si>
  <si>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</si>
  <si>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</si>
  <si>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</si>
  <si>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</si>
  <si>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</si>
  <si>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</si>
  <si>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</si>
  <si>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</si>
  <si>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</si>
  <si>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</si>
  <si>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</si>
  <si>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</si>
  <si>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</si>
  <si>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</si>
  <si>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</si>
  <si>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</si>
  <si>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</si>
  <si>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</si>
  <si>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</si>
  <si>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</si>
  <si>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</si>
  <si>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</si>
  <si>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</si>
  <si>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</si>
  <si>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</si>
  <si>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</si>
  <si>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</si>
  <si>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</si>
  <si>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</si>
  <si>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</si>
  <si>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</si>
  <si>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</si>
  <si>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</si>
  <si>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</si>
  <si>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</si>
  <si>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</si>
  <si>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</si>
  <si>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</si>
  <si>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</si>
  <si>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</si>
  <si>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</si>
  <si>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</si>
  <si>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</si>
  <si>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</si>
  <si>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</si>
  <si>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</si>
  <si>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</si>
  <si>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</si>
  <si>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</si>
  <si>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</si>
  <si>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</si>
  <si>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</si>
  <si>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</si>
  <si>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</si>
  <si>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</si>
  <si>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</si>
  <si>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</si>
  <si>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</si>
  <si>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</si>
  <si>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</si>
  <si>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</si>
  <si>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</si>
  <si>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</si>
  <si>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</si>
  <si>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</si>
  <si>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</si>
  <si>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</si>
  <si>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</si>
  <si>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</si>
  <si>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</si>
  <si>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</si>
  <si>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</si>
  <si>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</si>
  <si>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</si>
  <si>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</si>
  <si>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</si>
  <si>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</si>
  <si>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</si>
  <si>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</si>
  <si>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</si>
  <si>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</si>
  <si>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</si>
  <si>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</si>
  <si>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</si>
  <si>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</si>
  <si>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</si>
  <si>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</si>
  <si>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</si>
  <si>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</si>
  <si>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</si>
  <si>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</si>
  <si>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</si>
  <si>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</si>
  <si>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</si>
  <si>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</si>
  <si>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</si>
  <si>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</si>
  <si>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</si>
  <si>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</si>
  <si>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</si>
  <si>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</si>
  <si>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</si>
  <si>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</si>
  <si>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</si>
  <si>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</si>
  <si>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</si>
  <si>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</si>
  <si>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</si>
  <si>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</si>
  <si>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</si>
  <si>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</si>
  <si>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</si>
  <si>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</si>
  <si>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</si>
  <si>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</si>
  <si>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</si>
  <si>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</si>
  <si>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</si>
  <si>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</si>
  <si>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</si>
  <si>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</si>
  <si>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</si>
  <si>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</si>
  <si>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</si>
  <si>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</si>
  <si>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</si>
  <si>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</si>
  <si>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</si>
  <si>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</si>
  <si>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</si>
  <si>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</si>
  <si>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</si>
  <si>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</si>
  <si>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</si>
  <si>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</si>
  <si>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</si>
  <si>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</si>
  <si>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</si>
  <si>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</si>
  <si>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</si>
  <si>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</si>
  <si>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</si>
  <si>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</si>
  <si>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</si>
  <si>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</si>
  <si>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</si>
  <si>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</si>
  <si>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</si>
  <si>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</si>
  <si>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</si>
  <si>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</si>
  <si>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</si>
  <si>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</si>
  <si>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</si>
  <si>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</si>
  <si>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</si>
  <si>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</si>
  <si>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</si>
  <si>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</si>
  <si>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</si>
  <si>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</si>
  <si>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</si>
  <si>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</si>
  <si>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</si>
  <si>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</si>
  <si>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</si>
  <si>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</si>
  <si>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</si>
  <si>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</si>
  <si>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</si>
  <si>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</si>
  <si>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</si>
  <si>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</si>
  <si>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</si>
  <si>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</si>
  <si>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</si>
  <si>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</si>
  <si>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</si>
  <si>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</si>
  <si>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</si>
  <si>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</si>
  <si>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</si>
  <si>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</si>
  <si>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</si>
  <si>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</si>
  <si>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</si>
  <si>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</si>
  <si>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</si>
  <si>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</si>
  <si>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</si>
  <si>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</si>
  <si>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</si>
  <si>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</si>
  <si>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</si>
  <si>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</si>
  <si>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</si>
  <si>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</si>
  <si>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</si>
  <si>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</si>
  <si>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</si>
  <si>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</si>
  <si>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</si>
  <si>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</si>
  <si>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</si>
  <si>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</si>
  <si>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</si>
  <si>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</si>
  <si>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</si>
  <si>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</si>
  <si>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</si>
  <si>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</si>
  <si>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</si>
  <si>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</si>
  <si>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</si>
  <si>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</si>
  <si>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</si>
  <si>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</si>
  <si>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</si>
  <si>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</si>
  <si>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</si>
  <si>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</si>
  <si>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</si>
  <si>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</si>
  <si>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</si>
  <si>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</si>
  <si>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</si>
  <si>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</si>
  <si>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</si>
  <si>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</si>
  <si>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</si>
  <si>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</si>
  <si>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</si>
  <si>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</si>
  <si>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</si>
  <si>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</si>
  <si>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</si>
  <si>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</si>
  <si>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</si>
  <si>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</si>
  <si>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</si>
  <si>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</si>
  <si>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</si>
  <si>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</si>
  <si>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</si>
  <si>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</si>
  <si>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</si>
  <si>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</si>
  <si>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</si>
  <si>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</si>
  <si>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</si>
  <si>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</si>
  <si>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</si>
  <si>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</si>
  <si>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</si>
  <si>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</si>
  <si>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</si>
  <si>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</si>
  <si>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</si>
  <si>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</si>
  <si>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</si>
  <si>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</si>
  <si>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</si>
  <si>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</si>
  <si>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</si>
  <si>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</si>
  <si>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</si>
  <si>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</si>
  <si>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</si>
  <si>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</si>
  <si>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</si>
  <si>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</si>
  <si>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</si>
  <si>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</si>
  <si>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</si>
  <si>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</si>
  <si>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</si>
  <si>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</si>
  <si>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</si>
  <si>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</si>
  <si>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</si>
  <si>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</si>
  <si>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</si>
  <si>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</si>
  <si>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</si>
  <si>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</si>
  <si>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</si>
  <si>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</si>
  <si>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</si>
  <si>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</si>
  <si>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</si>
  <si>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</si>
  <si>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</si>
  <si>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</si>
  <si>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</si>
  <si>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</si>
  <si>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</si>
  <si>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</si>
  <si>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</si>
  <si>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</si>
  <si>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</si>
  <si>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</si>
  <si>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</si>
  <si>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</si>
  <si>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</si>
  <si>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</si>
  <si>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</si>
  <si>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</si>
  <si>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</si>
  <si>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</si>
  <si>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</si>
  <si>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</si>
  <si>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</si>
  <si>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</si>
  <si>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</si>
  <si>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</si>
  <si>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</si>
  <si>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</si>
  <si>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</si>
  <si>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</si>
  <si>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</si>
  <si>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</si>
  <si>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</si>
  <si>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</si>
  <si>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</si>
  <si>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</si>
  <si>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</si>
  <si>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</si>
  <si>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</si>
  <si>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</si>
  <si>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</si>
  <si>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</si>
  <si>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</si>
  <si>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</si>
  <si>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</si>
  <si>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</si>
  <si>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</si>
  <si>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</si>
  <si>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</si>
  <si>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</si>
  <si>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</si>
  <si>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</si>
  <si>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</si>
  <si>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</si>
  <si>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</si>
  <si>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</si>
  <si>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</si>
  <si>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</si>
  <si>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</si>
  <si>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</si>
  <si>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</si>
  <si>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</si>
  <si>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</si>
  <si>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</si>
  <si>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</si>
  <si>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</si>
  <si>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</si>
  <si>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</si>
  <si>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</si>
  <si>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</si>
  <si>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</si>
  <si>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</si>
  <si>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</si>
  <si>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</si>
  <si>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</si>
  <si>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</si>
  <si>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</si>
  <si>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</si>
  <si>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</si>
  <si>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</si>
  <si>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</si>
  <si>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</si>
  <si>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</si>
  <si>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</si>
  <si>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</si>
  <si>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</si>
  <si>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</si>
  <si>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</si>
  <si>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</si>
  <si>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</si>
  <si>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</si>
  <si>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</si>
  <si>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</si>
  <si>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</si>
  <si>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</si>
  <si>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</si>
  <si>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</si>
  <si>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</si>
  <si>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</si>
  <si>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</si>
  <si>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</si>
  <si>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</si>
  <si>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</si>
  <si>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</si>
  <si>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</si>
  <si>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</si>
  <si>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</si>
  <si>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</si>
  <si>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</si>
  <si>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</si>
  <si>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</si>
  <si>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</si>
  <si>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</si>
  <si>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</si>
  <si>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</si>
  <si>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</si>
  <si>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</si>
  <si>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</si>
  <si>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</si>
  <si>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</si>
  <si>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</si>
  <si>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</si>
  <si>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</si>
  <si>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</si>
  <si>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</si>
  <si>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</si>
  <si>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</si>
  <si>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</si>
  <si>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</si>
  <si>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</si>
  <si>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</si>
  <si>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</si>
  <si>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</si>
  <si>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</si>
  <si>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</si>
  <si>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</si>
  <si>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</si>
  <si>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</si>
  <si>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</si>
  <si>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</si>
  <si>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</si>
  <si>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</si>
  <si>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</si>
  <si>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</si>
  <si>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</si>
  <si>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</si>
  <si>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</si>
  <si>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</si>
  <si>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</si>
  <si>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</si>
  <si>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</si>
  <si>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</si>
  <si>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</si>
  <si>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</si>
  <si>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</si>
  <si>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</si>
  <si>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</si>
  <si>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</si>
  <si>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</si>
  <si>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</si>
  <si>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</si>
  <si>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</si>
  <si>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</si>
  <si>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</si>
  <si>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</si>
  <si>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</si>
  <si>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</si>
  <si>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</si>
  <si>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</si>
  <si>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</si>
  <si>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</si>
  <si>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</si>
  <si>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</si>
  <si>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</si>
  <si>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</si>
  <si>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</si>
  <si>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</si>
  <si>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</si>
  <si>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</si>
  <si>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</si>
  <si>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</si>
  <si>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</si>
  <si>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</si>
  <si>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</si>
  <si>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</si>
  <si>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</si>
  <si>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</si>
  <si>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</si>
  <si>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</si>
  <si>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</si>
  <si>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</si>
  <si>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</si>
  <si>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</si>
  <si>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</si>
  <si>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</si>
  <si>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</si>
  <si>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</si>
  <si>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</si>
  <si>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</si>
  <si>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</si>
  <si>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</si>
  <si>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</si>
  <si>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</si>
  <si>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</si>
  <si>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</si>
  <si>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</si>
  <si>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</si>
  <si>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</si>
  <si>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</si>
  <si>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</si>
  <si>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</si>
  <si>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</si>
  <si>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</si>
  <si>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</si>
  <si>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</si>
  <si>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</si>
  <si>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</si>
  <si>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</si>
  <si>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</si>
  <si>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</si>
  <si>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</si>
  <si>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</si>
  <si>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</si>
  <si>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</si>
  <si>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</si>
  <si>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</si>
  <si>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</si>
  <si>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</si>
  <si>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</si>
  <si>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</si>
  <si>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</si>
  <si>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</si>
  <si>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</si>
  <si>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</si>
  <si>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</si>
  <si>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</si>
  <si>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</si>
  <si>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</si>
  <si>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</si>
  <si>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</si>
  <si>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</si>
  <si>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</si>
  <si>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</si>
  <si>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</si>
  <si>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</si>
  <si>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</si>
  <si>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</si>
  <si>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</si>
  <si>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</si>
  <si>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</si>
  <si>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</si>
  <si>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</si>
  <si>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</si>
  <si>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</si>
  <si>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</si>
  <si>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</si>
  <si>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</si>
  <si>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</si>
  <si>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</si>
  <si>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</si>
  <si>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</si>
  <si>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</si>
  <si>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</si>
  <si>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</si>
  <si>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</si>
  <si>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</si>
  <si>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</si>
  <si>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</si>
  <si>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</si>
  <si>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</si>
  <si>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</si>
  <si>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</si>
  <si>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</si>
  <si>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</si>
  <si>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</si>
  <si>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</si>
  <si>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</si>
  <si>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</si>
  <si>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</si>
  <si>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</si>
  <si>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</si>
  <si>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</si>
  <si>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</si>
  <si>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</si>
  <si>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</si>
  <si>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</si>
  <si>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</si>
  <si>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</si>
  <si>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</si>
  <si>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</si>
  <si>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</si>
  <si>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</si>
  <si>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</si>
  <si>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</si>
  <si>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</si>
  <si>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</si>
  <si>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</si>
  <si>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</si>
  <si>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</si>
  <si>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</si>
  <si>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</si>
  <si>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</si>
  <si>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</si>
  <si>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</si>
  <si>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</si>
  <si>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</si>
  <si>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</si>
  <si>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</si>
  <si>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</si>
  <si>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</si>
  <si>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</si>
  <si>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</si>
  <si>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</si>
  <si>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</si>
  <si>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</si>
  <si>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</si>
  <si>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</si>
  <si>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</si>
  <si>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</si>
  <si>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</si>
  <si>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</si>
  <si>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</si>
  <si>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</si>
  <si>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</si>
  <si>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</si>
  <si>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</si>
  <si>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</si>
  <si>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</si>
  <si>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</si>
  <si>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</si>
  <si>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</si>
  <si>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</si>
  <si>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</si>
  <si>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</si>
  <si>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</si>
  <si>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</si>
  <si>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</si>
  <si>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</si>
  <si>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</si>
  <si>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</si>
  <si>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</si>
  <si>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</si>
  <si>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</si>
  <si>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</si>
  <si>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</si>
  <si>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</si>
  <si>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</si>
  <si>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</si>
  <si>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</si>
  <si>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</si>
  <si>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</si>
  <si>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</si>
  <si>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</si>
  <si>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</si>
  <si>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</si>
  <si>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</si>
  <si>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</si>
  <si>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</si>
  <si>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</si>
  <si>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</si>
  <si>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</si>
  <si>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</si>
  <si>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</si>
  <si>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</si>
  <si>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</si>
  <si>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</si>
  <si>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</si>
  <si>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</si>
  <si>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</si>
  <si>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</si>
  <si>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</si>
  <si>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</si>
  <si>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</si>
  <si>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</si>
  <si>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</si>
  <si>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</si>
  <si>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</si>
  <si>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</si>
  <si>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</si>
  <si>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</si>
  <si>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</si>
  <si>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</si>
  <si>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</si>
  <si>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</si>
  <si>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</si>
  <si>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</si>
  <si>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</si>
  <si>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</si>
  <si>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</si>
  <si>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</si>
  <si>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</si>
  <si>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</si>
  <si>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</si>
  <si>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</si>
  <si>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</si>
  <si>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</si>
  <si>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</si>
  <si>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</si>
  <si>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</si>
  <si>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</si>
  <si>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</si>
  <si>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</si>
  <si>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</si>
  <si>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</si>
  <si>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</si>
  <si>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</si>
  <si>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</si>
  <si>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</si>
  <si>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</si>
  <si>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</si>
  <si>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</si>
  <si>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</si>
  <si>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</si>
  <si>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</si>
  <si>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</si>
  <si>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</si>
  <si>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</si>
  <si>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</si>
  <si>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</si>
  <si>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</si>
  <si>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</si>
  <si>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</si>
  <si>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</si>
  <si>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</si>
  <si>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</si>
  <si>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</si>
  <si>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</si>
  <si>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</si>
  <si>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</si>
  <si>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</si>
  <si>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</si>
  <si>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</si>
  <si>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</si>
  <si>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</si>
  <si>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</si>
  <si>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</si>
  <si>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</si>
  <si>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</si>
  <si>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</si>
  <si>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</si>
  <si>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</si>
  <si>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</si>
  <si>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</si>
  <si>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</si>
  <si>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</si>
  <si>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</si>
  <si>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</si>
  <si>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</si>
  <si>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</si>
  <si>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</si>
  <si>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</si>
  <si>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</si>
  <si>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</si>
  <si>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</si>
  <si>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</si>
  <si>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</si>
  <si>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</si>
  <si>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</si>
  <si>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</si>
  <si>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</si>
  <si>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</si>
  <si>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</si>
  <si>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</si>
  <si>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</si>
  <si>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</si>
  <si>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</si>
  <si>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</si>
  <si>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</si>
  <si>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</si>
  <si>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</si>
  <si>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</si>
  <si>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</si>
  <si>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</si>
  <si>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</si>
  <si>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</si>
  <si>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</si>
  <si>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</si>
  <si>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</si>
  <si>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</si>
  <si>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</si>
  <si>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</si>
  <si>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</si>
  <si>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</si>
  <si>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</si>
  <si>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</si>
  <si>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</si>
  <si>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</si>
  <si>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</si>
  <si>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</si>
  <si>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</si>
  <si>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</si>
  <si>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</si>
  <si>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</si>
  <si>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</si>
  <si>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</si>
  <si>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</si>
  <si>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</si>
  <si>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</si>
  <si>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</si>
  <si>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</si>
  <si>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</si>
  <si>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</si>
  <si>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</si>
  <si>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</si>
  <si>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</si>
  <si>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</si>
  <si>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</si>
  <si>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</si>
  <si>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</si>
  <si>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</si>
  <si>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</si>
  <si>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</si>
  <si>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</si>
  <si>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</si>
  <si>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</si>
  <si>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</si>
  <si>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</si>
  <si>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</si>
  <si>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</si>
  <si>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</si>
  <si>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</si>
  <si>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</si>
  <si>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</si>
  <si>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</si>
  <si>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</si>
  <si>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</si>
  <si>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</si>
  <si>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</si>
  <si>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</si>
  <si>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</si>
  <si>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</si>
  <si>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</si>
  <si>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</si>
  <si>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</si>
  <si>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</si>
  <si>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</si>
  <si>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</si>
  <si>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</si>
  <si>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</si>
  <si>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</si>
  <si>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</si>
  <si>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</si>
  <si>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</si>
  <si>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</si>
  <si>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</si>
  <si>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</si>
  <si>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</si>
  <si>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</si>
  <si>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</si>
  <si>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</si>
  <si>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</si>
  <si>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</si>
  <si>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</si>
  <si>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</si>
  <si>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</si>
  <si>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</si>
  <si>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</si>
  <si>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</si>
  <si>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</si>
  <si>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</si>
  <si>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</si>
  <si>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</si>
  <si>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</si>
  <si>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</si>
  <si>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</si>
  <si>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</si>
  <si>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</si>
  <si>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</si>
  <si>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</si>
  <si>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</si>
  <si>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</si>
  <si>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</si>
  <si>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</si>
  <si>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</si>
  <si>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</si>
  <si>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</si>
  <si>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</si>
  <si>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</si>
  <si>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</si>
  <si>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</si>
  <si>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</si>
  <si>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</si>
  <si>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</si>
  <si>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</si>
  <si>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</si>
  <si>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</si>
  <si>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</si>
  <si>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</si>
  <si>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</si>
  <si>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</si>
  <si>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</si>
  <si>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</si>
  <si>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</si>
  <si>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</si>
  <si>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</si>
  <si>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</si>
  <si>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</si>
  <si>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</si>
  <si>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</si>
  <si>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</si>
  <si>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</si>
  <si>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</si>
  <si>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</si>
  <si>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</si>
  <si>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</si>
  <si>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</si>
  <si>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</si>
  <si>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</si>
  <si>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</si>
  <si>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</si>
  <si>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</si>
  <si>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</si>
  <si>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</si>
  <si>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</si>
  <si>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</si>
  <si>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</si>
  <si>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</si>
  <si>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</si>
  <si>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</si>
  <si>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</si>
  <si>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</si>
  <si>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</si>
  <si>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</si>
  <si>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</si>
  <si>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</si>
  <si>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</si>
  <si>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</si>
  <si>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</si>
  <si>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</si>
  <si>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</si>
  <si>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</si>
  <si>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</si>
  <si>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</si>
  <si>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</si>
  <si>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</si>
  <si>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</si>
  <si>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</si>
  <si>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</si>
  <si>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</si>
  <si>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</si>
  <si>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</si>
  <si>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</si>
  <si>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</si>
  <si>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</si>
  <si>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</si>
  <si>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</si>
  <si>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</si>
  <si>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</si>
  <si>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</si>
  <si>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</si>
  <si>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</si>
  <si>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</si>
  <si>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</si>
  <si>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</si>
  <si>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</si>
  <si>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</si>
  <si>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</si>
  <si>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</si>
  <si>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</si>
  <si>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</si>
  <si>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</si>
  <si>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</si>
  <si>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</si>
  <si>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</si>
  <si>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</si>
  <si>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</si>
  <si>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</si>
  <si>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</si>
  <si>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</si>
  <si>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</si>
  <si>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</si>
  <si>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</si>
  <si>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</si>
  <si>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</si>
  <si>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</si>
  <si>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</si>
  <si>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</si>
  <si>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</si>
  <si>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</si>
  <si>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</si>
  <si>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</si>
  <si>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</si>
  <si>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</si>
  <si>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</si>
  <si>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</si>
  <si>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</si>
  <si>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</si>
  <si>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</si>
  <si>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</si>
  <si>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</si>
  <si>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</si>
  <si>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</si>
  <si>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</si>
  <si>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</si>
  <si>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</si>
  <si>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</si>
  <si>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</si>
  <si>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</si>
  <si>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</si>
  <si>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</si>
  <si>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</si>
  <si>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</si>
  <si>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</si>
  <si>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</si>
  <si>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</si>
  <si>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</si>
  <si>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</si>
  <si>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</si>
  <si>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</si>
  <si>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</si>
  <si>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</si>
  <si>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</si>
  <si>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</si>
  <si>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</si>
  <si>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</si>
  <si>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</si>
  <si>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</si>
  <si>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</si>
  <si>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</si>
  <si>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</si>
  <si>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</si>
  <si>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</si>
  <si>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</si>
  <si>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</si>
  <si>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</si>
  <si>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</si>
  <si>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</si>
  <si>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</si>
  <si>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</si>
  <si>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</si>
  <si>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</si>
  <si>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</si>
  <si>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</si>
  <si>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</si>
  <si>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</si>
  <si>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</si>
  <si>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</si>
  <si>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</si>
  <si>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</si>
  <si>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</si>
  <si>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</si>
  <si>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</si>
  <si>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</si>
  <si>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</si>
  <si>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</si>
  <si>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</si>
  <si>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</si>
  <si>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</si>
  <si>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</si>
  <si>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</si>
  <si>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</si>
  <si>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</si>
  <si>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</si>
  <si>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</si>
  <si>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</si>
  <si>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</si>
  <si>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</si>
  <si>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</si>
  <si>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</si>
  <si>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</si>
  <si>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</si>
  <si>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</si>
  <si>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</si>
  <si>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</si>
  <si>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</si>
  <si>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</si>
  <si>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</si>
  <si>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</si>
  <si>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</si>
  <si>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</si>
  <si>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</si>
  <si>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</si>
  <si>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</si>
  <si>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</si>
  <si>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</si>
  <si>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</si>
  <si>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</si>
  <si>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</si>
  <si>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</si>
  <si>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</si>
  <si>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</si>
  <si>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</si>
  <si>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</si>
  <si>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</si>
  <si>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</si>
  <si>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</si>
  <si>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</si>
  <si>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</si>
  <si>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</si>
  <si>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</si>
  <si>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</si>
  <si>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</si>
  <si>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</si>
  <si>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</si>
  <si>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</si>
  <si>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</si>
  <si>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</si>
  <si>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</si>
  <si>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</si>
  <si>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</si>
  <si>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</si>
  <si>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</si>
  <si>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</si>
  <si>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</si>
  <si>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</si>
  <si>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</si>
  <si>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</si>
  <si>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</si>
  <si>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</si>
  <si>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</si>
  <si>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</si>
  <si>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</si>
  <si>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</si>
  <si>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</si>
  <si>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</si>
  <si>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</si>
  <si>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</si>
  <si>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</si>
  <si>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</si>
  <si>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</si>
  <si>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</si>
  <si>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</si>
  <si>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</si>
  <si>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</si>
  <si>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</si>
  <si>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</si>
  <si>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</si>
  <si>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</si>
  <si>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</si>
  <si>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</si>
  <si>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</si>
  <si>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</si>
  <si>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</si>
  <si>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</si>
  <si>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</si>
  <si>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</si>
  <si>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</si>
  <si>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</si>
  <si>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</si>
  <si>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</si>
  <si>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</si>
  <si>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</si>
  <si>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</si>
  <si>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</si>
  <si>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</si>
  <si>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</si>
  <si>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</si>
  <si>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</si>
  <si>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</si>
  <si>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</si>
  <si>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</si>
  <si>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</si>
  <si>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</si>
  <si>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</si>
  <si>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</si>
  <si>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</si>
  <si>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</si>
  <si>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</si>
  <si>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</si>
  <si>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</si>
  <si>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</si>
  <si>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</si>
  <si>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</si>
  <si>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</si>
  <si>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</si>
  <si>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</si>
  <si>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</si>
  <si>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</si>
  <si>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</si>
  <si>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</si>
  <si>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</si>
  <si>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</si>
  <si>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</si>
  <si>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</si>
  <si>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</si>
  <si>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</si>
  <si>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</si>
  <si>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</si>
  <si>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</si>
  <si>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</si>
  <si>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</si>
  <si>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</si>
  <si>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</si>
  <si>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</si>
  <si>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</si>
  <si>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</si>
  <si>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</si>
  <si>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</si>
  <si>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</si>
  <si>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</si>
  <si>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</si>
  <si>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</si>
  <si>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</si>
  <si>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</si>
  <si>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</si>
  <si>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</si>
  <si>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</si>
  <si>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</si>
  <si>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</si>
  <si>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</si>
  <si>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</si>
  <si>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</si>
  <si>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</si>
  <si>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</si>
  <si>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</si>
  <si>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</si>
  <si>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</si>
  <si>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</si>
  <si>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</si>
  <si>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</si>
  <si>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</si>
  <si>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</si>
  <si>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</si>
  <si>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</si>
  <si>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</si>
  <si>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</si>
  <si>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</si>
  <si>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</si>
  <si>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</si>
  <si>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</si>
  <si>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</si>
  <si>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</si>
  <si>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</si>
  <si>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</si>
  <si>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</si>
  <si>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</si>
  <si>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</si>
  <si>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</si>
  <si>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</si>
  <si>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</si>
  <si>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</si>
  <si>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</si>
  <si>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</si>
  <si>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</si>
  <si>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</si>
  <si>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</si>
  <si>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</si>
  <si>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</si>
  <si>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</si>
  <si>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</si>
  <si>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</si>
  <si>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</si>
  <si>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</si>
  <si>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</si>
  <si>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</si>
  <si>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</si>
  <si>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</si>
  <si>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</si>
  <si>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</si>
  <si>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</si>
  <si>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</si>
  <si>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</si>
  <si>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</si>
  <si>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</si>
  <si>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</si>
  <si>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</si>
  <si>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</si>
  <si>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</si>
  <si>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</si>
  <si>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</si>
  <si>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</si>
  <si>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</si>
  <si>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</si>
  <si>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</si>
  <si>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</si>
  <si>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</si>
  <si>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</si>
  <si>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</si>
  <si>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</si>
  <si>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</si>
  <si>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</si>
  <si>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</si>
  <si>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</si>
  <si>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</si>
  <si>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</si>
  <si>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</si>
  <si>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</si>
  <si>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</si>
  <si>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</si>
  <si>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</si>
  <si>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</si>
  <si>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</si>
  <si>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</si>
  <si>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</si>
  <si>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</si>
  <si>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</si>
  <si>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</si>
  <si>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</si>
  <si>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</si>
  <si>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</si>
  <si>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</si>
  <si>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</si>
  <si>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</si>
  <si>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</si>
  <si>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</si>
  <si>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</si>
  <si>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</si>
  <si>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</si>
  <si>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</si>
  <si>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</si>
  <si>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</si>
  <si>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</si>
  <si>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</si>
  <si>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</si>
  <si>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</si>
  <si>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</si>
  <si>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</si>
  <si>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</si>
  <si>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</si>
  <si>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</si>
  <si>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</si>
  <si>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</si>
  <si>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</si>
  <si>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</si>
  <si>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</si>
  <si>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</si>
  <si>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</si>
  <si>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</si>
  <si>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</si>
  <si>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</si>
  <si>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</si>
  <si>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</si>
  <si>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</si>
  <si>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</si>
  <si>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</si>
  <si>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</si>
  <si>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</si>
  <si>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</si>
  <si>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</si>
  <si>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</si>
  <si>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</si>
  <si>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</si>
  <si>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</si>
  <si>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</si>
  <si>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</si>
  <si>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</si>
  <si>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</si>
  <si>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</si>
  <si>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</si>
  <si>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</si>
  <si>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</si>
  <si>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</si>
  <si>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</si>
  <si>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</si>
  <si>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</si>
  <si>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</si>
  <si>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</si>
  <si>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</si>
  <si>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</si>
  <si>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</si>
  <si>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</si>
  <si>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</si>
  <si>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</si>
  <si>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</si>
  <si>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</si>
  <si>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</si>
  <si>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</si>
  <si>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</si>
  <si>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</si>
  <si>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</si>
  <si>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</si>
  <si>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</si>
  <si>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</si>
  <si>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</si>
  <si>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</si>
  <si>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</si>
  <si>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</si>
  <si>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</si>
  <si>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</si>
  <si>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</si>
  <si>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</si>
  <si>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</si>
  <si>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</si>
  <si>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</si>
  <si>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</si>
  <si>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</si>
  <si>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</si>
  <si>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</si>
  <si>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</si>
  <si>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</si>
  <si>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</si>
  <si>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</si>
  <si>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</si>
  <si>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</si>
  <si>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</si>
  <si>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</si>
  <si>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</si>
  <si>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</si>
  <si>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</si>
  <si>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</si>
  <si>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</si>
  <si>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</si>
  <si>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</si>
  <si>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</si>
  <si>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</si>
  <si>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</si>
  <si>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</si>
  <si>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</si>
  <si>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</si>
  <si>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</si>
  <si>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</si>
  <si>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</si>
  <si>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</si>
  <si>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</si>
  <si>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</si>
  <si>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</si>
  <si>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</si>
  <si>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</si>
  <si>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</si>
  <si>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</si>
  <si>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</si>
  <si>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</si>
  <si>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</si>
  <si>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</si>
  <si>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</si>
  <si>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</si>
  <si>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</si>
  <si>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</si>
  <si>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</si>
  <si>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</si>
  <si>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</si>
  <si>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</si>
  <si>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</si>
  <si>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</si>
  <si>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</si>
  <si>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</si>
  <si>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</si>
  <si>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</si>
  <si>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</si>
  <si>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</si>
  <si>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</si>
  <si>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</si>
  <si>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</si>
  <si>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</si>
  <si>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</si>
  <si>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</si>
  <si>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</si>
  <si>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</si>
  <si>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</si>
  <si>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</si>
  <si>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</si>
  <si>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</si>
  <si>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</si>
  <si>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</si>
  <si>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</si>
  <si>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</si>
  <si>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</si>
  <si>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</si>
  <si>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</si>
  <si>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</si>
  <si>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</si>
  <si>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</si>
  <si>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</si>
  <si>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</si>
  <si>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</si>
  <si>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</si>
  <si>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</si>
  <si>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</si>
  <si>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</si>
  <si>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</si>
  <si>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</si>
  <si>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</si>
  <si>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</si>
  <si>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</si>
  <si>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</si>
  <si>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</si>
  <si>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</si>
  <si>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</si>
  <si>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</si>
  <si>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</si>
  <si>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</si>
  <si>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</si>
  <si>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</si>
  <si>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</si>
  <si>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</si>
  <si>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</si>
  <si>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</si>
  <si>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</si>
  <si>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</si>
  <si>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</si>
  <si>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</si>
  <si>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</si>
  <si>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</si>
  <si>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</si>
  <si>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</si>
  <si>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</si>
  <si>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</si>
  <si>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</si>
  <si>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</si>
  <si>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</si>
  <si>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</si>
  <si>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</si>
  <si>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</si>
  <si>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</si>
  <si>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</si>
  <si>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</si>
  <si>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</si>
  <si>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</si>
  <si>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</si>
  <si>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</si>
  <si>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</si>
  <si>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</si>
  <si>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</si>
  <si>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</si>
  <si>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</si>
  <si>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</si>
  <si>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</si>
  <si>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</si>
  <si>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</si>
  <si>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</si>
  <si>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</si>
  <si>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</si>
  <si>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</si>
  <si>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</si>
  <si>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</si>
  <si>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</si>
  <si>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</si>
  <si>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</si>
  <si>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</si>
  <si>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</si>
  <si>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</si>
  <si>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</si>
  <si>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</si>
  <si>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</si>
  <si>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</si>
  <si>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</si>
  <si>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</si>
  <si>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</si>
  <si>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</si>
  <si>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</si>
  <si>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</si>
  <si>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</si>
  <si>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</si>
  <si>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</si>
  <si>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</si>
  <si>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</si>
  <si>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</si>
  <si>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</si>
  <si>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</si>
  <si>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</si>
  <si>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</si>
  <si>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</si>
  <si>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</si>
  <si>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</si>
  <si>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</si>
  <si>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</si>
  <si>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</si>
  <si>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</si>
  <si>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</si>
  <si>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</si>
  <si>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</si>
  <si>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</si>
  <si>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</si>
  <si>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</si>
  <si>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</si>
  <si>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</si>
  <si>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</si>
  <si>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</si>
  <si>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</si>
  <si>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</si>
  <si>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</si>
  <si>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</si>
  <si>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</si>
  <si>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</si>
  <si>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</si>
  <si>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</si>
  <si>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</si>
  <si>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</si>
  <si>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</si>
  <si>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</si>
  <si>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</si>
  <si>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</si>
  <si>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</si>
  <si>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</si>
  <si>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</si>
  <si>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</si>
  <si>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</si>
  <si>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</si>
  <si>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</si>
  <si>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</si>
  <si>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</si>
  <si>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</si>
  <si>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</si>
  <si>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</si>
  <si>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</si>
  <si>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</si>
  <si>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</si>
  <si>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</si>
  <si>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</si>
  <si>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</si>
  <si>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</si>
  <si>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</si>
  <si>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</si>
  <si>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</si>
  <si>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</si>
  <si>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</si>
  <si>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</si>
  <si>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</si>
  <si>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</si>
  <si>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</si>
  <si>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</si>
  <si>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</si>
  <si>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</si>
  <si>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</si>
  <si>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</si>
  <si>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</si>
  <si>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</si>
  <si>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</si>
  <si>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</si>
  <si>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</si>
  <si>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</si>
  <si>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</si>
  <si>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</si>
  <si>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</si>
  <si>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</si>
  <si>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</si>
  <si>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</si>
  <si>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</si>
  <si>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</si>
  <si>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</si>
  <si>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</si>
  <si>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</si>
  <si>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</si>
  <si>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</si>
  <si>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</si>
  <si>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</si>
  <si>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</si>
  <si>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</si>
  <si>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</si>
  <si>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</si>
  <si>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</si>
  <si>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</si>
  <si>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</si>
  <si>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</si>
  <si>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</si>
  <si>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</si>
  <si>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</si>
  <si>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</si>
  <si>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</si>
  <si>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</si>
  <si>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</si>
  <si>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</si>
  <si>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</si>
  <si>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</si>
  <si>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</si>
  <si>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</si>
  <si>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</si>
  <si>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</si>
  <si>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</si>
  <si>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</si>
  <si>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</si>
  <si>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</si>
  <si>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</si>
  <si>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</si>
  <si>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</si>
  <si>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</si>
  <si>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</si>
  <si>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</si>
  <si>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</si>
  <si>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</si>
  <si>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</si>
  <si>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</si>
  <si>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</si>
  <si>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</si>
  <si>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</si>
  <si>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</si>
  <si>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</si>
  <si>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</si>
  <si>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</si>
  <si>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</si>
  <si>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</si>
  <si>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</si>
  <si>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</si>
  <si>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</si>
  <si>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</si>
  <si>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</si>
  <si>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</si>
  <si>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</si>
  <si>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</si>
  <si>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</si>
  <si>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</si>
  <si>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</si>
  <si>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</si>
  <si>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</si>
  <si>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</si>
  <si>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</si>
  <si>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</si>
  <si>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</si>
  <si>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</si>
  <si>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</si>
  <si>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</si>
  <si>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</si>
  <si>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</si>
  <si>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</si>
  <si>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</si>
  <si>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</si>
  <si>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</si>
  <si>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</si>
  <si>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</si>
  <si>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</si>
  <si>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</si>
  <si>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</si>
  <si>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</si>
  <si>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</si>
  <si>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</si>
  <si>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</si>
  <si>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</si>
  <si>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</si>
  <si>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</si>
  <si>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</si>
  <si>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</si>
  <si>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</si>
  <si>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</si>
  <si>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</si>
  <si>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</si>
  <si>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</si>
  <si>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</si>
  <si>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</si>
  <si>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</si>
  <si>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</si>
  <si>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</si>
  <si>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</si>
  <si>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</si>
  <si>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</si>
  <si>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</si>
  <si>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</si>
  <si>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</si>
  <si>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</si>
  <si>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</si>
  <si>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</si>
  <si>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</si>
  <si>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</si>
  <si>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</si>
  <si>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</si>
  <si>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</si>
  <si>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</si>
  <si>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</si>
  <si>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</si>
  <si>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</si>
  <si>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</si>
  <si>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</si>
  <si>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</si>
  <si>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</si>
  <si>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</si>
  <si>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</si>
  <si>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</si>
  <si>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</si>
  <si>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</si>
  <si>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</si>
  <si>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</si>
  <si>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</si>
  <si>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</si>
  <si>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</si>
  <si>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</si>
  <si>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</si>
  <si>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</si>
  <si>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</si>
  <si>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</si>
  <si>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</si>
  <si>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</si>
  <si>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</si>
  <si>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</si>
  <si>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</si>
  <si>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</si>
  <si>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</si>
  <si>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</si>
  <si>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</si>
  <si>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</si>
  <si>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</si>
  <si>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</si>
  <si>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</si>
  <si>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</si>
  <si>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</si>
  <si>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</si>
  <si>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</si>
  <si>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</si>
  <si>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</si>
  <si>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</si>
  <si>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</si>
  <si>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</si>
  <si>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</si>
  <si>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</si>
  <si>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</si>
  <si>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</si>
  <si>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</si>
  <si>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</si>
  <si>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</si>
  <si>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</si>
  <si>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</si>
  <si>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</si>
  <si>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</si>
  <si>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</si>
  <si>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</si>
  <si>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</si>
  <si>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</si>
  <si>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</si>
  <si>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</si>
  <si>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</si>
  <si>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</si>
  <si>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</si>
  <si>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</si>
  <si>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</si>
  <si>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</si>
  <si>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</si>
  <si>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</si>
  <si>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</si>
  <si>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</si>
  <si>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</si>
  <si>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</si>
  <si>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</si>
  <si>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</si>
  <si>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</si>
  <si>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</si>
  <si>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</si>
  <si>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</si>
  <si>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</si>
  <si>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</si>
  <si>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</si>
  <si>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</si>
  <si>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</si>
  <si>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</si>
  <si>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</si>
  <si>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</si>
  <si>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</si>
  <si>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</si>
  <si>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</si>
  <si>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</si>
  <si>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</si>
  <si>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</si>
  <si>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</si>
  <si>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</si>
  <si>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</si>
  <si>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</si>
  <si>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</si>
  <si>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</si>
  <si>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</si>
  <si>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</si>
  <si>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</si>
  <si>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</si>
  <si>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</si>
  <si>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</si>
  <si>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</si>
  <si>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</si>
  <si>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</si>
  <si>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</si>
  <si>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</si>
  <si>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</si>
  <si>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</si>
  <si>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</si>
  <si>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</si>
  <si>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</si>
  <si>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</si>
  <si>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</si>
  <si>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</si>
  <si>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</si>
  <si>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</si>
  <si>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</si>
  <si>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</si>
  <si>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</si>
  <si>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</si>
  <si>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</si>
  <si>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</si>
  <si>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</si>
  <si>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</si>
  <si>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</si>
  <si>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</si>
  <si>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</si>
  <si>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</si>
  <si>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</si>
  <si>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</si>
  <si>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</si>
  <si>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</si>
  <si>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</si>
  <si>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</si>
  <si>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</si>
  <si>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</si>
  <si>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</si>
  <si>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</si>
  <si>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</si>
  <si>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</si>
  <si>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</si>
  <si>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</si>
  <si>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</si>
  <si>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</si>
  <si>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</si>
  <si>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</si>
  <si>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</si>
  <si>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</si>
  <si>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</si>
  <si>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</si>
  <si>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</si>
  <si>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</si>
  <si>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</si>
  <si>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</si>
  <si>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</si>
  <si>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</si>
  <si>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</si>
  <si>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</si>
  <si>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</si>
  <si>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</si>
  <si>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</si>
  <si>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</si>
  <si>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</si>
  <si>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</si>
  <si>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</si>
  <si>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</si>
  <si>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</si>
  <si>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</si>
  <si>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</si>
  <si>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</si>
  <si>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</si>
  <si>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</si>
  <si>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</si>
  <si>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</si>
  <si>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</si>
  <si>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</si>
  <si>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</si>
  <si>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</si>
  <si>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</si>
  <si>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</si>
  <si>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</si>
  <si>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</si>
  <si>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</si>
  <si>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</si>
  <si>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</si>
  <si>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</si>
  <si>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</si>
  <si>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</si>
  <si>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</si>
  <si>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</si>
  <si>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</si>
  <si>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</si>
  <si>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</si>
  <si>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</si>
  <si>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</si>
  <si>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</si>
  <si>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</si>
  <si>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</si>
  <si>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</si>
  <si>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</si>
  <si>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</si>
  <si>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</si>
  <si>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</si>
  <si>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</si>
  <si>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</si>
  <si>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</si>
  <si>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</si>
  <si>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</si>
  <si>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</si>
  <si>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</si>
  <si>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</si>
  <si>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</si>
  <si>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</si>
  <si>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</si>
  <si>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</si>
  <si>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</si>
  <si>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</si>
  <si>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</si>
  <si>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</si>
  <si>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</si>
  <si>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</si>
  <si>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</si>
  <si>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</si>
  <si>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</si>
  <si>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</si>
  <si>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</si>
  <si>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</si>
  <si>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</si>
  <si>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</si>
  <si>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</si>
  <si>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</si>
  <si>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</si>
  <si>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</si>
  <si>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</si>
  <si>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</si>
  <si>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</si>
  <si>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</si>
  <si>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</si>
  <si>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</si>
  <si>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</si>
  <si>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</si>
  <si>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</si>
  <si>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</si>
  <si>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</si>
  <si>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</si>
  <si>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</si>
  <si>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</si>
  <si>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</si>
  <si>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</si>
  <si>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</si>
  <si>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</si>
  <si>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</si>
  <si>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</si>
  <si>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</si>
  <si>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</si>
  <si>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</si>
  <si>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</si>
  <si>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</si>
  <si>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</si>
  <si>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</si>
  <si>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</si>
  <si>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</si>
  <si>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</si>
  <si>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</si>
  <si>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</si>
  <si>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</si>
  <si>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</si>
  <si>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</si>
  <si>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</si>
  <si>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</si>
  <si>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</si>
  <si>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</si>
  <si>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</si>
  <si>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</si>
  <si>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</si>
  <si>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</si>
  <si>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</si>
  <si>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</si>
  <si>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</si>
  <si>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</si>
  <si>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</si>
  <si>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</si>
  <si>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</si>
  <si>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</si>
  <si>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</si>
  <si>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</si>
  <si>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</si>
  <si>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</si>
  <si>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</si>
  <si>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</si>
  <si>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</si>
  <si>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</si>
  <si>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</si>
  <si>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</si>
  <si>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</si>
  <si>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</si>
  <si>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</si>
  <si>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</si>
  <si>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</si>
  <si>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</si>
  <si>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</si>
  <si>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</si>
  <si>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</si>
  <si>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</si>
  <si>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</si>
  <si>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</si>
  <si>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</si>
  <si>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</si>
  <si>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</si>
  <si>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</si>
  <si>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</si>
  <si>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</si>
  <si>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</si>
  <si>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</si>
  <si>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</si>
  <si>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</si>
  <si>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</si>
  <si>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</si>
  <si>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</si>
  <si>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</si>
  <si>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</si>
  <si>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</si>
  <si>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</si>
  <si>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</si>
  <si>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</si>
  <si>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</si>
  <si>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</si>
  <si>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</si>
  <si>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</si>
  <si>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</si>
  <si>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</si>
  <si>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</si>
  <si>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</si>
  <si>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</si>
  <si>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</si>
  <si>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</si>
  <si>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</si>
  <si>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</si>
  <si>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</si>
  <si>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</si>
  <si>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</si>
  <si>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</si>
  <si>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</si>
  <si>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</si>
  <si>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</si>
  <si>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</si>
  <si>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</si>
  <si>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</si>
  <si>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</si>
  <si>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</si>
  <si>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</si>
  <si>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</si>
  <si>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</si>
  <si>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</si>
  <si>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</si>
  <si>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</si>
  <si>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</si>
  <si>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</si>
  <si>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</si>
  <si>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</si>
  <si>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</si>
  <si>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</si>
  <si>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</si>
  <si>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</si>
  <si>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</si>
  <si>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</si>
  <si>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</si>
  <si>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</si>
  <si>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</si>
  <si>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</si>
  <si>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</si>
  <si>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</si>
  <si>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</si>
  <si>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</si>
  <si>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</si>
  <si>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</si>
  <si>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</si>
  <si>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</si>
  <si>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</si>
  <si>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</si>
  <si>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</si>
  <si>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</si>
  <si>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</si>
  <si>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</si>
  <si>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</si>
  <si>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</si>
  <si>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</si>
  <si>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</si>
  <si>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</si>
  <si>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</si>
  <si>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</si>
  <si>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</si>
  <si>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</si>
  <si>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</si>
  <si>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</si>
  <si>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</si>
  <si>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</si>
  <si>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</si>
  <si>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</si>
  <si>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</si>
  <si>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</si>
  <si>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</si>
  <si>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</si>
  <si>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</si>
  <si>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</si>
  <si>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</si>
  <si>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</si>
  <si>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</si>
  <si>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</si>
  <si>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</si>
  <si>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</si>
  <si>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</si>
  <si>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</si>
  <si>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</si>
  <si>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</si>
  <si>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</si>
  <si>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</si>
  <si>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</si>
  <si>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</si>
  <si>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</si>
  <si>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</si>
  <si>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</si>
  <si>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</si>
  <si>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</si>
  <si>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</si>
  <si>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</si>
  <si>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</si>
  <si>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</si>
  <si>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</si>
  <si>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</si>
  <si>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</si>
  <si>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</si>
  <si>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</si>
  <si>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</si>
  <si>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</si>
  <si>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</si>
  <si>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</si>
  <si>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</si>
  <si>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</si>
  <si>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</si>
  <si>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</si>
  <si>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</si>
  <si>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</si>
  <si>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</si>
  <si>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</si>
  <si>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</si>
  <si>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</si>
  <si>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</si>
  <si>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</si>
  <si>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</si>
  <si>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</si>
  <si>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</si>
  <si>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</si>
  <si>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</si>
  <si>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</si>
  <si>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</si>
  <si>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</si>
  <si>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</si>
  <si>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</si>
  <si>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</si>
  <si>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</si>
  <si>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</si>
  <si>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</si>
  <si>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</si>
  <si>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</si>
  <si>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</si>
  <si>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</si>
  <si>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</si>
  <si>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</si>
  <si>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</si>
  <si>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</si>
  <si>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</si>
  <si>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</si>
  <si>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</si>
  <si>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</si>
  <si>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</si>
  <si>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</si>
  <si>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</si>
  <si>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</si>
  <si>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</si>
  <si>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</si>
  <si>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</si>
  <si>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</si>
  <si>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</si>
  <si>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</si>
  <si>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</si>
  <si>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</si>
  <si>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</si>
  <si>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</si>
  <si>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</si>
  <si>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</si>
  <si>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</si>
  <si>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</si>
  <si>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</si>
  <si>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</si>
  <si>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</si>
  <si>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</si>
  <si>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</si>
  <si>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</si>
  <si>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</si>
  <si>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</si>
  <si>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</si>
  <si>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</si>
  <si>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</si>
  <si>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</si>
  <si>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</si>
  <si>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</si>
  <si>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</si>
  <si>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</si>
  <si>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</si>
  <si>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</si>
  <si>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</si>
  <si>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</si>
  <si>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</si>
  <si>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</si>
  <si>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</si>
  <si>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</si>
  <si>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</si>
  <si>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</si>
  <si>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</si>
  <si>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</si>
  <si>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</si>
  <si>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</si>
  <si>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</si>
  <si>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</si>
  <si>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</si>
  <si>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</si>
  <si>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</si>
  <si>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</si>
  <si>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</si>
  <si>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</si>
  <si>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</si>
  <si>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</si>
  <si>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</si>
  <si>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</si>
  <si>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</si>
  <si>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</si>
  <si>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</si>
  <si>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</si>
  <si>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</si>
  <si>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</si>
  <si>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</si>
  <si>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</si>
  <si>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</si>
  <si>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</si>
  <si>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</si>
  <si>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</si>
  <si>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</si>
  <si>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</si>
  <si>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</si>
  <si>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</si>
  <si>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</si>
  <si>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</si>
  <si>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</si>
  <si>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</si>
  <si>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</si>
  <si>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</si>
  <si>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</si>
  <si>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</si>
  <si>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</si>
  <si>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</si>
  <si>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</si>
  <si>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</si>
  <si>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</si>
  <si>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</si>
  <si>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</si>
  <si>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</si>
  <si>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</si>
  <si>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</si>
  <si>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</si>
  <si>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</si>
  <si>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</si>
  <si>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</si>
  <si>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</si>
  <si>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</si>
  <si>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</si>
  <si>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</si>
  <si>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</si>
  <si>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</si>
  <si>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</si>
  <si>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</si>
  <si>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</si>
  <si>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</si>
  <si>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</si>
  <si>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</si>
  <si>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</si>
  <si>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</si>
  <si>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</si>
  <si>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</si>
  <si>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</si>
  <si>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</si>
  <si>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</si>
  <si>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</si>
  <si>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</si>
  <si>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</si>
  <si>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</si>
  <si>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</si>
  <si>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</si>
  <si>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</si>
  <si>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</si>
  <si>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</si>
  <si>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</si>
  <si>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</si>
  <si>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</si>
  <si>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</si>
  <si>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</si>
  <si>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</si>
  <si>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</si>
  <si>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</si>
  <si>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</si>
  <si>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</si>
  <si>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</si>
  <si>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</si>
  <si>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</si>
  <si>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</si>
  <si>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</si>
  <si>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证号</t>
    <phoneticPr fontId="143" type="noConversion"/>
  </si>
  <si>
    <t>权利人</t>
    <phoneticPr fontId="143" type="noConversion"/>
  </si>
  <si>
    <t>坐落</t>
    <phoneticPr fontId="143" type="noConversion"/>
  </si>
  <si>
    <t>江苏拜克新材料有限公司</t>
    <phoneticPr fontId="143" type="noConversion"/>
  </si>
  <si>
    <t>不动产单元号</t>
    <phoneticPr fontId="143" type="noConversion"/>
  </si>
  <si>
    <t>用途</t>
    <phoneticPr fontId="143" type="noConversion"/>
  </si>
  <si>
    <t>工业</t>
    <phoneticPr fontId="143" type="noConversion"/>
  </si>
  <si>
    <t>宗地面积</t>
    <phoneticPr fontId="143" type="noConversion"/>
  </si>
  <si>
    <t>建筑面积</t>
    <phoneticPr fontId="143" type="noConversion"/>
  </si>
  <si>
    <t>使用期限</t>
    <phoneticPr fontId="143" type="noConversion"/>
  </si>
  <si>
    <t>容积率</t>
    <phoneticPr fontId="143" type="noConversion"/>
  </si>
  <si>
    <t>40%≤建筑密度≤45%</t>
    <phoneticPr fontId="143" type="noConversion"/>
  </si>
  <si>
    <t>建筑密度</t>
    <phoneticPr fontId="143" type="noConversion"/>
  </si>
  <si>
    <t>绿化率</t>
    <phoneticPr fontId="143" type="noConversion"/>
  </si>
  <si>
    <t>总层数</t>
    <phoneticPr fontId="143" type="noConversion"/>
  </si>
  <si>
    <t>建筑面积</t>
    <phoneticPr fontId="143" type="noConversion"/>
  </si>
  <si>
    <t>房屋用途</t>
    <phoneticPr fontId="143" type="noConversion"/>
  </si>
  <si>
    <t>序号</t>
    <phoneticPr fontId="143" type="noConversion"/>
  </si>
  <si>
    <t>苏（2016）阜宁县不动产权第0004347号</t>
    <phoneticPr fontId="143" type="noConversion"/>
  </si>
  <si>
    <t>盐城康贝特医药化工有限公司</t>
    <phoneticPr fontId="143" type="noConversion"/>
  </si>
  <si>
    <t>320923401001GB00016F99990001</t>
    <phoneticPr fontId="143" type="noConversion"/>
  </si>
  <si>
    <t>工业</t>
    <phoneticPr fontId="143" type="noConversion"/>
  </si>
  <si>
    <t>拜克</t>
    <phoneticPr fontId="143" type="noConversion"/>
  </si>
  <si>
    <t>合计</t>
    <phoneticPr fontId="143" type="noConversion"/>
  </si>
  <si>
    <t>康贝特</t>
    <phoneticPr fontId="143" type="noConversion"/>
  </si>
  <si>
    <t>苏（2016）阜宁县不动产权第0004350号</t>
    <phoneticPr fontId="143" type="noConversion"/>
  </si>
  <si>
    <t>0.7≤建筑容积率≤1</t>
    <phoneticPr fontId="143" type="noConversion"/>
  </si>
  <si>
    <t>≤12%</t>
    <phoneticPr fontId="143" type="noConversion"/>
  </si>
  <si>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</si>
  <si>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</si>
  <si>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</si>
  <si>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</si>
  <si>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</si>
  <si>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</si>
  <si>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</si>
  <si>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</si>
  <si>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</si>
  <si>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</si>
  <si>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</si>
  <si>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</si>
  <si>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</si>
  <si>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土地星级</t>
  </si>
  <si>
    <t>古河镇古河居委会二组</t>
    <phoneticPr fontId="3" type="noConversion"/>
  </si>
  <si>
    <t>盐城市</t>
  </si>
  <si>
    <t>工业用地</t>
  </si>
  <si>
    <t>挂牌</t>
  </si>
  <si>
    <t>大于或等于0.7并且小于或等于1.2</t>
  </si>
  <si>
    <t>2019-04-26</t>
  </si>
  <si>
    <t>江苏洛克精密铸造有限公司</t>
  </si>
  <si>
    <t>0星</t>
  </si>
  <si>
    <t>罗桥镇沿街村</t>
    <phoneticPr fontId="3" type="noConversion"/>
  </si>
  <si>
    <t>2019-04-12</t>
  </si>
  <si>
    <t>江苏宁罗机械制造有限公司</t>
  </si>
  <si>
    <t>阜城街道办新桥村</t>
    <phoneticPr fontId="3" type="noConversion"/>
  </si>
  <si>
    <t>大于或等于0.7并且小于或等于2</t>
  </si>
  <si>
    <t>江苏立多环保科技有限公司</t>
  </si>
  <si>
    <t>益林镇管计村</t>
    <phoneticPr fontId="3" type="noConversion"/>
  </si>
  <si>
    <t>大于或等于1并且小于或等于2</t>
  </si>
  <si>
    <t>2019-03-15</t>
  </si>
  <si>
    <t>阜宁巨汇包装制品有限公司</t>
  </si>
  <si>
    <t>益林镇东兴村</t>
  </si>
  <si>
    <t>江苏豪特包装科技有限公司</t>
  </si>
  <si>
    <t>东沟镇镇南村</t>
    <phoneticPr fontId="3" type="noConversion"/>
  </si>
  <si>
    <t>阜宁鑫恒机械制造有限公司</t>
  </si>
  <si>
    <t>陈良镇新涂村</t>
    <phoneticPr fontId="3" type="noConversion"/>
  </si>
  <si>
    <t>2019-02-25</t>
  </si>
  <si>
    <t>阜宁县新城置业有限公司</t>
  </si>
  <si>
    <t>新沟镇新东村</t>
    <phoneticPr fontId="3" type="noConversion"/>
  </si>
  <si>
    <t>江苏椿宇机械制造有限公司</t>
  </si>
  <si>
    <t>高新技术产业开发区孙郑居委会</t>
    <phoneticPr fontId="3" type="noConversion"/>
  </si>
  <si>
    <t>江苏富立康物流有限公司</t>
    <phoneticPr fontId="3" type="noConversion"/>
  </si>
  <si>
    <t>开发区骥超居委会</t>
    <phoneticPr fontId="3" type="noConversion"/>
  </si>
  <si>
    <t>2019-01-14</t>
  </si>
  <si>
    <t>盐城昊亚电力设备有限公司</t>
  </si>
  <si>
    <t>阜城街道办缪黄村</t>
  </si>
  <si>
    <t>大于或等于1并且小于或等于1.2</t>
  </si>
  <si>
    <t>2019-01-09</t>
  </si>
  <si>
    <t>江苏速莱尔环保科技有限公司</t>
  </si>
  <si>
    <t>阜城街道办新桥村</t>
  </si>
  <si>
    <t>阜宁润椿塑料制品有限公司</t>
  </si>
  <si>
    <t>现代服务园区新丰居委会</t>
    <phoneticPr fontId="3" type="noConversion"/>
  </si>
  <si>
    <t>阜宁金宋纺织有限公司</t>
  </si>
  <si>
    <t>硕集社区东崔村</t>
  </si>
  <si>
    <t>盐城科宏新型材料有限公司</t>
  </si>
  <si>
    <t>盐城宇珲塑料制品有限公司</t>
  </si>
  <si>
    <t>开发区骥超居委会一组</t>
    <phoneticPr fontId="3" type="noConversion"/>
  </si>
  <si>
    <t>2018-12-17</t>
  </si>
  <si>
    <t>盐城市国华置业有限公司</t>
  </si>
  <si>
    <t>开发区通榆村一组、南顾村四组</t>
    <phoneticPr fontId="3" type="noConversion"/>
  </si>
  <si>
    <t>大于或等于0.7并且小于或等于1.6</t>
  </si>
  <si>
    <t>江苏昊晨机械制造有限公司</t>
  </si>
  <si>
    <t>开发区骥超居委会一组</t>
  </si>
  <si>
    <t>现代服务园区新丰居委会</t>
  </si>
  <si>
    <t>2018-12-07</t>
  </si>
  <si>
    <t>江苏小鹰豆制食品有限公司</t>
  </si>
  <si>
    <t>板湖镇板湖居委会</t>
  </si>
  <si>
    <t>江苏蓝天环保集团股份有限公司</t>
  </si>
  <si>
    <t>东沟镇硕集社区东崔村</t>
  </si>
  <si>
    <t>阜宁县粮食发展总公司硕集粮油管理所南舍北站</t>
  </si>
  <si>
    <t>羊寨镇镇东居委会</t>
  </si>
  <si>
    <t>2018-11-19</t>
  </si>
  <si>
    <t>江苏盛君机械科技有限公司</t>
  </si>
  <si>
    <t>2018-11-14</t>
  </si>
  <si>
    <t>江苏铁能环保科技有限公司</t>
  </si>
  <si>
    <t>东沟镇沿河村</t>
  </si>
  <si>
    <t>盐城栖岭农业科技有限公司</t>
  </si>
  <si>
    <t>高新技术产业开发区孙郑居委会</t>
    <phoneticPr fontId="3" type="noConversion"/>
  </si>
  <si>
    <t>金科龙智造科技盐城有限公司</t>
    <phoneticPr fontId="3" type="noConversion"/>
  </si>
  <si>
    <t>东沟镇北堆村</t>
  </si>
  <si>
    <t>江苏成固预制构件有限公司</t>
  </si>
  <si>
    <t>吴滩街道办吴滩居委会</t>
  </si>
  <si>
    <t>大于或等于0.8并且小于或等于2</t>
  </si>
  <si>
    <t>2018-10-31</t>
  </si>
  <si>
    <t>盐城欧雅居木业有限公司</t>
  </si>
  <si>
    <t>益林镇益东村、大余村、大东村</t>
  </si>
  <si>
    <t>阜宁长青生物质能源有限公司</t>
  </si>
  <si>
    <t>江苏顾氏新能源有限公司</t>
  </si>
  <si>
    <t>盐城市瑞格服装有限公司</t>
  </si>
  <si>
    <t>盐城市超强空调设备有限公司</t>
  </si>
  <si>
    <t>大于或等于1.1并且小于或等于2</t>
  </si>
  <si>
    <t>江苏富航科技有限公司</t>
  </si>
  <si>
    <t>盐城伽俐科技发展有限公司</t>
  </si>
  <si>
    <t>新沟镇新胜居委会</t>
  </si>
  <si>
    <t>大于或等于0.6并且小于或等于2</t>
  </si>
  <si>
    <t>2018-10-24</t>
  </si>
  <si>
    <t>阜宁金戈家纺有限公司</t>
  </si>
  <si>
    <t>三灶镇九灶村</t>
  </si>
  <si>
    <t>阜宁县帝宇石材有限公司</t>
  </si>
  <si>
    <t>三灶镇同兴村</t>
  </si>
  <si>
    <t>江苏中尼机械科技有限公司</t>
  </si>
  <si>
    <t>陈良镇新涂村</t>
  </si>
  <si>
    <t>阜宁县汇德铝制品厂</t>
  </si>
  <si>
    <t>江苏双马铜业有限公司</t>
  </si>
  <si>
    <t>盐城森诺建材科技有限公司</t>
  </si>
  <si>
    <t>2018-10-18</t>
  </si>
  <si>
    <t>阜宁永固金属制品有限公司</t>
  </si>
  <si>
    <t>盐城博尔滤料有限公司</t>
  </si>
  <si>
    <t>高新技术产业开发区西北村</t>
    <phoneticPr fontId="3" type="noConversion"/>
  </si>
  <si>
    <t>阜宁庞博新型建材有限公司</t>
  </si>
  <si>
    <t>江苏省盛利工业布有限公司</t>
  </si>
  <si>
    <t>现代服务园区顾庄居委会</t>
    <phoneticPr fontId="3" type="noConversion"/>
  </si>
  <si>
    <t>江苏中亿布业科技有限公司</t>
  </si>
  <si>
    <t>江苏程远建材有限公司</t>
  </si>
  <si>
    <t>阜宁县忻盛管阀配件厂</t>
  </si>
  <si>
    <t>现代服务园区顾庄居委会</t>
  </si>
  <si>
    <t>大于或等于0.7并且小于或等于2.5</t>
  </si>
  <si>
    <t>盐城货之家仓储服务有限公司</t>
  </si>
  <si>
    <t>高新技术产业开发区马河村</t>
  </si>
  <si>
    <t>江苏绿瑞特环境科技有限公司</t>
  </si>
  <si>
    <t>沟墩镇红旗村</t>
  </si>
  <si>
    <t>2018-09-21</t>
  </si>
  <si>
    <t>江苏工腾自控阀门有限公司</t>
  </si>
  <si>
    <t>出让</t>
  </si>
  <si>
    <t>抵押</t>
  </si>
  <si>
    <t>是</t>
  </si>
  <si>
    <t>地上</t>
  </si>
  <si>
    <t>工业</t>
    <phoneticPr fontId="7" type="noConversion"/>
  </si>
  <si>
    <t>成新度</t>
  </si>
  <si>
    <t>收益法</t>
  </si>
  <si>
    <t>http://www.jsgs.gov.cn/art/2019/3/26/art_5924_206243.html</t>
    <phoneticPr fontId="143" type="noConversion"/>
  </si>
  <si>
    <t>成本法</t>
  </si>
  <si>
    <t>未包含在土地购买价格中</t>
  </si>
  <si>
    <t>部分缴纳</t>
  </si>
  <si>
    <t>已包含在土地取得成本中</t>
  </si>
  <si>
    <t>较好</t>
  </si>
  <si>
    <t>一般</t>
  </si>
  <si>
    <t>较差</t>
  </si>
  <si>
    <t>六通</t>
  </si>
  <si>
    <t>高速路</t>
    <phoneticPr fontId="33" type="noConversion"/>
  </si>
  <si>
    <t>城市快速路</t>
    <phoneticPr fontId="33" type="noConversion"/>
  </si>
  <si>
    <t>城市主干道</t>
    <phoneticPr fontId="33" type="noConversion"/>
  </si>
  <si>
    <t>城市次干道</t>
    <phoneticPr fontId="33" type="noConversion"/>
  </si>
  <si>
    <t>支路</t>
  </si>
  <si>
    <t>支路</t>
    <phoneticPr fontId="33" type="noConversion"/>
  </si>
  <si>
    <t>较规则</t>
  </si>
  <si>
    <t>较规则</t>
    <phoneticPr fontId="33" type="noConversion"/>
  </si>
  <si>
    <t>六通</t>
    <phoneticPr fontId="33" type="noConversion"/>
  </si>
  <si>
    <t>较好</t>
    <phoneticPr fontId="33" type="noConversion"/>
  </si>
  <si>
    <t>按租金收入计税</t>
  </si>
  <si>
    <t>钢混</t>
  </si>
  <si>
    <t>生产用房</t>
  </si>
  <si>
    <t>否</t>
  </si>
  <si>
    <t>现房</t>
  </si>
  <si>
    <t>单位面积地价</t>
  </si>
  <si>
    <t>国民信托有限公司</t>
    <phoneticPr fontId="6" type="noConversion"/>
  </si>
  <si>
    <t>2019-1-0306</t>
    <phoneticPr fontId="6" type="noConversion"/>
  </si>
  <si>
    <t>王鹏</t>
  </si>
  <si>
    <t>郑燚</t>
  </si>
  <si>
    <t>其他：</t>
  </si>
  <si>
    <t>江苏省盐城市</t>
    <phoneticPr fontId="6" type="noConversion"/>
  </si>
  <si>
    <t>阜宁县澳洋工业园马河、王庄村</t>
    <phoneticPr fontId="6" type="noConversion"/>
  </si>
  <si>
    <t>江苏拜克新材料有限公司</t>
    <phoneticPr fontId="6" type="noConversion"/>
  </si>
  <si>
    <t>房地产抵押价值</t>
  </si>
  <si>
    <t>澳洋工业园王庄村</t>
    <phoneticPr fontId="143" type="noConversion"/>
  </si>
  <si>
    <t>320923401208GB00001F99990001</t>
    <phoneticPr fontId="143" type="noConversion"/>
  </si>
  <si>
    <t>阜宁县郭墅镇马河村五组</t>
    <phoneticPr fontId="143" type="noConversion"/>
  </si>
  <si>
    <t>现状用途</t>
    <phoneticPr fontId="143" type="noConversion"/>
  </si>
  <si>
    <t>仓库</t>
    <phoneticPr fontId="143" type="noConversion"/>
  </si>
  <si>
    <t>6办公楼未装修</t>
    <phoneticPr fontId="143" type="noConversion"/>
  </si>
  <si>
    <t>研发楼已装修</t>
    <phoneticPr fontId="143" type="noConversion"/>
  </si>
  <si>
    <t>办公楼已装修</t>
    <phoneticPr fontId="143" type="noConversion"/>
  </si>
  <si>
    <t>宿舍已装修</t>
    <phoneticPr fontId="143" type="noConversion"/>
  </si>
  <si>
    <t>食堂已装修</t>
    <phoneticPr fontId="143" type="noConversion"/>
  </si>
  <si>
    <t>配套用房</t>
    <phoneticPr fontId="143" type="noConversion"/>
  </si>
  <si>
    <t>建安单价</t>
    <phoneticPr fontId="143" type="noConversion"/>
  </si>
  <si>
    <t>建安总值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</si>
</sst>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sz val="11"/>
      <color theme="1"/>
      <name val="华文细黑"/>
      <family val="3"/>
      <charset val="134"/>
    </font>
    <font>
      <sz val="10"/>
      <name val="华文细黑"/>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7" fillId="0" borderId="0" applyNumberForma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54" fillId="0" borderId="0" xfId="0" applyFont="1">
      <alignment vertical="center"/>
    </xf>
    <xf numFmtId="0" fontId="254" fillId="0" borderId="0" xfId="0" applyFont="1" applyAlignment="1">
      <alignment vertical="center" wrapText="1"/>
    </xf>
    <xf numFmtId="31" fontId="254" fillId="0" borderId="0" xfId="0" applyNumberFormat="1" applyFont="1" applyAlignment="1">
      <alignment vertical="center" wrapText="1"/>
    </xf>
    <xf numFmtId="0" fontId="254" fillId="0" borderId="9" xfId="0" applyFont="1" applyBorder="1" applyAlignment="1">
      <alignment horizontal="left" vertical="center" wrapText="1"/>
    </xf>
    <xf numFmtId="0" fontId="254" fillId="0" borderId="10" xfId="0" applyFont="1" applyBorder="1" applyAlignment="1">
      <alignment horizontal="left" vertical="center" wrapText="1"/>
    </xf>
    <xf numFmtId="0" fontId="254" fillId="0" borderId="1" xfId="0" applyFont="1" applyBorder="1" applyAlignment="1">
      <alignment horizontal="left" vertical="center" wrapText="1"/>
    </xf>
    <xf numFmtId="0" fontId="254" fillId="0" borderId="24" xfId="0" applyFont="1" applyBorder="1" applyAlignment="1">
      <alignment horizontal="left" vertical="center" wrapText="1"/>
    </xf>
    <xf numFmtId="0" fontId="254" fillId="0" borderId="32" xfId="0" applyFont="1" applyBorder="1" applyAlignment="1">
      <alignment horizontal="left" vertical="center"/>
    </xf>
    <xf numFmtId="0" fontId="254" fillId="0" borderId="60" xfId="0" applyFont="1" applyBorder="1" applyAlignment="1">
      <alignment vertical="center" wrapText="1"/>
    </xf>
    <xf numFmtId="0" fontId="255" fillId="0" borderId="0" xfId="0" applyFont="1">
      <alignment vertical="center"/>
    </xf>
    <xf numFmtId="0" fontId="256" fillId="0" borderId="0" xfId="0" applyFont="1" applyAlignment="1"/>
    <xf numFmtId="0" fontId="256" fillId="5" borderId="0" xfId="0" applyFont="1" applyFill="1" applyAlignment="1"/>
    <xf numFmtId="0" fontId="256" fillId="17" borderId="0" xfId="0" applyFont="1" applyFill="1" applyAlignment="1"/>
    <xf numFmtId="0" fontId="254" fillId="0" borderId="0" xfId="0" applyFont="1" applyAlignment="1"/>
    <xf numFmtId="0" fontId="254" fillId="5" borderId="0" xfId="0" applyFont="1" applyFill="1" applyAlignment="1"/>
    <xf numFmtId="0" fontId="254" fillId="17" borderId="0" xfId="0" applyFont="1" applyFill="1" applyAlignment="1"/>
    <xf numFmtId="14" fontId="254" fillId="17" borderId="0" xfId="0" applyNumberFormat="1" applyFont="1" applyFill="1" applyAlignment="1"/>
    <xf numFmtId="177" fontId="80" fillId="0" borderId="1" xfId="1" applyNumberFormat="1" applyFont="1" applyFill="1" applyBorder="1" applyAlignment="1" applyProtection="1">
      <alignment vertical="center"/>
      <protection locked="0" hidden="1"/>
    </xf>
    <xf numFmtId="0" fontId="257" fillId="0" borderId="0" xfId="17">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254" fillId="0" borderId="1" xfId="0" applyFont="1" applyFill="1" applyBorder="1" applyAlignment="1">
      <alignment horizontal="left" vertical="center" wrapText="1"/>
    </xf>
    <xf numFmtId="0" fontId="254" fillId="0" borderId="1" xfId="0" applyFont="1" applyBorder="1" applyAlignment="1">
      <alignment horizontal="left" vertical="center"/>
    </xf>
    <xf numFmtId="0" fontId="255" fillId="0" borderId="1" xfId="0"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7" xfId="0" applyFont="1" applyBorder="1" applyAlignment="1">
      <alignment horizontal="left" vertical="center" wrapText="1"/>
    </xf>
    <xf numFmtId="0" fontId="254" fillId="0" borderId="15" xfId="0" applyFont="1" applyBorder="1" applyAlignment="1">
      <alignment horizontal="left" vertical="center" wrapText="1"/>
    </xf>
    <xf numFmtId="0" fontId="254" fillId="0" borderId="74" xfId="0" applyFont="1" applyBorder="1" applyAlignment="1">
      <alignment horizontal="left" vertical="center" wrapText="1"/>
    </xf>
    <xf numFmtId="0" fontId="254" fillId="0" borderId="6" xfId="0" applyFont="1" applyBorder="1" applyAlignment="1">
      <alignment horizontal="left" vertical="center"/>
    </xf>
    <xf numFmtId="0" fontId="254" fillId="0" borderId="23" xfId="0" applyFont="1" applyBorder="1" applyAlignment="1">
      <alignment horizontal="left" vertical="center"/>
    </xf>
    <xf numFmtId="0" fontId="254" fillId="0" borderId="25" xfId="0" applyFont="1" applyBorder="1" applyAlignment="1">
      <alignment horizontal="left" vertical="center"/>
    </xf>
    <xf numFmtId="0" fontId="254" fillId="0" borderId="13" xfId="0" applyFont="1" applyBorder="1" applyAlignment="1">
      <alignment horizontal="left" vertical="center" wrapText="1"/>
    </xf>
    <xf numFmtId="0" fontId="254" fillId="0" borderId="33" xfId="0" applyFont="1" applyBorder="1" applyAlignment="1">
      <alignment horizontal="left" vertical="center"/>
    </xf>
    <xf numFmtId="0" fontId="254" fillId="0" borderId="52" xfId="0" applyFont="1" applyBorder="1" applyAlignment="1">
      <alignment horizontal="left" vertical="center"/>
    </xf>
    <xf numFmtId="0" fontId="254" fillId="0" borderId="66" xfId="0" applyFont="1" applyBorder="1" applyAlignment="1">
      <alignment horizontal="left" vertical="center"/>
    </xf>
    <xf numFmtId="0" fontId="254" fillId="0" borderId="46" xfId="0" applyFont="1" applyBorder="1" applyAlignment="1">
      <alignment horizontal="left" vertical="center" wrapText="1"/>
    </xf>
    <xf numFmtId="0" fontId="254" fillId="0" borderId="36" xfId="0" applyFont="1" applyBorder="1" applyAlignment="1">
      <alignment horizontal="left" vertical="center" wrapText="1"/>
    </xf>
    <xf numFmtId="0" fontId="254" fillId="0" borderId="59" xfId="0" applyFont="1" applyBorder="1" applyAlignment="1">
      <alignment horizontal="left" vertical="center" wrapText="1"/>
    </xf>
    <xf numFmtId="0" fontId="254" fillId="0" borderId="75" xfId="0" applyFont="1" applyBorder="1" applyAlignment="1">
      <alignment horizontal="left" vertical="center" wrapText="1"/>
    </xf>
    <xf numFmtId="0" fontId="254" fillId="0" borderId="47" xfId="0" applyFont="1" applyBorder="1" applyAlignment="1">
      <alignment horizontal="left" vertical="center" wrapText="1"/>
    </xf>
    <xf numFmtId="0" fontId="254" fillId="0" borderId="43" xfId="0" applyFont="1" applyBorder="1" applyAlignment="1">
      <alignment horizontal="left" vertical="center" wrapText="1"/>
    </xf>
    <xf numFmtId="0" fontId="254" fillId="0" borderId="1" xfId="0" applyFont="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47625</xdr:rowOff>
    </xdr:from>
    <xdr:to>
      <xdr:col>6</xdr:col>
      <xdr:colOff>971631</xdr:colOff>
      <xdr:row>102</xdr:row>
      <xdr:rowOff>151480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49550"/>
          <a:ext cx="6867606" cy="5104480"/>
        </a:xfrm>
        <a:prstGeom prst="rect">
          <a:avLst/>
        </a:prstGeom>
      </xdr:spPr>
    </xdr:pic>
    <xdr:clientData/>
  </xdr:twoCellAnchor>
  <xdr:twoCellAnchor editAs="oneCell">
    <xdr:from>
      <xdr:col>0</xdr:col>
      <xdr:colOff>104775</xdr:colOff>
      <xdr:row>51</xdr:row>
      <xdr:rowOff>57150</xdr:rowOff>
    </xdr:from>
    <xdr:to>
      <xdr:col>6</xdr:col>
      <xdr:colOff>1538589</xdr:colOff>
      <xdr:row>76</xdr:row>
      <xdr:rowOff>66675</xdr:rowOff>
    </xdr:to>
    <xdr:pic>
      <xdr:nvPicPr>
        <xdr:cNvPr id="4"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0258425"/>
          <a:ext cx="7329789"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104</xdr:row>
      <xdr:rowOff>0</xdr:rowOff>
    </xdr:from>
    <xdr:to>
      <xdr:col>8</xdr:col>
      <xdr:colOff>789390</xdr:colOff>
      <xdr:row>124</xdr:row>
      <xdr:rowOff>9024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0802600"/>
          <a:ext cx="9485715"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17763</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04763" cy="3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037;&#19994;&#29616;&#25151;-&#24247;&#36125;&#29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权证"/>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2327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8.bin"/><Relationship Id="rId1" Type="http://schemas.openxmlformats.org/officeDocument/2006/relationships/hyperlink" Target="http://www.jsgs.gov.cn/art/2019/3/26/art_5924_206243.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江苏省盐城市阜宁县澳洋工业园马河、王庄村房地产抵押价值预评估</v>
      </c>
    </row>
    <row r="3" spans="1:2" s="1593" customFormat="1">
      <c r="A3" s="1591" t="s">
        <v>1217</v>
      </c>
      <c r="B3" s="1592" t="str">
        <f>'预评函-封皮'!B40</f>
        <v>国民信托有限公司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康正预评字2019-1-0306号</v>
      </c>
    </row>
    <row r="6" spans="1:2" s="1590" customFormat="1" ht="15" thickTop="1">
      <c r="A6" s="1588" t="s">
        <v>1220</v>
      </c>
      <c r="B6" s="1589" t="str">
        <f>'预评函-1'!A4</f>
        <v>受贵公司委托，我公司对江苏省盐城市阜宁县澳洋工业园马河、王庄村房地产抵押价值进行了预评估。</v>
      </c>
    </row>
    <row r="7" spans="1:2" s="1593" customFormat="1">
      <c r="A7" s="1591" t="s">
        <v>1260</v>
      </c>
      <c r="B7" s="1592" t="str">
        <f>'预评函-1'!A7</f>
        <v>估价对象为江苏省盐城市阜宁县澳洋工业园马河、王庄村房地产，为所有。根据，估价对象（分摊）出让国有建设用地使用权面积为142073.1平方米，建筑面积为26688.41平方米。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估价对象为江苏省盐城市阜宁县澳洋工业园马河、王庄村房地产,属开发建设的，该项目尚在开发建设中。根据，估价对象（分摊）出让国有建设用地使用权面积为142073.1平方米，规划建筑面积为26688.41平方米。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2019年5月10日（评估专业人员实地查勘之日）</v>
      </c>
    </row>
    <row r="13" spans="1:2" s="1593" customFormat="1">
      <c r="A13" s="1591" t="s">
        <v>1223</v>
      </c>
      <c r="B13" s="1592"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10787</v>
      </c>
    </row>
    <row r="21" spans="1:2" s="1593" customFormat="1">
      <c r="A21" s="1591" t="s">
        <v>1231</v>
      </c>
      <c r="B21" s="1592">
        <f ca="1">'预评函-2'!D7</f>
        <v>4042</v>
      </c>
    </row>
    <row r="22" spans="1:2" s="1593" customFormat="1">
      <c r="A22" s="1591" t="s">
        <v>1232</v>
      </c>
      <c r="B22" s="1592" t="str">
        <f ca="1">'预评函-2'!D6</f>
        <v>壹亿零柒佰捌拾柒万元整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10787</v>
      </c>
    </row>
    <row r="31" spans="1:2" s="1593" customFormat="1">
      <c r="A31" s="1591" t="s">
        <v>1270</v>
      </c>
      <c r="B31" s="1592">
        <f ca="1">'预评函-2'!D15</f>
        <v>4042</v>
      </c>
    </row>
    <row r="32" spans="1:2" s="1593" customFormat="1">
      <c r="A32" s="1591" t="s">
        <v>1237</v>
      </c>
      <c r="B32" s="1592" t="str">
        <f ca="1">'预评函-2'!D14</f>
        <v>壹亿零柒佰捌拾柒万元整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江苏省盐城市阜宁县澳洋工业园马河、王庄村房地产</v>
      </c>
    </row>
    <row r="42" spans="1:2" s="1593" customFormat="1">
      <c r="A42" s="1591" t="s">
        <v>1284</v>
      </c>
      <c r="B42" s="1592" t="str">
        <f>'预评函-3'!B2</f>
        <v>建筑面积</v>
      </c>
    </row>
    <row r="43" spans="1:2" s="1593" customFormat="1">
      <c r="A43" s="1591" t="s">
        <v>1285</v>
      </c>
      <c r="B43" s="1592">
        <f>'预评函-3'!B4</f>
        <v>26688.410000000003</v>
      </c>
    </row>
    <row r="44" spans="1:2" s="1593" customFormat="1">
      <c r="A44" s="1591" t="s">
        <v>1269</v>
      </c>
      <c r="B44" s="1592" t="str">
        <f>'预评函-3'!C2</f>
        <v>(分摊)土地面积</v>
      </c>
    </row>
    <row r="45" spans="1:2" s="1593" customFormat="1">
      <c r="A45" s="1591" t="s">
        <v>1241</v>
      </c>
      <c r="B45" s="1592">
        <f>'预评函-3'!C4</f>
        <v>142073.1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2" t="s">
        <v>861</v>
      </c>
      <c r="C54" s="2019" t="s">
        <v>1277</v>
      </c>
    </row>
    <row r="55" spans="1:4">
      <c r="A55" s="3021"/>
      <c r="B55" s="2022" t="s">
        <v>862</v>
      </c>
      <c r="C55" s="2019" t="s">
        <v>1278</v>
      </c>
    </row>
    <row r="56" spans="1:4">
      <c r="A56" s="3021"/>
      <c r="B56" s="2022" t="s">
        <v>863</v>
      </c>
      <c r="C56" s="2019" t="s">
        <v>1282</v>
      </c>
    </row>
    <row r="57" spans="1:4">
      <c r="A57" s="302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22" t="str">
        <f>IF(B10="北京市","北京市",C10)&amp;F10&amp;IF(结果表!G1="在建","出让国有建设用地使用权及在建建筑物",IF(结果表!G1="土地","出让国有建设用地使用权",))&amp;B9&amp;"预评估"</f>
        <v>江苏省盐城市阜宁县澳洋工业园马河、王庄村房地产抵押价值预评估</v>
      </c>
      <c r="C1" s="3023"/>
      <c r="D1" s="3023"/>
      <c r="E1" s="3023"/>
      <c r="F1" s="3023"/>
      <c r="G1" s="3023"/>
      <c r="H1" s="3023"/>
      <c r="I1" s="302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江苏省盐城市阜宁县澳洋工业园马河、王庄村房地产抵押价值</v>
      </c>
    </row>
    <row r="2" spans="1:19" ht="18" customHeight="1">
      <c r="A2" s="2026" t="s">
        <v>1773</v>
      </c>
      <c r="B2" s="1039" t="s">
        <v>3239</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江苏省盐城市阜宁县澳洋工业园马河、王庄村房地产</v>
      </c>
    </row>
    <row r="3" spans="1:19" ht="18" customHeight="1">
      <c r="A3" s="2035" t="s">
        <v>1774</v>
      </c>
      <c r="B3" s="2036">
        <v>43595</v>
      </c>
      <c r="C3" s="2037" t="s">
        <v>1775</v>
      </c>
      <c r="D3" s="2036">
        <v>43595</v>
      </c>
      <c r="E3" s="2026"/>
      <c r="F3" s="2026"/>
      <c r="G3" s="2026"/>
      <c r="H3" s="2026"/>
      <c r="I3" s="2026"/>
      <c r="J3" s="2026"/>
      <c r="K3" s="2027"/>
      <c r="L3" s="2028"/>
      <c r="M3" s="2028"/>
      <c r="N3" s="2029"/>
      <c r="O3" s="2030"/>
      <c r="P3" s="2029"/>
      <c r="Q3" s="2029"/>
      <c r="R3" s="2029"/>
      <c r="S3" s="2031"/>
    </row>
    <row r="4" spans="1:19" ht="18" customHeight="1" thickBot="1">
      <c r="A4" s="2038" t="s">
        <v>1776</v>
      </c>
      <c r="B4" s="2039" t="s">
        <v>3240</v>
      </c>
      <c r="C4" s="1037">
        <f ca="1">SUMIF(注册房地产估价师,B4,估价师及机构信息!B3:B24)</f>
        <v>1120050019</v>
      </c>
      <c r="D4" s="2039" t="s">
        <v>3241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1777</v>
      </c>
      <c r="B5" s="2970" t="s">
        <v>3238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71" t="s">
        <v>3238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74" t="s">
        <v>3245</v>
      </c>
      <c r="C7" s="2048"/>
      <c r="D7" s="2049"/>
      <c r="E7" s="2034"/>
      <c r="F7" s="2042"/>
      <c r="G7" s="2042"/>
      <c r="H7" s="2042"/>
      <c r="I7" s="2042"/>
      <c r="J7" s="2042"/>
      <c r="K7" s="2051"/>
      <c r="L7" s="2028"/>
      <c r="M7" s="2028"/>
      <c r="N7" s="2029"/>
      <c r="O7" s="2030"/>
      <c r="P7" s="2029"/>
      <c r="Q7" s="2029"/>
      <c r="R7" s="2029"/>
    </row>
    <row r="8" spans="1:19" ht="18" customHeight="1">
      <c r="A8" s="2047" t="s">
        <v>1780</v>
      </c>
      <c r="B8" s="2052" t="s">
        <v>3207</v>
      </c>
      <c r="C8" s="2053"/>
      <c r="D8" s="3025" t="s">
        <v>1781</v>
      </c>
      <c r="E8" s="2054" t="s">
        <v>3246</v>
      </c>
      <c r="F8" s="2055"/>
      <c r="G8" s="2026"/>
      <c r="H8" s="2026"/>
      <c r="I8" s="2026"/>
      <c r="J8" s="2042"/>
      <c r="K8" s="2043"/>
      <c r="L8" s="2028"/>
      <c r="M8" s="2028"/>
      <c r="N8" s="2029"/>
      <c r="O8" s="2030"/>
      <c r="P8" s="2029"/>
      <c r="Q8" s="2029"/>
      <c r="R8" s="2029"/>
    </row>
    <row r="9" spans="1:19" ht="18" customHeight="1" thickBot="1">
      <c r="A9" s="2040" t="s">
        <v>1782</v>
      </c>
      <c r="B9" s="2056" t="s">
        <v>3246</v>
      </c>
      <c r="C9" s="2057"/>
      <c r="D9" s="3026"/>
      <c r="E9" s="2056"/>
      <c r="F9" s="2058"/>
      <c r="G9" s="2059"/>
      <c r="H9" s="2059"/>
      <c r="I9" s="2059"/>
      <c r="J9" s="2042"/>
      <c r="K9" s="2051"/>
      <c r="L9" s="2028"/>
      <c r="M9" s="2028"/>
      <c r="N9" s="2029"/>
      <c r="O9" s="2030"/>
      <c r="P9" s="2029"/>
      <c r="Q9" s="2029"/>
      <c r="R9" s="2029"/>
    </row>
    <row r="10" spans="1:19" ht="18" customHeight="1" thickTop="1">
      <c r="A10" s="2060" t="s">
        <v>1783</v>
      </c>
      <c r="B10" s="2061" t="s">
        <v>3242</v>
      </c>
      <c r="C10" s="2972" t="s">
        <v>3243</v>
      </c>
      <c r="D10" s="2046"/>
      <c r="E10" s="2062" t="s">
        <v>1784</v>
      </c>
      <c r="F10" s="2973" t="s">
        <v>3244</v>
      </c>
      <c r="G10" s="2063"/>
      <c r="H10" s="2064"/>
      <c r="I10" s="2046"/>
      <c r="J10" s="2042"/>
      <c r="K10" s="2051"/>
      <c r="L10" s="2028"/>
      <c r="M10" s="2028"/>
      <c r="N10" s="2029"/>
      <c r="O10" s="2030"/>
      <c r="P10" s="2029"/>
      <c r="Q10" s="2029"/>
      <c r="R10" s="2029"/>
    </row>
    <row r="11" spans="1:19" ht="18" customHeight="1">
      <c r="A11" s="2065" t="s">
        <v>1785</v>
      </c>
      <c r="B11" s="2066"/>
      <c r="C11" s="2067"/>
      <c r="D11" s="2068"/>
      <c r="E11" s="2042"/>
      <c r="F11" s="2042"/>
      <c r="G11" s="2042"/>
      <c r="H11" s="2042"/>
      <c r="I11" s="2042"/>
      <c r="J11" s="2042"/>
      <c r="K11" s="2051"/>
      <c r="L11" s="2028"/>
      <c r="M11" s="2028"/>
      <c r="N11" s="2029"/>
      <c r="O11" s="2030"/>
      <c r="P11" s="2029"/>
      <c r="Q11" s="2029"/>
      <c r="R11" s="2029"/>
    </row>
    <row r="12" spans="1:19" ht="18" customHeight="1">
      <c r="A12" s="2069" t="s">
        <v>1786</v>
      </c>
      <c r="B12" s="2066" t="s">
        <v>3206</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59560</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43.73</v>
      </c>
      <c r="J15" s="2042"/>
      <c r="K15" s="2078"/>
      <c r="L15" s="2079"/>
      <c r="M15" s="2079"/>
      <c r="N15" s="2080"/>
      <c r="O15" s="2079"/>
      <c r="P15" s="2080"/>
      <c r="Q15" s="2029"/>
      <c r="R15" s="2029"/>
    </row>
    <row r="16" spans="1:19" ht="30.75" customHeight="1">
      <c r="A16" s="2062" t="s">
        <v>1797</v>
      </c>
      <c r="B16" s="3032"/>
      <c r="C16" s="3033"/>
      <c r="D16" s="3034"/>
      <c r="E16" s="2081" t="s">
        <v>1798</v>
      </c>
      <c r="F16" s="3035"/>
      <c r="G16" s="3036"/>
      <c r="H16" s="3036"/>
      <c r="I16" s="3037"/>
      <c r="J16" s="2029"/>
      <c r="K16" s="2078"/>
      <c r="L16" s="2079"/>
      <c r="M16" s="2079"/>
      <c r="N16" s="2080"/>
      <c r="O16" s="2079"/>
      <c r="P16" s="2080"/>
      <c r="Q16" s="2029"/>
      <c r="R16" s="2029"/>
    </row>
    <row r="17" spans="1:22" ht="18" customHeight="1">
      <c r="A17" s="2082" t="s">
        <v>1799</v>
      </c>
      <c r="B17" s="2035" t="s">
        <v>1800</v>
      </c>
      <c r="C17" s="1054">
        <f>'数据-汇总表'!E3</f>
        <v>26688.410000000003</v>
      </c>
      <c r="D17" s="2083" t="s">
        <v>1801</v>
      </c>
      <c r="E17" s="3038"/>
      <c r="F17" s="3039"/>
      <c r="G17" s="3039"/>
      <c r="H17" s="3039"/>
      <c r="I17" s="3040"/>
      <c r="J17" s="2029"/>
      <c r="K17" s="2084"/>
      <c r="L17" s="2079"/>
      <c r="M17" s="2079"/>
      <c r="N17" s="2080"/>
      <c r="O17" s="2079"/>
      <c r="P17" s="2080"/>
      <c r="Q17" s="2029"/>
      <c r="R17" s="2029"/>
      <c r="S17" s="2029"/>
      <c r="T17" s="2029"/>
      <c r="U17" s="2029"/>
      <c r="V17" s="2029"/>
    </row>
    <row r="18" spans="1:22" ht="36" customHeight="1" thickBot="1">
      <c r="A18" s="2085" t="s">
        <v>1802</v>
      </c>
      <c r="B18" s="2038" t="s">
        <v>1803</v>
      </c>
      <c r="C18" s="1444">
        <f>'数据-汇总表'!D3</f>
        <v>142073.1</v>
      </c>
      <c r="D18" s="2086" t="s">
        <v>1801</v>
      </c>
      <c r="E18" s="3041"/>
      <c r="F18" s="3042"/>
      <c r="G18" s="3042"/>
      <c r="H18" s="3042"/>
      <c r="I18" s="3043"/>
      <c r="J18" s="2029"/>
      <c r="K18" s="2084"/>
      <c r="L18" s="2079"/>
      <c r="M18" s="2079"/>
      <c r="N18" s="2080"/>
      <c r="O18" s="2079"/>
      <c r="P18" s="2080"/>
      <c r="Q18" s="2029"/>
      <c r="R18" s="2029"/>
      <c r="S18" s="2029"/>
      <c r="T18" s="2029"/>
      <c r="U18" s="2029"/>
      <c r="V18" s="2029"/>
    </row>
    <row r="19" spans="1:22" ht="37.5" customHeight="1" thickTop="1" thickBot="1">
      <c r="A19" s="373" t="s">
        <v>1804</v>
      </c>
      <c r="B19" s="352" t="s">
        <v>1805</v>
      </c>
      <c r="C19" s="2087"/>
      <c r="D19" s="2088" t="s">
        <v>1806</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1807</v>
      </c>
      <c r="B20" s="3028" t="s">
        <v>1808</v>
      </c>
      <c r="C20" s="3029"/>
      <c r="D20" s="3030" t="s">
        <v>1809</v>
      </c>
      <c r="E20" s="3031"/>
      <c r="F20" s="2093" t="s">
        <v>1810</v>
      </c>
      <c r="G20" s="2042"/>
      <c r="H20" s="2042"/>
      <c r="I20" s="2042"/>
      <c r="J20" s="2042"/>
      <c r="K20" s="302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0"/>
      <c r="O20" s="2079"/>
      <c r="P20" s="2080"/>
      <c r="Q20" s="2029"/>
      <c r="R20" s="2029"/>
      <c r="S20" s="2029"/>
      <c r="T20" s="2029"/>
      <c r="U20" s="2029"/>
      <c r="V20" s="2029"/>
    </row>
    <row r="21" spans="1:22" ht="24.75" customHeight="1">
      <c r="A21" s="2092"/>
      <c r="B21" s="2094" t="s">
        <v>1812</v>
      </c>
      <c r="C21" s="2095" t="s">
        <v>1813</v>
      </c>
      <c r="D21" s="2096" t="s">
        <v>1814</v>
      </c>
      <c r="E21" s="2097" t="s">
        <v>1813</v>
      </c>
      <c r="F21" s="2098"/>
      <c r="G21" s="2042"/>
      <c r="H21" s="2042"/>
      <c r="I21" s="2042"/>
      <c r="J21" s="2042"/>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1815</v>
      </c>
      <c r="C22" s="2095" t="s">
        <v>1816</v>
      </c>
      <c r="D22" s="2026"/>
      <c r="E22" s="2026"/>
      <c r="F22" s="2100"/>
      <c r="G22" s="2042"/>
      <c r="H22" s="2042"/>
      <c r="I22" s="2042"/>
      <c r="J22" s="2042"/>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1817</v>
      </c>
      <c r="B23" s="183" t="s">
        <v>1818</v>
      </c>
      <c r="C23" s="2102"/>
      <c r="D23" s="2103" t="s">
        <v>1818</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1819</v>
      </c>
      <c r="C24" s="2107"/>
      <c r="D24" s="2101" t="s">
        <v>1819</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1820</v>
      </c>
      <c r="C25" s="2107"/>
      <c r="D25" s="2101" t="s">
        <v>1820</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1821</v>
      </c>
      <c r="C26" s="2111"/>
      <c r="D26" s="2112" t="s">
        <v>1822</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45" t="s">
        <v>1823</v>
      </c>
      <c r="B27" s="2060" t="s">
        <v>1824</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45"/>
      <c r="B28" s="2035" t="s">
        <v>1825</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45"/>
      <c r="B29" s="2035" t="s">
        <v>1826</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46"/>
      <c r="B30" s="2035" t="s">
        <v>1827</v>
      </c>
      <c r="C30" s="3047"/>
      <c r="D30" s="3048"/>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49" t="s">
        <v>1828</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50"/>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50"/>
      <c r="B33" s="2126"/>
      <c r="C33" s="2065"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9"/>
      <c r="C34" s="2129"/>
      <c r="D34" s="2129"/>
      <c r="E34" s="2129"/>
      <c r="F34" s="2129"/>
      <c r="G34" s="2129"/>
      <c r="H34" s="2129"/>
      <c r="I34" s="2042"/>
      <c r="J34" s="2042"/>
      <c r="K34" s="1795">
        <f>COUNTIF(B34:H34,"——")</f>
        <v>0</v>
      </c>
      <c r="L34" s="2070" t="s">
        <v>1830</v>
      </c>
      <c r="M34" s="2070" t="s">
        <v>1831</v>
      </c>
      <c r="N34" s="2070" t="s">
        <v>1832</v>
      </c>
      <c r="O34" s="2070" t="s">
        <v>1833</v>
      </c>
      <c r="P34" s="2070" t="s">
        <v>1834</v>
      </c>
      <c r="Q34" s="2070" t="s">
        <v>1835</v>
      </c>
      <c r="R34" s="2070" t="s">
        <v>1836</v>
      </c>
      <c r="S34" s="3044" t="s">
        <v>1837</v>
      </c>
      <c r="T34" s="2130" t="str">
        <f>NUMBERSTRING(7-K34,1)&amp;"通"</f>
        <v>七通</v>
      </c>
      <c r="U34" s="2029"/>
      <c r="V34" s="2029"/>
    </row>
    <row r="35" spans="1:22" ht="18" customHeight="1">
      <c r="A35" s="2131"/>
      <c r="B35" s="3051" t="s">
        <v>1838</v>
      </c>
      <c r="C35" s="3051"/>
      <c r="D35" s="3051"/>
      <c r="E35" s="3051"/>
      <c r="F35" s="2132" t="str">
        <f>C10</f>
        <v>江苏省盐城市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4"/>
      <c r="T35" s="48" t="str">
        <f>IF(T34="一通",L35,IF(T34="二通",M35,IF(T34="三通",N35,IF(T34="四通",O35,IF(T34="五通",P35,IF(T34="六通",Q35,R35))))))</f>
        <v>、、、、、、</v>
      </c>
      <c r="U35" s="2029"/>
      <c r="V35" s="2029"/>
    </row>
    <row r="36" spans="1:22" ht="18" customHeight="1">
      <c r="A36" s="2133"/>
      <c r="B36" s="2132" t="s">
        <v>1839</v>
      </c>
      <c r="C36" s="2132" t="s">
        <v>1840</v>
      </c>
      <c r="D36" s="2132" t="s">
        <v>1841</v>
      </c>
      <c r="E36" s="2132" t="s">
        <v>1842</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1843</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1844</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142073.1</v>
      </c>
      <c r="B3" s="14">
        <f>IF(C3="否",G5-AT5,G5)</f>
        <v>26688.410000000003</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26688.410000000003</v>
      </c>
      <c r="H5" s="16">
        <f t="shared" ref="H5:AT5" si="0">SUM(H13:H656)</f>
        <v>26688.410000000003</v>
      </c>
      <c r="I5" s="16">
        <f t="shared" si="0"/>
        <v>26688.410000000003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26688.410000000003</v>
      </c>
      <c r="BA5" s="18">
        <f t="shared" si="1"/>
        <v>26688.410000000003</v>
      </c>
      <c r="BB5" s="18">
        <f t="shared" si="1"/>
        <v>26688.410000000003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142073.1</v>
      </c>
      <c r="F6" s="16" t="s">
        <v>1</v>
      </c>
      <c r="G6" s="16" t="s">
        <v>2</v>
      </c>
      <c r="H6" s="20">
        <f>SUMIF(I$12:AB$12,"总值",I6:AB6)</f>
        <v>142073.1</v>
      </c>
      <c r="I6" s="16">
        <f t="shared" ref="I6:AB6" si="2">ROUND($A$3*I5/$B$3,2)</f>
        <v>142073.1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142073.1</v>
      </c>
      <c r="AZ6" s="16" t="s">
        <v>3</v>
      </c>
      <c r="BA6" s="16">
        <f>ROUND($AY$6*BA5/$AZ$5,2)</f>
        <v>142073.1</v>
      </c>
      <c r="BB6" s="16">
        <f>ROUND($AY$6*BB5/$AZ$5,2)</f>
        <v>142073.1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3209</v>
      </c>
      <c r="J9" s="981"/>
      <c r="K9" s="2187"/>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f>不动产权证!E13</f>
        <v>1</v>
      </c>
      <c r="D13" s="2209" t="s">
        <v>3208</v>
      </c>
      <c r="E13" s="16">
        <f>IF($C$3="是",ROUND($A$3*G13/$B$3,2),ROUND($A$3*(G13-AT13)/$B$3,2))</f>
        <v>14211.24</v>
      </c>
      <c r="F13" s="32"/>
      <c r="G13" s="33">
        <f>H13+AC13+AT13</f>
        <v>2669.58</v>
      </c>
      <c r="H13" s="20">
        <f>SUMIF(I$12:AB$12,"总值",I13:AB13)</f>
        <v>2669.58</v>
      </c>
      <c r="I13" s="2210">
        <f>不动产权证!G13</f>
        <v>2669.58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14211.24</v>
      </c>
      <c r="AZ13" s="16">
        <f>BA13+BL13</f>
        <v>2669.58</v>
      </c>
      <c r="BA13" s="16">
        <f>SUM(BB13:BK13)</f>
        <v>2669.58</v>
      </c>
      <c r="BB13" s="16">
        <f>IF($D13="是",I13-J13,0)</f>
        <v>2669.58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f>不动产权证!E14</f>
        <v>2</v>
      </c>
      <c r="D14" s="2209" t="s">
        <v>3208</v>
      </c>
      <c r="E14" s="16">
        <f>IF($C$3="是",ROUND($A$3*G14/$B$3,2),ROUND($A$3*(G14-AT14)/$B$3,2))</f>
        <v>14880.18</v>
      </c>
      <c r="F14" s="32"/>
      <c r="G14" s="33">
        <f>H14+AC14+AT14</f>
        <v>2795.24</v>
      </c>
      <c r="H14" s="20">
        <f>SUMIF(I$12:AB$12,"总值",I14:AB14)</f>
        <v>2795.24</v>
      </c>
      <c r="I14" s="2210">
        <f>不动产权证!G14</f>
        <v>2795.24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14880.18</v>
      </c>
      <c r="AZ14" s="16">
        <f>BA14+BL14</f>
        <v>2795.24</v>
      </c>
      <c r="BA14" s="16">
        <f>SUM(BB14:BK14)</f>
        <v>2795.24</v>
      </c>
      <c r="BB14" s="16">
        <f>IF($D14="是",I14-J14,0)</f>
        <v>2795.24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f>不动产权证!E15</f>
        <v>3</v>
      </c>
      <c r="D15" s="2209" t="s">
        <v>3208</v>
      </c>
      <c r="E15" s="16">
        <f>IF($C$3="是",ROUND($A$3*G15/$B$3,2),ROUND($A$3*(G15-AT15)/$B$3,2))</f>
        <v>15420.08</v>
      </c>
      <c r="F15" s="32"/>
      <c r="G15" s="33">
        <f>H15+AC15+AT15</f>
        <v>2896.66</v>
      </c>
      <c r="H15" s="20">
        <f>SUMIF(I$12:AB$12,"总值",I15:AB15)</f>
        <v>2896.66</v>
      </c>
      <c r="I15" s="2210">
        <f>不动产权证!G15</f>
        <v>2896.66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15420.08</v>
      </c>
      <c r="AZ15" s="16">
        <f>BA15+BL15</f>
        <v>2896.66</v>
      </c>
      <c r="BA15" s="16">
        <f>SUM(BB15:BK15)</f>
        <v>2896.66</v>
      </c>
      <c r="BB15" s="16">
        <f>IF($D15="是",I15-J15,0)</f>
        <v>2896.66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f>不动产权证!E16</f>
        <v>4</v>
      </c>
      <c r="D16" s="2209" t="s">
        <v>3208</v>
      </c>
      <c r="E16" s="16">
        <f>IF($C$3="是",ROUND($A$3*G16/$B$3,2),ROUND($A$3*(G16-AT16)/$B$3,2))</f>
        <v>9686.14</v>
      </c>
      <c r="F16" s="32"/>
      <c r="G16" s="33">
        <f>H16+AC16+AT16</f>
        <v>1819.54</v>
      </c>
      <c r="H16" s="20">
        <f>SUMIF(I$12:AB$12,"总值",I16:AB16)</f>
        <v>1819.54</v>
      </c>
      <c r="I16" s="2210">
        <f>不动产权证!G16</f>
        <v>1819.54</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9686.14</v>
      </c>
      <c r="AZ16" s="16">
        <f>BA16+BL16</f>
        <v>1819.54</v>
      </c>
      <c r="BA16" s="16">
        <f>SUM(BB16:BK16)</f>
        <v>1819.54</v>
      </c>
      <c r="BB16" s="16">
        <f>IF($D16="是",I16-J16,0)</f>
        <v>1819.54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1272">
        <f>不动产权证!E17</f>
        <v>5</v>
      </c>
      <c r="D17" s="2209" t="s">
        <v>3208</v>
      </c>
      <c r="E17" s="16">
        <f>IF($C$3="是",ROUND($A$3*G17/$B$3,2),ROUND($A$3*(G17-AT17)/$B$3,2))</f>
        <v>9270.3799999999992</v>
      </c>
      <c r="F17" s="32"/>
      <c r="G17" s="33">
        <f>H17+AC17+AT17</f>
        <v>1741.44</v>
      </c>
      <c r="H17" s="20">
        <f>SUMIF(I$12:AB$12,"总值",I17:AB17)</f>
        <v>1741.44</v>
      </c>
      <c r="I17" s="2210">
        <f>不动产权证!G17</f>
        <v>1741.44</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6">
        <f>ROUND($AY$6*AZ17/$AZ$5,2)</f>
        <v>9270.3799999999992</v>
      </c>
      <c r="AZ17" s="16">
        <f>BA17+BL17</f>
        <v>1741.44</v>
      </c>
      <c r="BA17" s="16">
        <f>SUM(BB17:BK17)</f>
        <v>1741.44</v>
      </c>
      <c r="BB17" s="16">
        <f>IF($D17="是",I17-J17,0)</f>
        <v>1741.44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f>不动产权证!E18</f>
        <v>6</v>
      </c>
      <c r="D18" s="2209" t="s">
        <v>3208</v>
      </c>
      <c r="E18" s="35">
        <f t="shared" ref="E18:E112" si="7">IF($C$3="是",ROUND($A$3*G18/$B$3,2),ROUND($A$3*(G18-AT18)/$B$3,2))</f>
        <v>9022.4699999999993</v>
      </c>
      <c r="F18" s="36"/>
      <c r="G18" s="37">
        <f t="shared" ref="G18:G109" si="8">H18+AC18+AT18</f>
        <v>1694.87</v>
      </c>
      <c r="H18" s="38">
        <f t="shared" ref="H18:H109" si="9">SUMIF(I$12:AB$12,"总值",I18:AB18)</f>
        <v>1694.87</v>
      </c>
      <c r="I18" s="2210">
        <f>不动产权证!G18</f>
        <v>1694.87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6</v>
      </c>
      <c r="AY18" s="42">
        <f t="shared" ref="AY18:AY109" si="14">ROUND($AY$6*AZ18/$AZ$5,2)</f>
        <v>9022.4699999999993</v>
      </c>
      <c r="AZ18" s="35">
        <f t="shared" ref="AZ18:AZ109" si="15">BA18+BL18</f>
        <v>1694.87</v>
      </c>
      <c r="BA18" s="35">
        <f t="shared" ref="BA18:BA109" si="16">SUM(BB18:BK18)</f>
        <v>1694.87</v>
      </c>
      <c r="BB18" s="35">
        <f t="shared" ref="BB18:BB109" si="17">IF($D18="是",I18-J18,0)</f>
        <v>1694.87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f>不动产权证!E19</f>
        <v>7</v>
      </c>
      <c r="D19" s="2209" t="s">
        <v>3208</v>
      </c>
      <c r="E19" s="35">
        <f t="shared" si="7"/>
        <v>3929.04</v>
      </c>
      <c r="F19" s="36"/>
      <c r="G19" s="37">
        <f t="shared" si="8"/>
        <v>738.07</v>
      </c>
      <c r="H19" s="38">
        <f t="shared" si="9"/>
        <v>738.07</v>
      </c>
      <c r="I19" s="2210">
        <f>不动产权证!G19</f>
        <v>738.07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7</v>
      </c>
      <c r="AY19" s="42">
        <f t="shared" si="14"/>
        <v>3929.04</v>
      </c>
      <c r="AZ19" s="35">
        <f t="shared" si="15"/>
        <v>738.07</v>
      </c>
      <c r="BA19" s="35">
        <f t="shared" si="16"/>
        <v>738.07</v>
      </c>
      <c r="BB19" s="35">
        <f t="shared" si="17"/>
        <v>738.07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f>不动产权证!E20</f>
        <v>8</v>
      </c>
      <c r="D20" s="2209" t="s">
        <v>3208</v>
      </c>
      <c r="E20" s="35">
        <f t="shared" si="7"/>
        <v>2701.41</v>
      </c>
      <c r="F20" s="36"/>
      <c r="G20" s="37">
        <f t="shared" si="8"/>
        <v>507.46</v>
      </c>
      <c r="H20" s="38">
        <f t="shared" si="9"/>
        <v>507.46</v>
      </c>
      <c r="I20" s="2210">
        <f>不动产权证!G20</f>
        <v>507.46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8</v>
      </c>
      <c r="AY20" s="42">
        <f t="shared" si="14"/>
        <v>2701.41</v>
      </c>
      <c r="AZ20" s="35">
        <f t="shared" si="15"/>
        <v>507.46</v>
      </c>
      <c r="BA20" s="35">
        <f t="shared" si="16"/>
        <v>507.46</v>
      </c>
      <c r="BB20" s="35">
        <f t="shared" si="17"/>
        <v>507.46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f>不动产权证!E21</f>
        <v>9</v>
      </c>
      <c r="D21" s="2209" t="s">
        <v>3208</v>
      </c>
      <c r="E21" s="35">
        <f t="shared" si="7"/>
        <v>1579.45</v>
      </c>
      <c r="F21" s="36"/>
      <c r="G21" s="37">
        <f t="shared" si="8"/>
        <v>296.7</v>
      </c>
      <c r="H21" s="38">
        <f t="shared" si="9"/>
        <v>296.7</v>
      </c>
      <c r="I21" s="2210">
        <f>不动产权证!G21</f>
        <v>296.7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9</v>
      </c>
      <c r="AY21" s="42">
        <f t="shared" si="14"/>
        <v>1579.45</v>
      </c>
      <c r="AZ21" s="35">
        <f t="shared" si="15"/>
        <v>296.7</v>
      </c>
      <c r="BA21" s="35">
        <f t="shared" si="16"/>
        <v>296.7</v>
      </c>
      <c r="BB21" s="35">
        <f t="shared" si="17"/>
        <v>296.7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f>不动产权证!E22</f>
        <v>10</v>
      </c>
      <c r="D22" s="2209" t="s">
        <v>3208</v>
      </c>
      <c r="E22" s="35">
        <f t="shared" si="7"/>
        <v>9306.48</v>
      </c>
      <c r="F22" s="36"/>
      <c r="G22" s="37">
        <f t="shared" si="8"/>
        <v>1748.22</v>
      </c>
      <c r="H22" s="38">
        <f t="shared" si="9"/>
        <v>1748.22</v>
      </c>
      <c r="I22" s="2210">
        <f>不动产权证!G22</f>
        <v>1748.22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10</v>
      </c>
      <c r="AY22" s="42">
        <f t="shared" si="14"/>
        <v>9306.48</v>
      </c>
      <c r="AZ22" s="35">
        <f t="shared" si="15"/>
        <v>1748.22</v>
      </c>
      <c r="BA22" s="35">
        <f t="shared" si="16"/>
        <v>1748.22</v>
      </c>
      <c r="BB22" s="35">
        <f t="shared" si="17"/>
        <v>1748.22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f>不动产权证!E23</f>
        <v>11</v>
      </c>
      <c r="D23" s="2209" t="s">
        <v>3208</v>
      </c>
      <c r="E23" s="35">
        <f t="shared" si="7"/>
        <v>9306.48</v>
      </c>
      <c r="F23" s="36"/>
      <c r="G23" s="37">
        <f t="shared" si="8"/>
        <v>1748.22</v>
      </c>
      <c r="H23" s="38">
        <f t="shared" si="9"/>
        <v>1748.22</v>
      </c>
      <c r="I23" s="2210">
        <f>不动产权证!G23</f>
        <v>1748.22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11</v>
      </c>
      <c r="AY23" s="42">
        <f t="shared" si="14"/>
        <v>9306.48</v>
      </c>
      <c r="AZ23" s="35">
        <f t="shared" si="15"/>
        <v>1748.22</v>
      </c>
      <c r="BA23" s="35">
        <f t="shared" si="16"/>
        <v>1748.22</v>
      </c>
      <c r="BB23" s="35">
        <f t="shared" si="17"/>
        <v>1748.22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f>不动产权证!E24</f>
        <v>12</v>
      </c>
      <c r="D24" s="2209" t="s">
        <v>3208</v>
      </c>
      <c r="E24" s="35">
        <f t="shared" si="7"/>
        <v>3202.03</v>
      </c>
      <c r="F24" s="36"/>
      <c r="G24" s="37">
        <f t="shared" si="8"/>
        <v>601.5</v>
      </c>
      <c r="H24" s="38">
        <f t="shared" si="9"/>
        <v>601.5</v>
      </c>
      <c r="I24" s="2210">
        <f>不动产权证!G24</f>
        <v>601.5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12</v>
      </c>
      <c r="AY24" s="42">
        <f t="shared" si="14"/>
        <v>3202.03</v>
      </c>
      <c r="AZ24" s="35">
        <f t="shared" si="15"/>
        <v>601.5</v>
      </c>
      <c r="BA24" s="35">
        <f t="shared" si="16"/>
        <v>601.5</v>
      </c>
      <c r="BB24" s="35">
        <f t="shared" si="17"/>
        <v>601.5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f>不动产权证!E25</f>
        <v>13</v>
      </c>
      <c r="D25" s="2209" t="s">
        <v>3208</v>
      </c>
      <c r="E25" s="35">
        <f t="shared" si="7"/>
        <v>15405.34</v>
      </c>
      <c r="F25" s="36"/>
      <c r="G25" s="37">
        <f t="shared" si="8"/>
        <v>2893.89</v>
      </c>
      <c r="H25" s="38">
        <f t="shared" si="9"/>
        <v>2893.89</v>
      </c>
      <c r="I25" s="2210">
        <f>不动产权证!G25</f>
        <v>2893.89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13</v>
      </c>
      <c r="AY25" s="42">
        <f t="shared" si="14"/>
        <v>15405.34</v>
      </c>
      <c r="AZ25" s="35">
        <f t="shared" si="15"/>
        <v>2893.89</v>
      </c>
      <c r="BA25" s="35">
        <f t="shared" si="16"/>
        <v>2893.89</v>
      </c>
      <c r="BB25" s="35">
        <f t="shared" si="17"/>
        <v>2893.89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f>不动产权证!E26</f>
        <v>14</v>
      </c>
      <c r="D26" s="2209" t="s">
        <v>3208</v>
      </c>
      <c r="E26" s="35">
        <f t="shared" si="7"/>
        <v>12797.14</v>
      </c>
      <c r="F26" s="36"/>
      <c r="G26" s="37">
        <f t="shared" si="8"/>
        <v>2403.94</v>
      </c>
      <c r="H26" s="38">
        <f t="shared" si="9"/>
        <v>2403.94</v>
      </c>
      <c r="I26" s="2210">
        <f>不动产权证!G26</f>
        <v>2403.94</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14</v>
      </c>
      <c r="AY26" s="42">
        <f t="shared" si="14"/>
        <v>12797.14</v>
      </c>
      <c r="AZ26" s="35">
        <f t="shared" si="15"/>
        <v>2403.94</v>
      </c>
      <c r="BA26" s="35">
        <f t="shared" si="16"/>
        <v>2403.94</v>
      </c>
      <c r="BB26" s="35">
        <f t="shared" si="17"/>
        <v>2403.94</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f>不动产权证!E27</f>
        <v>15</v>
      </c>
      <c r="D27" s="2209" t="s">
        <v>3208</v>
      </c>
      <c r="E27" s="35">
        <f t="shared" si="7"/>
        <v>9306.48</v>
      </c>
      <c r="F27" s="36"/>
      <c r="G27" s="37">
        <f t="shared" si="8"/>
        <v>1748.22</v>
      </c>
      <c r="H27" s="38">
        <f t="shared" si="9"/>
        <v>1748.22</v>
      </c>
      <c r="I27" s="2210">
        <f>不动产权证!G27</f>
        <v>1748.22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15</v>
      </c>
      <c r="AY27" s="42">
        <f t="shared" si="14"/>
        <v>9306.48</v>
      </c>
      <c r="AZ27" s="35">
        <f t="shared" si="15"/>
        <v>1748.22</v>
      </c>
      <c r="BA27" s="35">
        <f t="shared" si="16"/>
        <v>1748.22</v>
      </c>
      <c r="BB27" s="35">
        <f t="shared" si="17"/>
        <v>1748.22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f>不动产权证!E28</f>
        <v>16</v>
      </c>
      <c r="D28" s="2209" t="s">
        <v>3208</v>
      </c>
      <c r="E28" s="35">
        <f t="shared" si="7"/>
        <v>2048.7600000000002</v>
      </c>
      <c r="F28" s="36"/>
      <c r="G28" s="37">
        <f t="shared" si="8"/>
        <v>384.86</v>
      </c>
      <c r="H28" s="38">
        <f t="shared" si="9"/>
        <v>384.86</v>
      </c>
      <c r="I28" s="2210">
        <f>不动产权证!G28</f>
        <v>384.86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16</v>
      </c>
      <c r="AY28" s="42">
        <f t="shared" si="14"/>
        <v>2048.7600000000002</v>
      </c>
      <c r="AZ28" s="35">
        <f t="shared" si="15"/>
        <v>384.86</v>
      </c>
      <c r="BA28" s="35">
        <f t="shared" si="16"/>
        <v>384.86</v>
      </c>
      <c r="BB28" s="35">
        <f t="shared" si="17"/>
        <v>384.86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214"/>
      <c r="E29" s="35">
        <f t="shared" si="7"/>
        <v>0</v>
      </c>
      <c r="F29" s="36"/>
      <c r="G29" s="37">
        <f t="shared" si="8"/>
        <v>0</v>
      </c>
      <c r="H29" s="38">
        <f t="shared" si="9"/>
        <v>0</v>
      </c>
      <c r="I29" s="221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63" t="s">
        <v>1934</v>
      </c>
      <c r="B2" s="3063"/>
      <c r="C2" s="3063"/>
      <c r="D2" s="967" t="s">
        <v>1910</v>
      </c>
      <c r="E2" s="2223" t="s">
        <v>1911</v>
      </c>
      <c r="F2" s="1392"/>
      <c r="G2" s="2224"/>
      <c r="H2" s="2225"/>
      <c r="I2" s="2226" t="s">
        <v>1935</v>
      </c>
      <c r="J2" s="1392"/>
      <c r="K2" s="1392"/>
      <c r="L2" s="1392"/>
      <c r="M2" s="1392"/>
      <c r="N2" s="1427"/>
      <c r="O2" s="1392"/>
      <c r="P2" s="1392"/>
    </row>
    <row r="3" spans="1:16" ht="15.75" thickBot="1">
      <c r="A3" s="3064" t="s">
        <v>1908</v>
      </c>
      <c r="B3" s="3064"/>
      <c r="C3" s="3064"/>
      <c r="D3" s="46">
        <f>'数据-基础表'!AY6</f>
        <v>142073.1</v>
      </c>
      <c r="E3" s="46">
        <f>'数据-基础表'!AZ5</f>
        <v>26688.410000000003</v>
      </c>
      <c r="F3" s="1392"/>
      <c r="G3" s="1399"/>
      <c r="H3" s="1247" t="s">
        <v>1909</v>
      </c>
      <c r="I3" s="55">
        <f>ROUND('数据-基础表'!B3/'数据-基础表'!A3,2)</f>
        <v>0.19</v>
      </c>
      <c r="J3" s="1392"/>
      <c r="K3" s="1392"/>
      <c r="L3" s="1392"/>
      <c r="M3" s="1392"/>
      <c r="N3" s="1427"/>
      <c r="O3" s="1392"/>
      <c r="P3" s="1392"/>
    </row>
    <row r="4" spans="1:16" ht="15">
      <c r="A4" s="3065"/>
      <c r="B4" s="3066"/>
      <c r="C4" s="3067"/>
      <c r="D4" s="2227" t="s">
        <v>1910</v>
      </c>
      <c r="E4" s="2228" t="s">
        <v>1911</v>
      </c>
      <c r="F4" s="1392"/>
      <c r="G4" s="2229" t="s">
        <v>1936</v>
      </c>
      <c r="H4" s="1247" t="s">
        <v>1916</v>
      </c>
      <c r="I4" s="55">
        <f>ROUND(SUMIF('数据-基础表'!I9:AS9,"地上",'数据-基础表'!I5:AS5)/'数据-基础表'!A3,2)</f>
        <v>0.19</v>
      </c>
      <c r="J4" s="1392"/>
      <c r="K4" s="1392"/>
      <c r="L4" s="1392"/>
      <c r="M4" s="1392"/>
      <c r="N4" s="1427"/>
      <c r="O4" s="1392"/>
      <c r="P4" s="1392"/>
    </row>
    <row r="5" spans="1:16">
      <c r="A5" s="47" t="s">
        <v>1912</v>
      </c>
      <c r="B5" s="3068" t="s">
        <v>1913</v>
      </c>
      <c r="C5" s="3068"/>
      <c r="D5" s="48">
        <f>ROUND($D$3*E5/$E$3,2)</f>
        <v>0</v>
      </c>
      <c r="E5" s="49">
        <f>SUMIF('数据-基础表'!$11:$11,"住宅",'数据-基础表'!$5:$5)</f>
        <v>0</v>
      </c>
      <c r="F5" s="1392"/>
      <c r="G5" s="1399"/>
      <c r="H5" s="1247" t="s">
        <v>1909</v>
      </c>
      <c r="I5" s="55">
        <f>ROUND(E31/D31,2)</f>
        <v>0.19</v>
      </c>
      <c r="J5" s="1392"/>
      <c r="K5" s="1392"/>
      <c r="L5" s="1392"/>
      <c r="M5" s="1392"/>
      <c r="N5" s="1392"/>
      <c r="O5" s="1392"/>
      <c r="P5" s="1392"/>
    </row>
    <row r="6" spans="1:16" ht="15" thickBot="1">
      <c r="A6" s="2230"/>
      <c r="B6" s="3068" t="s">
        <v>1914</v>
      </c>
      <c r="C6" s="3068"/>
      <c r="D6" s="48">
        <f>ROUND($D$3*E6/$E$3,2)</f>
        <v>142073.1</v>
      </c>
      <c r="E6" s="49">
        <f>E3-E5</f>
        <v>26688.410000000003</v>
      </c>
      <c r="F6" s="1392"/>
      <c r="G6" s="2231" t="s">
        <v>1915</v>
      </c>
      <c r="H6" s="1399" t="s">
        <v>1916</v>
      </c>
      <c r="I6" s="939">
        <f>ROUND(F31/D31,2)</f>
        <v>0.19</v>
      </c>
      <c r="J6" s="1392"/>
      <c r="K6" s="1392"/>
      <c r="L6" s="1392"/>
      <c r="M6" s="1392"/>
      <c r="N6" s="1392"/>
      <c r="O6" s="1392"/>
      <c r="P6" s="1392"/>
    </row>
    <row r="7" spans="1:16" ht="15">
      <c r="A7" s="3060"/>
      <c r="B7" s="3061"/>
      <c r="C7" s="3062"/>
      <c r="D7" s="2227" t="s">
        <v>1910</v>
      </c>
      <c r="E7" s="2232" t="s">
        <v>1917</v>
      </c>
      <c r="F7" s="1392"/>
      <c r="G7" s="2224" t="s">
        <v>1918</v>
      </c>
      <c r="H7" s="64"/>
      <c r="I7" s="420">
        <v>1</v>
      </c>
      <c r="J7" s="1392"/>
      <c r="K7" s="1392"/>
      <c r="L7" s="1392"/>
      <c r="M7" s="1392"/>
      <c r="N7" s="1392"/>
      <c r="O7" s="1392"/>
      <c r="P7" s="1392"/>
    </row>
    <row r="8" spans="1:16">
      <c r="A8" s="47" t="s">
        <v>1919</v>
      </c>
      <c r="B8" s="50" t="s">
        <v>1920</v>
      </c>
      <c r="C8" s="48" t="s">
        <v>1921</v>
      </c>
      <c r="D8" s="48">
        <f t="shared" ref="D8:D15" si="0">ROUND($D$3*E8/$E$3,2)</f>
        <v>142073.1</v>
      </c>
      <c r="E8" s="51">
        <f>SUMIF('数据-基础表'!BB10:BK10,"地上",'数据-基础表'!BB5:BK5)</f>
        <v>26688.410000000003</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142073.1</v>
      </c>
      <c r="E16" s="53">
        <f>SUM(E8:E15)</f>
        <v>26688.410000000003</v>
      </c>
      <c r="F16" s="1392"/>
      <c r="G16" s="2233"/>
      <c r="H16" s="2236" t="s">
        <v>1938</v>
      </c>
      <c r="I16" s="2237"/>
      <c r="J16" s="1392"/>
      <c r="K16" s="3057" t="s">
        <v>1938</v>
      </c>
      <c r="L16" s="3058"/>
      <c r="M16" s="3058"/>
      <c r="N16" s="3058"/>
      <c r="O16" s="3058"/>
      <c r="P16" s="3059"/>
    </row>
    <row r="17" spans="1:19" ht="15">
      <c r="A17" s="2238" t="s">
        <v>1939</v>
      </c>
      <c r="B17" s="2239" t="s">
        <v>1940</v>
      </c>
      <c r="C17" s="2240" t="s">
        <v>1941</v>
      </c>
      <c r="D17" s="2241" t="s">
        <v>1929</v>
      </c>
      <c r="E17" s="2242" t="s">
        <v>1930</v>
      </c>
      <c r="F17" s="2243"/>
      <c r="G17" s="2244"/>
      <c r="H17" s="2245" t="s">
        <v>1942</v>
      </c>
      <c r="I17" s="2246" t="s">
        <v>1927</v>
      </c>
      <c r="J17" s="1392"/>
      <c r="K17" s="3054" t="s">
        <v>1943</v>
      </c>
      <c r="L17" s="3055"/>
      <c r="M17" s="3056"/>
      <c r="N17" s="3054" t="s">
        <v>1944</v>
      </c>
      <c r="O17" s="3055"/>
      <c r="P17" s="3056"/>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66" t="s">
        <v>3210</v>
      </c>
      <c r="D19" s="48">
        <f>ROUND($D$3*E19/$E$3,2)</f>
        <v>142073.1</v>
      </c>
      <c r="E19" s="56">
        <f t="shared" ref="E19:E26" si="1">SUM(F19:G19)</f>
        <v>26688.410000000003</v>
      </c>
      <c r="F19" s="57">
        <f>'数据-基础表'!I5</f>
        <v>26688.410000000003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142073.1</v>
      </c>
      <c r="S19" s="1248">
        <f t="shared" si="5"/>
        <v>26688.410000000003</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142073.1</v>
      </c>
      <c r="E27" s="1394">
        <f>IF(SUM(E19:E26)='数据-基础表'!BA5,SUM(E19:E26),IF(F27="地上面积有误","面积有误","地下面积有误"))</f>
        <v>26688.410000000003</v>
      </c>
      <c r="F27" s="1393">
        <f>IF(SUM(F19:F26)=E8,SUM(F19:F26),"地上面积有误")</f>
        <v>26688.410000000003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142073.1</v>
      </c>
      <c r="S27" s="1247">
        <f>IF(SUM(S19:S26)=$E$3,SUM(S19:S26),SUM(S19:S26)&amp;"误差"&amp;ROUND(SUM(S19:S26)-E3,2))</f>
        <v>26688.410000000003</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9">
        <f>D27+D30</f>
        <v>142073.1</v>
      </c>
      <c r="E31" s="729">
        <f>E27+E30</f>
        <v>26688.410000000003</v>
      </c>
      <c r="F31" s="730">
        <f>F27+F30</f>
        <v>26688.410000000003</v>
      </c>
      <c r="G31" s="731">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1964</v>
      </c>
      <c r="B2" s="1266">
        <f>项目基本情况!D3</f>
        <v>43595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3211</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59560</v>
      </c>
      <c r="F6" s="72">
        <f>SUMIF(项目基本情况!D$12:I$12,C6,项目基本情况!D$15:I$15)</f>
        <v>43.73</v>
      </c>
      <c r="G6" s="73">
        <f>IF(ISERROR(ROUND(POWER(1+H6,D6-F6)*(POWER(1+H6,F6)-1)/(POWER(1+H6,D6)-1),3)),0,ROUND(POWER(1+H6,D6-F6)*(POWER(1+H6,F6)-1)/(POWER(1+H6,D6)-1),3))</f>
        <v>0.96</v>
      </c>
      <c r="H6" s="802">
        <v>4.4999999999999998E-2</v>
      </c>
      <c r="I6" s="802">
        <v>0.05</v>
      </c>
      <c r="J6" s="74">
        <v>8.5000000000000006E-2</v>
      </c>
      <c r="K6" s="1251">
        <f>SUMIF('数据-汇总表'!C$19:C$33,A6,'数据-汇总表'!E$19:E$33)</f>
        <v>26688.410000000003</v>
      </c>
      <c r="L6" s="803">
        <v>1850</v>
      </c>
      <c r="M6" s="75">
        <f t="shared" ref="M6:M14" si="0">ROUND(K6*L6/10000,0)</f>
        <v>4937</v>
      </c>
      <c r="N6" s="801">
        <f>((ROUND(1-(1-2%)/50*(2019-2014),2)+ROUND(1-(1-2%)/35*(2019-2014),2)))/2</f>
        <v>0.88</v>
      </c>
      <c r="O6" s="75" t="str">
        <f>IF($N$5="成新度","——",ROUND(M6*N6,0))</f>
        <v>——</v>
      </c>
      <c r="P6" s="76" t="str">
        <f>IF($N$5="成新度","——",M6-O6)</f>
        <v>——</v>
      </c>
      <c r="Q6" s="804">
        <v>0.1</v>
      </c>
      <c r="R6" s="77">
        <f ca="1">SUMIF('数据-汇总表'!C$19:C$33,A6,'数据-汇总表'!R$19:R$27)</f>
        <v>142073.1</v>
      </c>
      <c r="S6" s="54">
        <f>IF('数据-汇总表'!$I$17="按面积比例",SUMIF('数据-汇总表'!C$19:C$33,A6,'数据-汇总表'!K$19:K$33),SUMIF('数据-汇总表'!C$19:C$33,A6,'数据-汇总表'!N$19:N$33))</f>
        <v>0</v>
      </c>
      <c r="T6" s="1443">
        <f>ROUND($L$14*S6/10000,0)</f>
        <v>0</v>
      </c>
      <c r="U6" s="78">
        <v>1</v>
      </c>
      <c r="V6" s="79">
        <v>1.4999999999999999E-2</v>
      </c>
      <c r="W6" s="79">
        <v>0.1</v>
      </c>
      <c r="X6" s="1261"/>
      <c r="Y6" s="80">
        <f>N6</f>
        <v>0.88</v>
      </c>
      <c r="Z6" s="81"/>
      <c r="AA6" s="74"/>
      <c r="AB6" s="74"/>
      <c r="AC6" s="1261"/>
      <c r="AD6" s="82"/>
      <c r="AE6" s="1262">
        <f ca="1">IF(AN6="",0,SUMIF(INDIRECT("'"&amp;AN6&amp;"'"&amp;"!E:E"),$AE$5,INDIRECT("'"&amp;AN6&amp;"'"&amp;"!F:F")))</f>
        <v>43.73</v>
      </c>
      <c r="AF6" s="1804"/>
      <c r="AG6" s="147">
        <f>IF(AF6="",0,AE6-AF6)</f>
        <v>0</v>
      </c>
      <c r="AH6" s="83"/>
      <c r="AI6" s="85">
        <v>365</v>
      </c>
      <c r="AJ6" s="86"/>
      <c r="AK6" s="87">
        <v>0.02</v>
      </c>
      <c r="AL6" s="88">
        <v>2E-3</v>
      </c>
      <c r="AM6" s="89">
        <v>0.02</v>
      </c>
      <c r="AN6" s="2305" t="s">
        <v>3212</v>
      </c>
      <c r="AO6" s="55">
        <f ca="1">SUMIF(INDIRECT("'"&amp;AN6&amp;"'"&amp;"!A:A"),"总价",INDIRECT("'"&amp;AN6&amp;"'"&amp;"!B:B"))</f>
        <v>10911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2012</v>
      </c>
      <c r="B16" s="97"/>
      <c r="C16" s="1005"/>
      <c r="D16" s="2310"/>
      <c r="E16" s="97"/>
      <c r="F16" s="97"/>
      <c r="G16" s="98">
        <f>ROUND(SUMPRODUCT(G6:G13,K6:K13)/SUMPRODUCT((G6:G13&gt;0)*(K6:K13)),3)</f>
        <v>0.96</v>
      </c>
      <c r="H16" s="99">
        <f>ROUND(SUMPRODUCT(H6:H13,K6:K13)/SUMPRODUCT((H6:H13&gt;0)*(K6:K13)),3)</f>
        <v>4.4999999999999998E-2</v>
      </c>
      <c r="I16" s="100"/>
      <c r="J16" s="100"/>
      <c r="K16" s="101">
        <f>SUM(K6:K15)</f>
        <v>26688.410000000003</v>
      </c>
      <c r="L16" s="102">
        <f>ROUND(M16*10000/SUM(K6:K14),0)</f>
        <v>1850</v>
      </c>
      <c r="M16" s="102">
        <f>SUM(M6:M14)</f>
        <v>4937</v>
      </c>
      <c r="N16" s="103">
        <f>ROUND(SUMPRODUCT(M6:M14,N6:N14)/M16,3)</f>
        <v>0.88</v>
      </c>
      <c r="O16" s="102">
        <f>SUM(O6:O14)</f>
        <v>0</v>
      </c>
      <c r="P16" s="102">
        <f>SUM(P6:P14)</f>
        <v>0</v>
      </c>
      <c r="Q16" s="104">
        <f>ROUND(SUMPRODUCT(Q6:Q13,K6:K13)/SUMPRODUCT((Q6:Q13&gt;0)*(K6:K13)),2)</f>
        <v>0.1</v>
      </c>
      <c r="R16" s="1255">
        <f ca="1">SUM(R6:R13)</f>
        <v>142073.1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1.5</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75</v>
      </c>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75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f ca="1">成本法!C10</f>
        <v>200</v>
      </c>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0.05</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v>
      </c>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2.5000000000000001E-2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0.03</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4.7500000000000001E-2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0.05</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442</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v>4</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2079</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5"/>
      <c r="B17" s="2401" t="s">
        <v>2091</v>
      </c>
      <c r="C17" s="2402" t="str">
        <f>C5</f>
        <v>估价对象位于XX商圈，周边办公楼项目较多，入驻率高，办公集聚程度较好</v>
      </c>
      <c r="D17" s="2373"/>
      <c r="E17" s="2403"/>
      <c r="F17" s="2404" t="s">
        <v>2109</v>
      </c>
      <c r="G17" s="1569"/>
    </row>
    <row r="18" spans="1:18" ht="57">
      <c r="A18" s="645"/>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5"/>
      <c r="B19" s="2404" t="s">
        <v>2110</v>
      </c>
      <c r="C19" s="1569"/>
      <c r="D19" s="2367"/>
      <c r="E19" s="2403"/>
      <c r="F19" s="1795" t="s">
        <v>2093</v>
      </c>
      <c r="G19" s="136" t="str">
        <f>G5</f>
        <v>估价对象所在区域公共配套设施齐备情况</v>
      </c>
    </row>
    <row r="20" spans="1:18" ht="28.5">
      <c r="A20" s="645"/>
      <c r="B20" s="2404" t="s">
        <v>2111</v>
      </c>
      <c r="C20" s="2402" t="str">
        <f>C9</f>
        <v>区域自然环境：；人文环境；综合评价环境状况一般</v>
      </c>
      <c r="D20" s="2373"/>
      <c r="E20" s="2403"/>
      <c r="F20" s="1795" t="s">
        <v>2112</v>
      </c>
      <c r="G20" s="136" t="str">
        <f>G6</f>
        <v>估价对象所在区域基础设施水平</v>
      </c>
    </row>
    <row r="21" spans="1:18" ht="28.5">
      <c r="A21" s="645"/>
      <c r="B21" s="1795" t="s">
        <v>2093</v>
      </c>
      <c r="C21" s="136" t="str">
        <f>C7</f>
        <v>估价对象所在区域公共配套设施齐备情况</v>
      </c>
      <c r="D21" s="2367"/>
      <c r="E21" s="2403"/>
      <c r="F21" s="2404" t="s">
        <v>2113</v>
      </c>
      <c r="G21" s="2405"/>
    </row>
    <row r="22" spans="1:18" ht="13.5" customHeight="1">
      <c r="A22" s="645"/>
      <c r="B22" s="1795" t="s">
        <v>2096</v>
      </c>
      <c r="C22" s="136" t="str">
        <f>C8</f>
        <v>估价对象所在区域基础设施水平</v>
      </c>
      <c r="D22" s="2367"/>
      <c r="E22" s="2403"/>
      <c r="F22" s="2404" t="s">
        <v>2102</v>
      </c>
      <c r="G22" s="1569"/>
    </row>
    <row r="23" spans="1:18" s="2364"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8" sqref="G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26688.410000000003</v>
      </c>
      <c r="C1" s="1742"/>
      <c r="D1" s="1742"/>
      <c r="E1" s="1742"/>
      <c r="F1" s="1742"/>
      <c r="G1" s="1740"/>
    </row>
    <row r="2" spans="1:10" ht="16.5">
      <c r="A2" s="1743" t="s">
        <v>1349</v>
      </c>
      <c r="B2" s="1743">
        <f>SUM(C14:C23)</f>
        <v>142073.1</v>
      </c>
      <c r="C2" s="1742"/>
      <c r="D2" s="1742"/>
      <c r="E2" s="1742"/>
      <c r="F2" s="1742"/>
      <c r="G2" s="1740"/>
    </row>
    <row r="3" spans="1:10" ht="16.5">
      <c r="A3" s="1743" t="s">
        <v>1358</v>
      </c>
      <c r="B3" s="1744">
        <f>项目基本情况!D3</f>
        <v>43595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13114</v>
      </c>
      <c r="C5" s="1743">
        <f ca="1">ROUND(B5*10000/$B$1,0)</f>
        <v>4914</v>
      </c>
      <c r="D5" s="1743">
        <f ca="1">ROUND(B5*10000/$B$2,0)</f>
        <v>923</v>
      </c>
      <c r="E5" s="1742"/>
      <c r="F5" s="1740"/>
      <c r="G5" s="1740"/>
    </row>
    <row r="6" spans="1:10" ht="16.5">
      <c r="A6" s="1743" t="s">
        <v>1352</v>
      </c>
      <c r="B6" s="1743">
        <f ca="1">SUM(G14:G23)</f>
        <v>13114</v>
      </c>
      <c r="C6" s="1743">
        <f ca="1">ROUND(B6*10000/$B$1,0)</f>
        <v>4914</v>
      </c>
      <c r="D6" s="1743">
        <f ca="1">ROUND(B6*10000/$B$2,0)</f>
        <v>923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26688.410000000003</v>
      </c>
      <c r="C14" s="1741">
        <f>结果表!C118</f>
        <v>142073.1</v>
      </c>
      <c r="D14" s="1741">
        <f ca="1">结果表!H118</f>
        <v>10787</v>
      </c>
      <c r="E14" s="1741">
        <f ca="1">ROUND(D14*10000/B14,0)</f>
        <v>4042</v>
      </c>
      <c r="F14" s="1741">
        <f ca="1">ROUND(D14*10000/C14,0)</f>
        <v>759</v>
      </c>
      <c r="G14" s="1741">
        <f ca="1">结果表!D122</f>
        <v>10787</v>
      </c>
      <c r="H14" s="1741" t="str">
        <f>结果表!D124</f>
        <v>——</v>
      </c>
      <c r="I14" s="1741" t="str">
        <f>结果表!D126</f>
        <v>——</v>
      </c>
      <c r="J14" s="1740"/>
    </row>
    <row r="15" spans="1:10" ht="16.5">
      <c r="A15" s="1739" t="s">
        <v>1345</v>
      </c>
      <c r="B15" s="1746"/>
      <c r="C15" s="1746"/>
      <c r="D15" s="1746">
        <f ca="1">[1]结果表!$G$19</f>
        <v>2327</v>
      </c>
      <c r="E15" s="1741" t="e">
        <f t="shared" ref="E15:E23" ca="1" si="0">ROUND(D15*10000/B15,0)</f>
        <v>#DIV/0!</v>
      </c>
      <c r="F15" s="1741" t="e">
        <f t="shared" ref="F15:F23" ca="1" si="1">ROUND(D15*10000/C15,0)</f>
        <v>#DIV/0!</v>
      </c>
      <c r="G15" s="1747">
        <f ca="1">D15</f>
        <v>2327</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88" zoomScaleNormal="100" zoomScaleSheetLayoutView="100" zoomScalePageLayoutView="80" workbookViewId="0">
      <selection activeCell="H102" sqref="H10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2116</v>
      </c>
      <c r="B1" s="2415"/>
      <c r="C1" s="2416"/>
      <c r="D1" s="2415"/>
      <c r="E1" s="2415"/>
      <c r="F1" s="2417" t="s">
        <v>2117</v>
      </c>
      <c r="G1" s="2066" t="s">
        <v>3236</v>
      </c>
      <c r="H1" s="2418" t="str">
        <f>IF(G1="现房","——","估价对象范围")</f>
        <v>——</v>
      </c>
      <c r="I1" s="2419"/>
    </row>
    <row r="2" spans="1:12" ht="21.75" customHeight="1" thickBot="1">
      <c r="A2" s="3143" t="str">
        <f>项目基本情况!S2</f>
        <v>江苏省盐城市阜宁县澳洋工业园马河、王庄村房地产</v>
      </c>
      <c r="B2" s="3144"/>
      <c r="C2" s="3144"/>
      <c r="D2" s="3144"/>
      <c r="E2" s="3144"/>
      <c r="F2" s="3144"/>
      <c r="G2" s="3144"/>
      <c r="H2" s="3144"/>
      <c r="I2" s="3145"/>
    </row>
    <row r="3" spans="1:12" ht="12.75">
      <c r="A3" s="3146" t="s">
        <v>2118</v>
      </c>
      <c r="B3" s="3147"/>
      <c r="C3" s="3147"/>
      <c r="D3" s="3147"/>
      <c r="E3" s="3147"/>
      <c r="F3" s="3147"/>
      <c r="G3" s="3147"/>
      <c r="H3" s="3147"/>
      <c r="I3" s="3147"/>
    </row>
    <row r="4" spans="1:12" ht="14.25">
      <c r="A4" s="2422" t="s">
        <v>2119</v>
      </c>
      <c r="B4" s="2423" t="s">
        <v>2120</v>
      </c>
      <c r="C4" s="2424" t="s">
        <v>3214</v>
      </c>
      <c r="D4" s="2424" t="s">
        <v>3212</v>
      </c>
      <c r="E4" s="3127" t="s">
        <v>2121</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2122</v>
      </c>
      <c r="B5" s="3044">
        <v>25</v>
      </c>
      <c r="C5" s="3148"/>
      <c r="D5" s="3136"/>
      <c r="E5" s="140" t="s">
        <v>2123</v>
      </c>
      <c r="F5" s="2426"/>
      <c r="G5" s="2426"/>
      <c r="H5" s="2426"/>
      <c r="I5" s="1831"/>
    </row>
    <row r="6" spans="1:12" ht="12.75">
      <c r="A6" s="3118"/>
      <c r="B6" s="3044"/>
      <c r="C6" s="3150"/>
      <c r="D6" s="3136"/>
      <c r="E6" s="140" t="s">
        <v>2124</v>
      </c>
      <c r="F6" s="2426"/>
      <c r="G6" s="2426"/>
      <c r="H6" s="2426"/>
      <c r="I6" s="1831"/>
    </row>
    <row r="7" spans="1:12" ht="12.75">
      <c r="A7" s="3118"/>
      <c r="B7" s="3044"/>
      <c r="C7" s="3149"/>
      <c r="D7" s="3136"/>
      <c r="E7" s="140" t="s">
        <v>2125</v>
      </c>
      <c r="F7" s="2426"/>
      <c r="G7" s="2426"/>
      <c r="H7" s="2426"/>
      <c r="I7" s="1831"/>
    </row>
    <row r="8" spans="1:12" ht="12.75">
      <c r="A8" s="3118" t="s">
        <v>2126</v>
      </c>
      <c r="B8" s="3044">
        <v>15</v>
      </c>
      <c r="C8" s="3148"/>
      <c r="D8" s="3136"/>
      <c r="E8" s="140" t="s">
        <v>2127</v>
      </c>
      <c r="F8" s="2426"/>
      <c r="G8" s="2426"/>
      <c r="H8" s="2426"/>
      <c r="I8" s="1831"/>
    </row>
    <row r="9" spans="1:12" ht="12.75">
      <c r="A9" s="3118"/>
      <c r="B9" s="3044"/>
      <c r="C9" s="3149"/>
      <c r="D9" s="3136"/>
      <c r="E9" s="140" t="s">
        <v>2128</v>
      </c>
      <c r="F9" s="2426"/>
      <c r="G9" s="2426"/>
      <c r="H9" s="2426"/>
      <c r="I9" s="1831"/>
    </row>
    <row r="10" spans="1:12" ht="12.75">
      <c r="A10" s="3118" t="s">
        <v>2129</v>
      </c>
      <c r="B10" s="3044">
        <v>15</v>
      </c>
      <c r="C10" s="3148"/>
      <c r="D10" s="3136"/>
      <c r="E10" s="140" t="s">
        <v>2130</v>
      </c>
      <c r="F10" s="2426"/>
      <c r="G10" s="2426"/>
      <c r="H10" s="2426"/>
      <c r="I10" s="1831"/>
    </row>
    <row r="11" spans="1:12" ht="12.75">
      <c r="A11" s="3118"/>
      <c r="B11" s="3044"/>
      <c r="C11" s="3149"/>
      <c r="D11" s="3136"/>
      <c r="E11" s="140" t="s">
        <v>2131</v>
      </c>
      <c r="F11" s="2426"/>
      <c r="G11" s="2426"/>
      <c r="H11" s="2426"/>
      <c r="I11" s="1831"/>
    </row>
    <row r="12" spans="1:12" ht="12.75">
      <c r="A12" s="3118" t="s">
        <v>2132</v>
      </c>
      <c r="B12" s="3044">
        <v>15</v>
      </c>
      <c r="C12" s="3148"/>
      <c r="D12" s="3136"/>
      <c r="E12" s="140" t="s">
        <v>2133</v>
      </c>
      <c r="F12" s="2426"/>
      <c r="G12" s="2426"/>
      <c r="H12" s="2426"/>
      <c r="I12" s="1831"/>
    </row>
    <row r="13" spans="1:12" ht="12.75">
      <c r="A13" s="3118"/>
      <c r="B13" s="3044"/>
      <c r="C13" s="3149"/>
      <c r="D13" s="3136"/>
      <c r="E13" s="140" t="s">
        <v>2134</v>
      </c>
      <c r="F13" s="2426"/>
      <c r="G13" s="2426"/>
      <c r="H13" s="2426"/>
      <c r="I13" s="1831"/>
    </row>
    <row r="14" spans="1:12" ht="12.75">
      <c r="A14" s="3118" t="s">
        <v>2135</v>
      </c>
      <c r="B14" s="3044">
        <v>30</v>
      </c>
      <c r="C14" s="3148">
        <v>5</v>
      </c>
      <c r="D14" s="3136">
        <v>5</v>
      </c>
      <c r="E14" s="140" t="s">
        <v>2136</v>
      </c>
      <c r="F14" s="2426"/>
      <c r="G14" s="2426"/>
      <c r="H14" s="2426"/>
      <c r="I14" s="1831"/>
    </row>
    <row r="15" spans="1:12" ht="12.75">
      <c r="A15" s="3118"/>
      <c r="B15" s="3044"/>
      <c r="C15" s="3150"/>
      <c r="D15" s="3136"/>
      <c r="E15" s="140" t="s">
        <v>2137</v>
      </c>
      <c r="F15" s="2426"/>
      <c r="G15" s="2426"/>
      <c r="H15" s="2426"/>
      <c r="I15" s="1831"/>
    </row>
    <row r="16" spans="1:12" ht="12.75">
      <c r="A16" s="3118"/>
      <c r="B16" s="3044"/>
      <c r="C16" s="3149"/>
      <c r="D16" s="3136"/>
      <c r="E16" s="140" t="s">
        <v>2138</v>
      </c>
      <c r="F16" s="2426"/>
      <c r="G16" s="2426"/>
      <c r="H16" s="2426"/>
      <c r="I16" s="1831"/>
    </row>
    <row r="17" spans="1:35" ht="15">
      <c r="A17" s="2427" t="s">
        <v>2139</v>
      </c>
      <c r="B17" s="64"/>
      <c r="C17" s="141">
        <f>SUM(C5:C16)</f>
        <v>5</v>
      </c>
      <c r="D17" s="141">
        <f>SUM(D5:D16)</f>
        <v>5</v>
      </c>
      <c r="E17" s="138"/>
      <c r="F17" s="138"/>
      <c r="G17" s="138"/>
      <c r="H17" s="138"/>
      <c r="I17" s="138"/>
      <c r="K17" s="2425"/>
      <c r="L17" s="2428" t="s">
        <v>2140</v>
      </c>
      <c r="M17" s="2428" t="s">
        <v>2141</v>
      </c>
    </row>
    <row r="18" spans="1:35" ht="15.75" thickBot="1">
      <c r="A18" s="2429" t="s">
        <v>2142</v>
      </c>
      <c r="B18" s="2430"/>
      <c r="C18" s="142">
        <f>ROUND(C17/SUM(C17:D17),2)</f>
        <v>0.5</v>
      </c>
      <c r="D18" s="142">
        <f>1-C18</f>
        <v>0.5</v>
      </c>
      <c r="E18" s="138"/>
      <c r="F18" s="138"/>
      <c r="G18" s="138"/>
      <c r="H18" s="138"/>
      <c r="I18" s="138"/>
      <c r="K18" s="2425" t="s">
        <v>2143</v>
      </c>
      <c r="L18" s="2425">
        <f>IF(C1="",'数据-汇总表'!E3,SUMIF(项目类型,C1,'数据-汇总表'!E17:E26)+SUMIF(项目类型,C1,'数据-汇总表'!I17:I26))</f>
        <v>26688.410000000003</v>
      </c>
      <c r="M18" s="2425">
        <f>IF(C1="",'数据-汇总表'!E3,SUMIF(项目类型,C1,'数据-汇总表'!E17:E26))</f>
        <v>26688.410000000003</v>
      </c>
    </row>
    <row r="19" spans="1:35" ht="15">
      <c r="A19" s="2431" t="s">
        <v>2144</v>
      </c>
      <c r="B19" s="2432" t="s">
        <v>2145</v>
      </c>
      <c r="C19" s="143">
        <f ca="1">SUMIF(INDIRECT("'"&amp;C4&amp;"'"&amp;"!A:A"),结果表!B19,INDIRECT("'"&amp;C4&amp;"'"&amp;"!B:B"))</f>
        <v>10663</v>
      </c>
      <c r="D19" s="144">
        <f ca="1">SUMIF(INDIRECT("'"&amp;D4&amp;"'"&amp;"!A:A"),结果表!B19,INDIRECT("'"&amp;D4&amp;"'"&amp;"!B:B"))</f>
        <v>10911</v>
      </c>
      <c r="E19" s="2431" t="s">
        <v>2146</v>
      </c>
      <c r="F19" s="2432" t="s">
        <v>2145</v>
      </c>
      <c r="G19" s="145">
        <f ca="1">ROUND(C19*$C$18+D19*$D$18,0)</f>
        <v>10787</v>
      </c>
      <c r="H19" s="2433" t="s">
        <v>2147</v>
      </c>
      <c r="I19" s="138"/>
      <c r="K19" s="2425" t="s">
        <v>2148</v>
      </c>
      <c r="L19" s="2425">
        <f>IF(C1="",'数据-汇总表'!D3,SUMIF(项目类型,C1,'数据-汇总表'!D17:D26)+SUMIF(项目类型,C1,'数据-汇总表'!H17:H27))</f>
        <v>142073.1</v>
      </c>
      <c r="M19" s="2425">
        <f>IF(C1="",'数据-汇总表'!D3,SUMIF(项目类型,C1,'数据-汇总表'!D17:D26))</f>
        <v>142073.1</v>
      </c>
    </row>
    <row r="20" spans="1:35" ht="15">
      <c r="A20" s="2434"/>
      <c r="B20" s="1247" t="s">
        <v>2149</v>
      </c>
      <c r="C20" s="146">
        <f ca="1">SUMIF(INDIRECT("'"&amp;C4&amp;"'"&amp;"!A:A"),结果表!B20,INDIRECT("'"&amp;C4&amp;"'"&amp;"!B:B"))</f>
        <v>3995</v>
      </c>
      <c r="D20" s="147">
        <f ca="1">SUMIF(INDIRECT("'"&amp;D4&amp;"'"&amp;"!A:A"),结果表!B20,INDIRECT("'"&amp;D4&amp;"'"&amp;"!B:B"))</f>
        <v>4088</v>
      </c>
      <c r="E20" s="2434"/>
      <c r="F20" s="1247" t="s">
        <v>2149</v>
      </c>
      <c r="G20" s="148">
        <f ca="1">ROUND(C20*$C$18+D20*$D$18,0)</f>
        <v>4042</v>
      </c>
      <c r="H20" s="980" t="s">
        <v>2150</v>
      </c>
      <c r="I20" s="138"/>
    </row>
    <row r="21" spans="1:35" ht="15" customHeight="1" thickBot="1">
      <c r="A21" s="1000"/>
      <c r="B21" s="2435" t="s">
        <v>2151</v>
      </c>
      <c r="C21" s="789">
        <f ca="1">ROUND(C19*10000/L19,0)</f>
        <v>751</v>
      </c>
      <c r="D21" s="790">
        <f ca="1">ROUND(D19*10000/L19,0)</f>
        <v>768</v>
      </c>
      <c r="E21" s="1000"/>
      <c r="F21" s="2435" t="s">
        <v>2151</v>
      </c>
      <c r="G21" s="149">
        <f ca="1">ROUND(G19*10000/L19,0)</f>
        <v>759</v>
      </c>
      <c r="H21" s="2436" t="s">
        <v>2150</v>
      </c>
      <c r="I21" s="138"/>
    </row>
    <row r="22" spans="1:35" ht="15" thickBot="1">
      <c r="A22" s="2277" t="s">
        <v>2152</v>
      </c>
      <c r="B22" s="2437"/>
      <c r="C22" s="2438"/>
      <c r="D22" s="791">
        <f ca="1">IF(C19&lt;D19,D19/C19-1,C19/D19-1)</f>
        <v>2.3257994935759196E-2</v>
      </c>
      <c r="E22" s="138"/>
      <c r="F22" s="138"/>
      <c r="G22" s="138"/>
      <c r="H22" s="138"/>
      <c r="I22" s="138"/>
    </row>
    <row r="23" spans="1:35" ht="13.5" thickBot="1">
      <c r="A23" s="2415"/>
      <c r="B23" s="2415"/>
      <c r="C23" s="2415"/>
      <c r="D23" s="2415"/>
      <c r="E23" s="138"/>
      <c r="F23" s="138"/>
      <c r="G23" s="138"/>
      <c r="H23" s="138"/>
      <c r="I23" s="138"/>
    </row>
    <row r="24" spans="1:35" ht="14.25">
      <c r="A24" s="3157" t="s">
        <v>2153</v>
      </c>
      <c r="B24" s="2432" t="s">
        <v>2145</v>
      </c>
      <c r="C24" s="145">
        <f>IF(B30=0,0,D30)</f>
        <v>0</v>
      </c>
      <c r="D24" s="2439"/>
      <c r="E24" s="138"/>
      <c r="F24" s="138"/>
      <c r="G24" s="138"/>
      <c r="H24" s="138"/>
      <c r="I24" s="138"/>
    </row>
    <row r="25" spans="1:35" ht="14.25">
      <c r="A25" s="3158"/>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14" t="s">
        <v>3035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10787</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6"/>
      <c r="G34" s="138"/>
      <c r="H34" s="138"/>
      <c r="I34" s="138"/>
    </row>
    <row r="35" spans="1:15" ht="15.75" thickBot="1">
      <c r="A35" s="2455"/>
      <c r="B35" s="2456"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137" t="s">
        <v>2167</v>
      </c>
      <c r="B36" s="2458" t="s">
        <v>2168</v>
      </c>
      <c r="C36" s="154"/>
      <c r="D36" s="2459"/>
      <c r="E36" s="2460"/>
      <c r="F36" s="2461"/>
      <c r="G36" s="138"/>
      <c r="H36" s="138"/>
      <c r="I36" s="138"/>
    </row>
    <row r="37" spans="1:15" ht="15.75" thickBot="1">
      <c r="A37" s="3138"/>
      <c r="B37" s="2263" t="s">
        <v>2169</v>
      </c>
      <c r="C37" s="156"/>
      <c r="D37" s="1392"/>
      <c r="E37" s="1392"/>
      <c r="F37" s="2461"/>
      <c r="G37" s="138"/>
      <c r="H37" s="138"/>
      <c r="I37" s="138"/>
    </row>
    <row r="38" spans="1:15" ht="15.75" thickBot="1">
      <c r="A38" s="3139"/>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54" t="s">
        <v>2181</v>
      </c>
      <c r="B45" s="3155"/>
      <c r="C45" s="3156"/>
      <c r="D45" s="164">
        <f ca="1">ROUND(H101*F45,0)</f>
        <v>10787</v>
      </c>
      <c r="E45" s="165" t="s">
        <v>2182</v>
      </c>
      <c r="F45" s="166">
        <v>1</v>
      </c>
      <c r="G45" s="167" t="s">
        <v>2183</v>
      </c>
      <c r="H45" s="138"/>
      <c r="I45" s="138"/>
      <c r="J45" s="3073" t="s">
        <v>2184</v>
      </c>
      <c r="K45" s="3073"/>
      <c r="L45" s="3073"/>
      <c r="M45" s="3073"/>
      <c r="N45" s="3073"/>
      <c r="O45" s="3073"/>
    </row>
    <row r="46" spans="1:15" ht="14.25" customHeight="1">
      <c r="A46" s="3151" t="s">
        <v>2185</v>
      </c>
      <c r="B46" s="3152"/>
      <c r="C46" s="3152"/>
      <c r="D46" s="3152"/>
      <c r="E46" s="3152"/>
      <c r="F46" s="3152"/>
      <c r="G46" s="3153"/>
      <c r="H46" s="2477"/>
      <c r="I46" s="168"/>
      <c r="J46" s="1809">
        <v>1</v>
      </c>
      <c r="K46" s="3073" t="s">
        <v>2186</v>
      </c>
      <c r="L46" s="3073"/>
      <c r="M46" s="3074"/>
      <c r="N46" s="3074"/>
      <c r="O46" s="3074"/>
    </row>
    <row r="47" spans="1:15" ht="12" customHeight="1">
      <c r="A47" s="169" t="s">
        <v>2187</v>
      </c>
      <c r="B47" s="170"/>
      <c r="C47" s="171"/>
      <c r="D47" s="172" t="s">
        <v>2188</v>
      </c>
      <c r="E47" s="24" t="s">
        <v>2189</v>
      </c>
      <c r="F47" s="173" t="s">
        <v>2190</v>
      </c>
      <c r="G47" s="174" t="s">
        <v>2191</v>
      </c>
      <c r="H47" s="2477"/>
      <c r="I47" s="168"/>
      <c r="J47" s="1809">
        <v>2</v>
      </c>
      <c r="K47" s="3073" t="s">
        <v>2192</v>
      </c>
      <c r="L47" s="3073"/>
      <c r="M47" s="3075">
        <f>'数据-取费表'!B2</f>
        <v>43595</v>
      </c>
      <c r="N47" s="3075"/>
      <c r="O47" s="3075"/>
    </row>
    <row r="48" spans="1:15" ht="25.5">
      <c r="A48" s="3141" t="s">
        <v>2193</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073" t="s">
        <v>2196</v>
      </c>
      <c r="L48" s="3073"/>
      <c r="M48" s="3076">
        <f ca="1">H101</f>
        <v>10787</v>
      </c>
      <c r="N48" s="3076"/>
      <c r="O48" s="3076"/>
    </row>
    <row r="49" spans="1:35" ht="25.5" customHeight="1">
      <c r="A49" s="176" t="s">
        <v>2197</v>
      </c>
      <c r="B49" s="3121" t="s">
        <v>2198</v>
      </c>
      <c r="C49" s="3121"/>
      <c r="D49" s="177">
        <v>0</v>
      </c>
      <c r="E49" s="23" t="s">
        <v>2199</v>
      </c>
      <c r="F49" s="28" t="s">
        <v>34</v>
      </c>
      <c r="G49" s="3102"/>
      <c r="H49" s="138"/>
      <c r="I49" s="2480"/>
      <c r="J49" s="1809">
        <v>4</v>
      </c>
      <c r="K49" s="3073" t="str">
        <f>IF(项目基本情况!E8="房地产抵押价值","房地产抵押价值","抵押担保权已注销时的房地产抵押价值")</f>
        <v>房地产抵押价值</v>
      </c>
      <c r="L49" s="3073"/>
      <c r="M49" s="3076">
        <f ca="1">IF(项目基本情况!E8="房地产抵押价值",H107,H109)</f>
        <v>10787</v>
      </c>
      <c r="N49" s="3076"/>
      <c r="O49" s="3076"/>
    </row>
    <row r="50" spans="1:35" ht="25.5" customHeight="1">
      <c r="A50" s="178"/>
      <c r="B50" s="3121" t="s">
        <v>2200</v>
      </c>
      <c r="C50" s="3121"/>
      <c r="D50" s="179"/>
      <c r="E50" s="31"/>
      <c r="F50" s="180"/>
      <c r="G50" s="3103"/>
      <c r="H50" s="138"/>
      <c r="I50" s="2480"/>
      <c r="J50" s="3073" t="s">
        <v>2201</v>
      </c>
      <c r="K50" s="3073"/>
      <c r="L50" s="3073"/>
      <c r="M50" s="3073"/>
      <c r="N50" s="3073"/>
      <c r="O50" s="3073"/>
    </row>
    <row r="51" spans="1:35" ht="12" customHeight="1">
      <c r="A51" s="181"/>
      <c r="B51" s="3121" t="s">
        <v>2202</v>
      </c>
      <c r="C51" s="3121"/>
      <c r="D51" s="182"/>
      <c r="E51" s="30"/>
      <c r="F51" s="180"/>
      <c r="G51" s="3104"/>
      <c r="H51" s="138"/>
      <c r="I51" s="2480"/>
      <c r="J51" s="2481" t="s">
        <v>2203</v>
      </c>
      <c r="K51" s="3073" t="s">
        <v>2204</v>
      </c>
      <c r="L51" s="3073"/>
      <c r="M51" s="2481" t="s">
        <v>2205</v>
      </c>
      <c r="N51" s="2481" t="s">
        <v>2206</v>
      </c>
      <c r="O51" s="2481" t="s">
        <v>2207</v>
      </c>
    </row>
    <row r="52" spans="1:35" ht="24" customHeight="1">
      <c r="A52" s="183" t="s">
        <v>2208</v>
      </c>
      <c r="B52" s="3121" t="s">
        <v>2209</v>
      </c>
      <c r="C52" s="3121"/>
      <c r="D52" s="182">
        <f ca="1">ROUND(D45*'数据-取费表'!B41/(1+'数据-取费表'!C42),0)</f>
        <v>565</v>
      </c>
      <c r="E52" s="11" t="s">
        <v>2210</v>
      </c>
      <c r="F52" s="184">
        <f>'数据-取费表'!B41</f>
        <v>5.5000000000000007E-2</v>
      </c>
      <c r="G52" s="2482"/>
      <c r="H52" s="138"/>
      <c r="I52" s="2480"/>
      <c r="J52" s="1809">
        <v>1</v>
      </c>
      <c r="K52" s="3096" t="s">
        <v>2211</v>
      </c>
      <c r="L52" s="3096"/>
      <c r="M52" s="1751">
        <f>D48</f>
        <v>0</v>
      </c>
      <c r="N52" s="1809" t="str">
        <f>E48</f>
        <v>销售额×税（费）率</v>
      </c>
      <c r="O52" s="1752" t="str">
        <f>F48</f>
        <v>免征</v>
      </c>
    </row>
    <row r="53" spans="1:35" ht="12" customHeight="1">
      <c r="A53" s="183" t="s">
        <v>2212</v>
      </c>
      <c r="B53" s="3122" t="s">
        <v>2213</v>
      </c>
      <c r="C53" s="3123"/>
      <c r="D53" s="182">
        <f ca="1">ROUND(D45*'数据-取费表'!B41/(1+'数据-取费表'!C42),0)</f>
        <v>565</v>
      </c>
      <c r="E53" s="11" t="s">
        <v>2210</v>
      </c>
      <c r="F53" s="184">
        <f>'数据-取费表'!B41</f>
        <v>5.5000000000000007E-2</v>
      </c>
      <c r="G53" s="2482"/>
      <c r="H53" s="138"/>
      <c r="I53" s="2480"/>
      <c r="J53" s="1809">
        <v>2</v>
      </c>
      <c r="K53" s="3096" t="s">
        <v>2214</v>
      </c>
      <c r="L53" s="3096"/>
      <c r="M53" s="1751">
        <f t="shared" ref="M53:O54" ca="1" si="0">D55</f>
        <v>5</v>
      </c>
      <c r="N53" s="1809" t="str">
        <f t="shared" si="0"/>
        <v>销售额×税（费）率</v>
      </c>
      <c r="O53" s="1752">
        <f t="shared" si="0"/>
        <v>5.0000000000000001E-4</v>
      </c>
    </row>
    <row r="54" spans="1:35" ht="12" customHeight="1">
      <c r="A54" s="183" t="s">
        <v>2215</v>
      </c>
      <c r="B54" s="3122" t="s">
        <v>2216</v>
      </c>
      <c r="C54" s="3123"/>
      <c r="D54" s="182">
        <f ca="1">C68</f>
        <v>565</v>
      </c>
      <c r="E54" s="30" t="s">
        <v>2217</v>
      </c>
      <c r="F54" s="184">
        <f>'数据-取费表'!B41</f>
        <v>5.5000000000000007E-2</v>
      </c>
      <c r="G54" s="2482"/>
      <c r="H54" s="2483"/>
      <c r="I54" s="2480"/>
      <c r="J54" s="1809">
        <v>3</v>
      </c>
      <c r="K54" s="3096" t="s">
        <v>2218</v>
      </c>
      <c r="L54" s="3096"/>
      <c r="M54" s="1751">
        <f t="shared" ca="1" si="0"/>
        <v>6115</v>
      </c>
      <c r="N54" s="1809" t="str">
        <f t="shared" si="0"/>
        <v>增值额×税（费）率</v>
      </c>
      <c r="O54" s="1753" t="str">
        <f t="shared" si="0"/>
        <v>——</v>
      </c>
    </row>
    <row r="55" spans="1:35" ht="24" customHeight="1">
      <c r="A55" s="3160" t="s">
        <v>2219</v>
      </c>
      <c r="B55" s="3142"/>
      <c r="C55" s="3142"/>
      <c r="D55" s="185">
        <f ca="1">IF(H55="个人住宅",0,ROUND(D45*I55,0))</f>
        <v>5</v>
      </c>
      <c r="E55" s="11" t="s">
        <v>2220</v>
      </c>
      <c r="F55" s="184">
        <f>IF(H55="正常",I55,"免征")</f>
        <v>5.0000000000000001E-4</v>
      </c>
      <c r="G55" s="2482"/>
      <c r="H55" s="2479" t="s">
        <v>2221</v>
      </c>
      <c r="I55" s="186">
        <f>'数据-取费表'!B49</f>
        <v>5.0000000000000001E-4</v>
      </c>
      <c r="J55" s="1809" t="str">
        <f>IF(H59="非个人房产","",4)</f>
        <v/>
      </c>
      <c r="K55" s="3096" t="str">
        <f>IF(H59="非个人房产","——","个人所得税")</f>
        <v>——</v>
      </c>
      <c r="L55" s="3096"/>
      <c r="M55" s="1754" t="str">
        <f>D59</f>
        <v>——</v>
      </c>
      <c r="N55" s="1807" t="str">
        <f>E59</f>
        <v>——</v>
      </c>
      <c r="O55" s="1755" t="str">
        <f>F59</f>
        <v>——</v>
      </c>
    </row>
    <row r="56" spans="1:35" ht="24.75">
      <c r="A56" s="3160" t="s">
        <v>2222</v>
      </c>
      <c r="B56" s="3142"/>
      <c r="C56" s="3142"/>
      <c r="D56" s="185">
        <f ca="1">IF(H56="个人住宅",D57,D58)</f>
        <v>6115</v>
      </c>
      <c r="E56" s="11" t="s">
        <v>2223</v>
      </c>
      <c r="F56" s="184" t="str">
        <f>IF(H56="正常",F58,"免征")</f>
        <v>——</v>
      </c>
      <c r="G56" s="2484" t="s">
        <v>2224</v>
      </c>
      <c r="H56" s="2485" t="s">
        <v>2221</v>
      </c>
      <c r="I56" s="2486"/>
      <c r="J56" s="1809" t="str">
        <f>IF(项目基本情况!K6="上海银行",IF(J55="",4,J55+1),"")</f>
        <v/>
      </c>
      <c r="K56" s="3079" t="str">
        <f>IF(项目基本情况!K6="上海银行","其他处置费用","")</f>
        <v/>
      </c>
      <c r="L56" s="3080"/>
      <c r="M56" s="1751" t="str">
        <f>IF(项目基本情况!K6="上海银行",M69,"")</f>
        <v/>
      </c>
      <c r="N56" s="3082" t="str">
        <f>IF(项目基本情况!K6="上海银行","包含处置中涉及的律师、诉讼、拍卖、评估等费用","")</f>
        <v/>
      </c>
      <c r="O56" s="3083"/>
    </row>
    <row r="57" spans="1:35" ht="12.75">
      <c r="A57" s="183" t="s">
        <v>2197</v>
      </c>
      <c r="B57" s="3127" t="s">
        <v>2225</v>
      </c>
      <c r="C57" s="3128"/>
      <c r="D57" s="187">
        <v>0</v>
      </c>
      <c r="E57" s="23" t="s">
        <v>2199</v>
      </c>
      <c r="F57" s="155"/>
      <c r="G57" s="2482"/>
      <c r="H57" s="2486"/>
      <c r="I57" s="2486"/>
      <c r="J57" s="3096">
        <f>IF(AND(J55="",J56=""),4,IF(项目基本情况!K6="上海银行",结果表!J56+1,结果表!J55+1))</f>
        <v>4</v>
      </c>
      <c r="K57" s="3096" t="s">
        <v>2226</v>
      </c>
      <c r="L57" s="2487" t="s">
        <v>2227</v>
      </c>
      <c r="M57" s="1756"/>
      <c r="N57" s="1757">
        <f ca="1">SUMIF(M52:M56,"&lt;9e307")</f>
        <v>6120</v>
      </c>
      <c r="O57" s="2488"/>
      <c r="P57" s="1750">
        <f ca="1">N57/M49</f>
        <v>0.56734958746639474</v>
      </c>
    </row>
    <row r="58" spans="1:35" ht="24.75">
      <c r="A58" s="183" t="s">
        <v>2208</v>
      </c>
      <c r="B58" s="3127" t="s">
        <v>2228</v>
      </c>
      <c r="C58" s="3140"/>
      <c r="D58" s="185">
        <f ca="1">IF(H58="转让取得",C81,C97)</f>
        <v>6115</v>
      </c>
      <c r="E58" s="11" t="s">
        <v>2223</v>
      </c>
      <c r="F58" s="24" t="s">
        <v>34</v>
      </c>
      <c r="G58" s="2482"/>
      <c r="H58" s="2485" t="s">
        <v>2229</v>
      </c>
      <c r="I58" s="2486"/>
      <c r="J58" s="3096"/>
      <c r="K58" s="3096"/>
      <c r="L58" s="2487" t="s">
        <v>2230</v>
      </c>
      <c r="M58" s="1758"/>
      <c r="N58" s="2489" t="str">
        <f ca="1">NUMBERSTRING(INT(N57*10000),2)&amp;"元整"</f>
        <v>陆仟壹佰贰拾万元整</v>
      </c>
      <c r="O58" s="2490"/>
    </row>
    <row r="59" spans="1:35" ht="24.75" thickBot="1">
      <c r="A59" s="3100" t="s">
        <v>2231</v>
      </c>
      <c r="B59" s="3101"/>
      <c r="C59" s="3101"/>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098">
        <f>J57+1</f>
        <v>5</v>
      </c>
      <c r="K59" s="3096" t="s">
        <v>2233</v>
      </c>
      <c r="L59" s="1809" t="s">
        <v>2227</v>
      </c>
      <c r="M59" s="1759"/>
      <c r="N59" s="1760">
        <f ca="1">M49-N57</f>
        <v>4667</v>
      </c>
      <c r="O59" s="2492"/>
    </row>
    <row r="60" spans="1:35" ht="12" customHeight="1">
      <c r="A60" s="2493"/>
      <c r="B60" s="2415"/>
      <c r="C60" s="2415"/>
      <c r="D60" s="2415"/>
      <c r="E60" s="2162"/>
      <c r="F60" s="2486"/>
      <c r="G60" s="2486"/>
      <c r="H60" s="2494"/>
      <c r="I60" s="138"/>
      <c r="J60" s="3099"/>
      <c r="K60" s="3096"/>
      <c r="L60" s="2487" t="s">
        <v>2230</v>
      </c>
      <c r="M60" s="1758"/>
      <c r="N60" s="2489" t="str">
        <f ca="1">NUMBERSTRING(INT(N59*10000),2)&amp;"元整"</f>
        <v>肆仟陆佰陆拾柒万元整</v>
      </c>
      <c r="O60" s="2490"/>
    </row>
    <row r="61" spans="1:35" ht="13.5" thickBot="1">
      <c r="A61" s="3159" t="s">
        <v>2234</v>
      </c>
      <c r="B61" s="3159"/>
      <c r="C61" s="3159"/>
      <c r="D61" s="3159"/>
      <c r="E61" s="3159"/>
      <c r="F61" s="2486"/>
      <c r="G61" s="2486"/>
      <c r="H61" s="2494"/>
      <c r="I61" s="138"/>
      <c r="J61" s="1809">
        <f>J59+1</f>
        <v>6</v>
      </c>
      <c r="K61" s="3096" t="s">
        <v>2235</v>
      </c>
      <c r="L61" s="3096"/>
      <c r="M61" s="1761"/>
      <c r="N61" s="1762">
        <f ca="1">ROUND(N59*10000/'数据-汇总表'!E3,0)</f>
        <v>1749</v>
      </c>
      <c r="O61" s="2495"/>
    </row>
    <row r="62" spans="1:35" ht="12.75">
      <c r="A62" s="3116" t="s">
        <v>2236</v>
      </c>
      <c r="B62" s="3117"/>
      <c r="C62" s="1801"/>
      <c r="D62" s="1801" t="s">
        <v>2237</v>
      </c>
      <c r="E62" s="192" t="s">
        <v>2238</v>
      </c>
      <c r="F62" s="2486"/>
      <c r="G62" s="2486"/>
      <c r="H62" s="2494"/>
      <c r="I62" s="138"/>
    </row>
    <row r="63" spans="1:35" ht="12.75">
      <c r="A63" s="203" t="s">
        <v>775</v>
      </c>
      <c r="B63" s="193" t="s">
        <v>2239</v>
      </c>
      <c r="C63" s="194">
        <f ca="1">ROUND((C64+C65)/(1+'数据-取费表'!C42),0)</f>
        <v>10273</v>
      </c>
      <c r="D63" s="195"/>
      <c r="E63" s="196"/>
      <c r="F63" s="2486"/>
      <c r="G63" s="2486"/>
      <c r="H63" s="2494"/>
      <c r="I63" s="138"/>
      <c r="J63" s="3081" t="s">
        <v>2240</v>
      </c>
      <c r="K63" s="2496" t="s">
        <v>2241</v>
      </c>
      <c r="L63" s="1749">
        <f ca="1">IF(M49&gt;10000,M49*0.5%,IF(AND(M49&gt;1000,M49&lt;=10000),M49*1%,IF(AND(M49&gt;100,M49&lt;=1000),M49*3%,IF(AND(M49&gt;10,M49&lt;=100),M49*5%,M49*8%))))</f>
        <v>53.935000000000002</v>
      </c>
      <c r="M63" s="24">
        <f ca="1">ROUND(L63,1)</f>
        <v>53.9</v>
      </c>
      <c r="Z63" s="2420"/>
      <c r="AI63" s="2421"/>
    </row>
    <row r="64" spans="1:35" ht="14.25" customHeight="1">
      <c r="A64" s="197" t="s">
        <v>770</v>
      </c>
      <c r="B64" s="198" t="s">
        <v>2242</v>
      </c>
      <c r="C64" s="199">
        <f ca="1">D45</f>
        <v>10787</v>
      </c>
      <c r="D64" s="200" t="s">
        <v>32</v>
      </c>
      <c r="E64" s="201"/>
      <c r="F64" s="2486"/>
      <c r="G64" s="2486"/>
      <c r="H64" s="2494"/>
      <c r="I64" s="138"/>
      <c r="J64" s="3081"/>
      <c r="K64" s="2496" t="s">
        <v>2243</v>
      </c>
      <c r="L64" s="1749">
        <f ca="1">IF(M49&gt;2000,M49*0.5%,IF(AND(M49&gt;1000,M49&lt;=2000),M49*0.6%,IF(AND(M49&gt;500,M49&lt;=1000),M49*0.7%,IF(AND(M49&gt;200,M49&lt;=500),M49*0.8%,IF(AND(M49&gt;100,M49&lt;=200),M49*0.9%,IF(AND(M49&gt;50,M49&lt;=100),M49*1%,IF(AND(M49&gt;20,M49&lt;=50),M49*1.5%,IF(AND(M49&gt;10,M49&lt;=20),M49*2%,IF(AND(M49&gt;1,M49&lt;=10),M49*2.5%)))))))))</f>
        <v>53.935000000000002</v>
      </c>
      <c r="M64" s="24">
        <f t="shared" ref="M64:M65" ca="1" si="1">ROUND(L64,1)</f>
        <v>53.9</v>
      </c>
      <c r="N64" s="138" t="s">
        <v>2244</v>
      </c>
      <c r="Z64" s="2420"/>
      <c r="AI64" s="2421"/>
    </row>
    <row r="65" spans="1:35" ht="14.25" customHeight="1">
      <c r="A65" s="197" t="s">
        <v>771</v>
      </c>
      <c r="B65" s="198" t="s">
        <v>2245</v>
      </c>
      <c r="C65" s="202"/>
      <c r="D65" s="200"/>
      <c r="E65" s="201"/>
      <c r="F65" s="2486"/>
      <c r="G65" s="2486"/>
      <c r="H65" s="2494"/>
      <c r="I65" s="138"/>
      <c r="J65" s="3081"/>
      <c r="K65" s="2496" t="s">
        <v>2246</v>
      </c>
      <c r="L65" s="1749">
        <f ca="1">IF(M49&gt;1000,M49*0.1%,IF(AND(M49&gt;500,M49&lt;=1000),M49*0.5%,IF(AND(M49&gt;50,M49&lt;=500),M49*1%,IF(AND(M49&gt;1,M49&lt;=50),M49*1.5%))))</f>
        <v>10.787000000000001</v>
      </c>
      <c r="M65" s="24">
        <f t="shared" ca="1" si="1"/>
        <v>10.8</v>
      </c>
      <c r="N65" s="138" t="s">
        <v>2244</v>
      </c>
      <c r="Z65" s="2420"/>
      <c r="AI65" s="2421"/>
    </row>
    <row r="66" spans="1:35" ht="14.25" customHeight="1">
      <c r="A66" s="203" t="s">
        <v>772</v>
      </c>
      <c r="B66" s="204" t="s">
        <v>2247</v>
      </c>
      <c r="C66" s="205"/>
      <c r="D66" s="206" t="s">
        <v>32</v>
      </c>
      <c r="E66" s="1773" t="s">
        <v>1367</v>
      </c>
      <c r="F66" s="2486"/>
      <c r="G66" s="2486"/>
      <c r="H66" s="2494"/>
      <c r="I66" s="138"/>
      <c r="J66" s="3081"/>
      <c r="K66" s="2496" t="s">
        <v>2248</v>
      </c>
      <c r="L66" s="1749">
        <f ca="1">M49*0.5%</f>
        <v>53.935000000000002</v>
      </c>
      <c r="M66" s="24">
        <f ca="1">IF(L66&gt;0.5,0.5,ROUND(L66,0))</f>
        <v>0.5</v>
      </c>
      <c r="N66" s="138" t="s">
        <v>2249</v>
      </c>
      <c r="Z66" s="2420"/>
      <c r="AI66" s="2421"/>
    </row>
    <row r="67" spans="1:35" ht="14.25" customHeight="1">
      <c r="A67" s="203" t="s">
        <v>773</v>
      </c>
      <c r="B67" s="204" t="s">
        <v>2250</v>
      </c>
      <c r="C67" s="207">
        <f ca="1">C63-C66</f>
        <v>10273</v>
      </c>
      <c r="D67" s="200" t="s">
        <v>32</v>
      </c>
      <c r="E67" s="201"/>
      <c r="F67" s="2486"/>
      <c r="G67" s="2486"/>
      <c r="H67" s="2494"/>
      <c r="I67" s="138"/>
      <c r="J67" s="3081"/>
      <c r="K67" s="2496" t="s">
        <v>2251</v>
      </c>
      <c r="L67" s="1749">
        <f ca="1">IF(M49&gt;=10000,(8.25+(M49-10000)*0.01%),IF(AND(M49&gt;=8000,M49&lt;10000),(7.85+(M49-8000)*0.02%),IF(AND(M49&gt;=5000,M49&lt;8000),(6.65+(M49-5000)*0.04%),IF(AND(M49&gt;=2000,M49&lt;5000),(4.25+(PM49-2000)*0.08%),IF(AND(M49&gt;=1000,M49&lt;2000),(2.75+(M49-1000)*0.15%),IF(AND(M49&gt;=100,M49&lt;1000),(0.5+(M49-100)*0.25%),IF(AND(M49&gt;0,M49&lt;100),M49*0.5%)))))))</f>
        <v>8.3286999999999995</v>
      </c>
      <c r="M67" s="24">
        <f ca="1">ROUND(L67*0.9,1)</f>
        <v>7.5</v>
      </c>
      <c r="Z67" s="2420"/>
      <c r="AI67" s="2421"/>
    </row>
    <row r="68" spans="1:35" ht="14.25" customHeight="1" thickBot="1">
      <c r="A68" s="208" t="s">
        <v>774</v>
      </c>
      <c r="B68" s="209" t="s">
        <v>2252</v>
      </c>
      <c r="C68" s="210">
        <f ca="1">IF(C67&lt;=0,0,ROUND(C67*D68,0))</f>
        <v>565</v>
      </c>
      <c r="D68" s="211">
        <f>'数据-取费表'!B41</f>
        <v>5.5000000000000007E-2</v>
      </c>
      <c r="E68" s="212"/>
      <c r="F68" s="2486"/>
      <c r="G68" s="2486"/>
      <c r="H68" s="2494"/>
      <c r="I68" s="138"/>
      <c r="J68" s="3081"/>
      <c r="K68" s="2496" t="s">
        <v>2253</v>
      </c>
      <c r="L68" s="1749">
        <f ca="1">IF(M49&gt;10000,M49*0.5%,IF(AND(M49&gt;5000,M49&lt;=10000),M49*1%,IF(AND(M49&gt;1000,M49&lt;=5000),M49*2%,IF(AND(M49&gt;200,M49&lt;=1000),M49*3%,M49*5%))))</f>
        <v>53.935000000000002</v>
      </c>
      <c r="M68" s="24">
        <f ca="1">ROUND(L68,1)</f>
        <v>53.9</v>
      </c>
      <c r="Z68" s="2420"/>
      <c r="AI68" s="2421"/>
    </row>
    <row r="69" spans="1:35" s="2443" customFormat="1" ht="16.5" customHeight="1">
      <c r="A69" s="2497"/>
      <c r="B69" s="2498"/>
      <c r="C69" s="2499"/>
      <c r="D69" s="2500"/>
      <c r="E69" s="2501"/>
      <c r="F69" s="2162"/>
      <c r="G69" s="2162"/>
      <c r="H69" s="2161"/>
      <c r="I69" s="2415"/>
      <c r="J69" s="3081"/>
      <c r="K69" s="2496" t="s">
        <v>2254</v>
      </c>
      <c r="L69" s="2502"/>
      <c r="M69" s="24">
        <f ca="1">ROUND(SUM(M63:M68),0)</f>
        <v>181</v>
      </c>
      <c r="N69" s="1750">
        <f ca="1">M69/M49</f>
        <v>1.6779456753499584E-2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5" t="s">
        <v>2255</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2236</v>
      </c>
      <c r="B71" s="3117"/>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10273</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51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22" t="s">
        <v>2264</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51</v>
      </c>
      <c r="D78" s="226">
        <f>'数据-取费表'!B43</f>
        <v>5.000000000000001E-3</v>
      </c>
      <c r="E78" s="3113" t="s">
        <v>2269</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10222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200.43137254901961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6115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5" t="s">
        <v>2273</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2236</v>
      </c>
      <c r="B84" s="3117"/>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10273</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51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113" t="s">
        <v>2282</v>
      </c>
      <c r="F91" s="3114"/>
      <c r="G91" s="3114"/>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113" t="s">
        <v>2286</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51</v>
      </c>
      <c r="D93" s="226">
        <f>'数据-取费表'!B43</f>
        <v>5.000000000000001E-3</v>
      </c>
      <c r="E93" s="3113" t="s">
        <v>2269</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61" t="s">
        <v>2290</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10222</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200.43137254901961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6115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65" t="s">
        <v>2292</v>
      </c>
      <c r="B100" s="3066"/>
      <c r="C100" s="3066"/>
      <c r="D100" s="3097"/>
      <c r="E100" s="3066" t="s">
        <v>2293</v>
      </c>
      <c r="F100" s="3066"/>
      <c r="G100" s="3066"/>
      <c r="H100" s="3097"/>
      <c r="I100" s="138"/>
    </row>
    <row r="101" spans="1:35" ht="18.75" customHeight="1">
      <c r="A101" s="3105" t="s">
        <v>2294</v>
      </c>
      <c r="B101" s="3106"/>
      <c r="C101" s="736" t="str">
        <f>C4</f>
        <v>成本法</v>
      </c>
      <c r="D101" s="737" t="str">
        <f>D4</f>
        <v>收益法</v>
      </c>
      <c r="E101" s="3077" t="s">
        <v>2295</v>
      </c>
      <c r="F101" s="3078"/>
      <c r="G101" s="2517" t="s">
        <v>2296</v>
      </c>
      <c r="H101" s="1045">
        <f ca="1">H118</f>
        <v>10787</v>
      </c>
      <c r="I101" s="138"/>
    </row>
    <row r="102" spans="1:35" ht="18.75" customHeight="1">
      <c r="A102" s="3107" t="s">
        <v>2297</v>
      </c>
      <c r="B102" s="2517" t="s">
        <v>2296</v>
      </c>
      <c r="C102" s="736">
        <f ca="1">C19</f>
        <v>10663</v>
      </c>
      <c r="D102" s="737">
        <f ca="1">D19</f>
        <v>10911</v>
      </c>
      <c r="E102" s="3077"/>
      <c r="F102" s="3078"/>
      <c r="G102" s="2517" t="s">
        <v>2298</v>
      </c>
      <c r="H102" s="371">
        <f ca="1">I118</f>
        <v>4042</v>
      </c>
      <c r="I102" s="138"/>
    </row>
    <row r="103" spans="1:35" ht="42.75" customHeight="1">
      <c r="A103" s="3107"/>
      <c r="B103" s="2517" t="s">
        <v>2298</v>
      </c>
      <c r="C103" s="738">
        <f ca="1">C20</f>
        <v>3995</v>
      </c>
      <c r="D103" s="739">
        <f ca="1">D20</f>
        <v>4088</v>
      </c>
      <c r="E103" s="3071" t="s">
        <v>2299</v>
      </c>
      <c r="F103" s="3072"/>
      <c r="G103" s="2518" t="s">
        <v>2300</v>
      </c>
      <c r="H103" s="1045">
        <f>IF(D36="正常操作",H104+H105+H106,H105+H106)</f>
        <v>0</v>
      </c>
      <c r="I103" s="138"/>
    </row>
    <row r="104" spans="1:35" ht="18.75" customHeight="1">
      <c r="A104" s="3107" t="s">
        <v>2301</v>
      </c>
      <c r="B104" s="2519" t="s">
        <v>2296</v>
      </c>
      <c r="C104" s="740">
        <f ca="1">H118</f>
        <v>10787</v>
      </c>
      <c r="D104" s="741"/>
      <c r="E104" s="2263" t="s">
        <v>2302</v>
      </c>
      <c r="F104" s="2254"/>
      <c r="G104" s="2518" t="s">
        <v>2300</v>
      </c>
      <c r="H104" s="1046">
        <f>IF(D36="同一抵押权人同一抵押物续贷",C36&amp;"（未扣减，详见特别提示）",C36)</f>
        <v>0</v>
      </c>
      <c r="I104" s="138"/>
    </row>
    <row r="105" spans="1:35" ht="18.75" customHeight="1" thickBot="1">
      <c r="A105" s="3119"/>
      <c r="B105" s="2520" t="s">
        <v>2298</v>
      </c>
      <c r="C105" s="742">
        <f ca="1">I118</f>
        <v>4042</v>
      </c>
      <c r="D105" s="743"/>
      <c r="E105" s="2263" t="s">
        <v>2303</v>
      </c>
      <c r="F105" s="2254"/>
      <c r="G105" s="2518" t="s">
        <v>2300</v>
      </c>
      <c r="H105" s="1046">
        <f>C37</f>
        <v>0</v>
      </c>
      <c r="I105" s="138"/>
    </row>
    <row r="106" spans="1:35" ht="18.75" customHeight="1">
      <c r="A106" s="2415" t="s">
        <v>2304</v>
      </c>
      <c r="B106" s="2415"/>
      <c r="C106" s="2415"/>
      <c r="D106" s="2415"/>
      <c r="E106" s="2521" t="s">
        <v>2305</v>
      </c>
      <c r="F106" s="2254"/>
      <c r="G106" s="2518" t="s">
        <v>2300</v>
      </c>
      <c r="H106" s="1046">
        <f>C38</f>
        <v>0</v>
      </c>
      <c r="I106" s="138"/>
    </row>
    <row r="107" spans="1:35" ht="18.75" customHeight="1">
      <c r="A107" s="138"/>
      <c r="B107" s="138"/>
      <c r="C107" s="138"/>
      <c r="D107" s="138"/>
      <c r="E107" s="3108" t="str">
        <f>IF(项目基本情况!E8="已注销","——","3.房地产抵押价值")</f>
        <v>3.房地产抵押价值</v>
      </c>
      <c r="F107" s="3078"/>
      <c r="G107" s="2517" t="s">
        <v>2296</v>
      </c>
      <c r="H107" s="1045">
        <f ca="1">IF(E107="——","——",H101-H103)</f>
        <v>10787</v>
      </c>
      <c r="I107" s="138"/>
    </row>
    <row r="108" spans="1:35" ht="18.75" customHeight="1">
      <c r="A108" s="138"/>
      <c r="B108" s="138"/>
      <c r="C108" s="138"/>
      <c r="D108" s="138"/>
      <c r="E108" s="3108"/>
      <c r="F108" s="3078"/>
      <c r="G108" s="2517" t="s">
        <v>2298</v>
      </c>
      <c r="H108" s="371">
        <f ca="1">ROUND(H107*10000/'数据-汇总表'!E3,0)</f>
        <v>4042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7" t="s">
        <v>2296</v>
      </c>
      <c r="H109" s="348" t="str">
        <f>IF(E109="——","——",H101-H105-H106)</f>
        <v>——</v>
      </c>
      <c r="I109" s="138"/>
    </row>
    <row r="110" spans="1:35" ht="18.75" customHeight="1">
      <c r="A110" s="138"/>
      <c r="B110" s="138"/>
      <c r="C110" s="138"/>
      <c r="D110" s="138"/>
      <c r="E110" s="3108"/>
      <c r="F110" s="3078"/>
      <c r="G110" s="2517" t="s">
        <v>2298</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7" t="s">
        <v>2296</v>
      </c>
      <c r="H111" s="1045" t="str">
        <f>IF(E111="——","——",N59)</f>
        <v>——</v>
      </c>
      <c r="I111" s="138"/>
    </row>
    <row r="112" spans="1:35" ht="18.75" customHeight="1" thickBot="1">
      <c r="A112" s="138"/>
      <c r="B112" s="138"/>
      <c r="C112" s="138"/>
      <c r="D112" s="138"/>
      <c r="E112" s="3111"/>
      <c r="F112" s="3112"/>
      <c r="G112" s="2522" t="s">
        <v>2298</v>
      </c>
      <c r="H112" s="790" t="str">
        <f>IF(E111="——","——",N61)</f>
        <v>——</v>
      </c>
      <c r="I112" s="138"/>
    </row>
    <row r="113" spans="1:11" ht="18.75" customHeight="1">
      <c r="A113" s="138"/>
      <c r="B113" s="138"/>
      <c r="C113" s="138"/>
      <c r="D113" s="138"/>
      <c r="E113" s="3120" t="s">
        <v>2304</v>
      </c>
      <c r="F113" s="3120"/>
      <c r="G113" s="3120"/>
      <c r="H113" s="3120"/>
      <c r="I113" s="138"/>
    </row>
    <row r="114" spans="1:11" ht="3.75" customHeight="1">
      <c r="A114" s="2415"/>
      <c r="B114" s="2415"/>
      <c r="C114" s="2415"/>
      <c r="D114" s="2415"/>
      <c r="E114" s="2493"/>
      <c r="F114" s="2493"/>
      <c r="G114" s="2493"/>
      <c r="H114" s="2493"/>
      <c r="I114" s="2415"/>
    </row>
    <row r="115" spans="1:11" ht="18.75" customHeight="1">
      <c r="A115" s="3133" t="s">
        <v>2306</v>
      </c>
      <c r="B115" s="3134"/>
      <c r="C115" s="3134"/>
      <c r="D115" s="3134"/>
      <c r="E115" s="3134"/>
      <c r="F115" s="3134"/>
      <c r="G115" s="3134"/>
      <c r="H115" s="3134"/>
      <c r="I115" s="3135"/>
    </row>
    <row r="116" spans="1:11" ht="27" customHeight="1">
      <c r="A116" s="3044" t="s">
        <v>2307</v>
      </c>
      <c r="B116" s="3087" t="s">
        <v>2308</v>
      </c>
      <c r="C116" s="3087" t="s">
        <v>2309</v>
      </c>
      <c r="D116" s="3093" t="s">
        <v>2310</v>
      </c>
      <c r="E116" s="3094"/>
      <c r="F116" s="3129" t="s">
        <v>2311</v>
      </c>
      <c r="G116" s="3129"/>
      <c r="H116" s="3044" t="s">
        <v>2312</v>
      </c>
      <c r="I116" s="3044"/>
    </row>
    <row r="117" spans="1:11" ht="18.75" customHeight="1">
      <c r="A117" s="3044"/>
      <c r="B117" s="3088"/>
      <c r="C117" s="3088"/>
      <c r="D117" s="1795" t="s">
        <v>2313</v>
      </c>
      <c r="E117" s="1795" t="s">
        <v>2314</v>
      </c>
      <c r="F117" s="1795" t="s">
        <v>2313</v>
      </c>
      <c r="G117" s="1795" t="s">
        <v>2315</v>
      </c>
      <c r="H117" s="1795" t="s">
        <v>2313</v>
      </c>
      <c r="I117" s="1795" t="s">
        <v>2315</v>
      </c>
    </row>
    <row r="118" spans="1:11" ht="24.75" customHeight="1">
      <c r="A118" s="2523" t="str">
        <f>项目基本情况!S2</f>
        <v>江苏省盐城市阜宁县澳洋工业园马河、王庄村房地产</v>
      </c>
      <c r="B118" s="1795">
        <f>M18</f>
        <v>26688.410000000003</v>
      </c>
      <c r="C118" s="1795">
        <f>M19</f>
        <v>142073.1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10787</v>
      </c>
      <c r="I118" s="1795">
        <f ca="1">ROUND(IF(D32="楼面单价",C32,H118*10000/B118),0)</f>
        <v>4042</v>
      </c>
    </row>
    <row r="119" spans="1:11" ht="18.75" customHeight="1">
      <c r="A119" s="3044" t="s">
        <v>2316</v>
      </c>
      <c r="B119" s="3044"/>
      <c r="C119" s="3044"/>
      <c r="D119" s="3089" t="e">
        <f ca="1">NUMBERSTRING(INT(D118*10000),2)&amp;"元整"</f>
        <v>#REF!</v>
      </c>
      <c r="E119" s="3090"/>
      <c r="F119" s="3089" t="e">
        <f ca="1">NUMBERSTRING(INT(F118*10000),2)&amp;"元整"</f>
        <v>#REF!</v>
      </c>
      <c r="G119" s="3090"/>
      <c r="H119" s="3089" t="str">
        <f ca="1">NUMBERSTRING(INT(H118*10000),2)&amp;"元整"</f>
        <v>壹亿零柒佰捌拾柒万元整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2316</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10787</v>
      </c>
      <c r="E122" s="3085"/>
      <c r="F122" s="3085"/>
      <c r="G122" s="3085"/>
      <c r="H122" s="3085"/>
      <c r="I122" s="3086"/>
    </row>
    <row r="123" spans="1:11" ht="18.75" customHeight="1">
      <c r="A123" s="3044" t="s">
        <v>2316</v>
      </c>
      <c r="B123" s="3044"/>
      <c r="C123" s="3044"/>
      <c r="D123" s="3089" t="str">
        <f ca="1">NUMBERSTRING(INT(D122*10000),2)&amp;"元整"</f>
        <v>壹亿零柒佰捌拾柒万元整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2316</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2316</v>
      </c>
      <c r="B127" s="3044"/>
      <c r="C127" s="3044"/>
      <c r="D127" s="3089" t="e">
        <f>NUMBERSTRING(INT(D126*10000),2)&amp;"元整"</f>
        <v>#VALUE!</v>
      </c>
      <c r="E127" s="3091"/>
      <c r="F127" s="3091"/>
      <c r="G127" s="3091"/>
      <c r="H127" s="3091"/>
      <c r="I127" s="3090"/>
    </row>
    <row r="128" spans="1:11" ht="21.75" customHeight="1">
      <c r="A128" s="3092" t="s">
        <v>2317</v>
      </c>
      <c r="B128" s="3092"/>
      <c r="C128" s="3092"/>
      <c r="D128" s="3092"/>
      <c r="E128" s="3092"/>
      <c r="F128" s="3092"/>
      <c r="G128" s="3092"/>
      <c r="H128" s="3092"/>
      <c r="I128" s="3092"/>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2320</v>
      </c>
      <c r="G135" s="2541"/>
      <c r="H135" s="2541"/>
      <c r="I135" s="2542" t="s">
        <v>2321</v>
      </c>
    </row>
    <row r="136" spans="1:35" ht="21.75" customHeight="1">
      <c r="A136" s="795"/>
      <c r="B136" s="2543"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2323</v>
      </c>
    </row>
    <row r="139" spans="1:35" ht="21.75" customHeight="1">
      <c r="A139" s="795"/>
      <c r="B139" s="2543" t="s">
        <v>2324</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2323</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3" sqref="C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7</v>
      </c>
    </row>
    <row r="2" spans="1:9" s="244" customFormat="1" ht="18" customHeight="1">
      <c r="A2" s="245" t="s">
        <v>2326</v>
      </c>
      <c r="B2" s="246">
        <f ca="1">IF(D2="——",C52,C52-E2)</f>
        <v>10663</v>
      </c>
      <c r="C2" s="243" t="s">
        <v>2327</v>
      </c>
      <c r="D2" s="2546" t="s">
        <v>70</v>
      </c>
      <c r="E2" s="1440"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3995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3172</v>
      </c>
      <c r="D5" s="255" t="s">
        <v>2333</v>
      </c>
      <c r="E5" s="256" t="s">
        <v>2334</v>
      </c>
      <c r="F5" s="256" t="s">
        <v>2335</v>
      </c>
      <c r="G5" s="257"/>
    </row>
    <row r="6" spans="1:9" s="258" customFormat="1" ht="13.5" customHeight="1">
      <c r="A6" s="949" t="s">
        <v>2336</v>
      </c>
      <c r="B6" s="259" t="s">
        <v>2337</v>
      </c>
      <c r="C6" s="260">
        <f>ROUND('土地比较法-工业'!C42*'数据-基础表'!A3/10000,0)</f>
        <v>2884</v>
      </c>
      <c r="D6" s="261"/>
      <c r="E6" s="262"/>
      <c r="F6" s="262"/>
      <c r="G6" s="263"/>
    </row>
    <row r="7" spans="1:9" s="258" customFormat="1" ht="13.5" customHeight="1">
      <c r="A7" s="949" t="s">
        <v>2338</v>
      </c>
      <c r="B7" s="259" t="s">
        <v>2339</v>
      </c>
      <c r="C7" s="264">
        <f>ROUND(C6*F7,0)</f>
        <v>88</v>
      </c>
      <c r="D7" s="264"/>
      <c r="E7" s="262"/>
      <c r="F7" s="265">
        <f>'数据-取费表'!B48+'数据-取费表'!B49</f>
        <v>3.0499999999999999E-2</v>
      </c>
      <c r="G7" s="263"/>
    </row>
    <row r="8" spans="1:9" s="267" customFormat="1">
      <c r="A8" s="949" t="s">
        <v>2340</v>
      </c>
      <c r="B8" s="259" t="s">
        <v>2341</v>
      </c>
      <c r="C8" s="264">
        <f ca="1">IF(G8="已包含在土地购买价格中","0",IF(B1="",'数据-取费表'!B29,IF(G9="全部缴纳",C9+C10,H9)))</f>
        <v>200</v>
      </c>
      <c r="D8" s="266"/>
      <c r="E8" s="264"/>
      <c r="F8" s="265"/>
      <c r="G8" s="2549" t="s">
        <v>3215</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75</v>
      </c>
      <c r="F9" s="265"/>
      <c r="G9" s="2550" t="s">
        <v>3216</v>
      </c>
      <c r="H9" s="1390"/>
      <c r="I9" s="2551" t="s">
        <v>2343</v>
      </c>
    </row>
    <row r="10" spans="1:9" s="258" customFormat="1" ht="13.5" customHeight="1">
      <c r="A10" s="950" t="s">
        <v>801</v>
      </c>
      <c r="B10" s="268" t="s">
        <v>2344</v>
      </c>
      <c r="C10" s="269">
        <f ca="1">ROUND(D10*E10/10000,0)</f>
        <v>200</v>
      </c>
      <c r="D10" s="1032">
        <f ca="1">IF(B1="",'数据-汇总表'!E6,IF(INDIRECT("'数据-取费表'!c"&amp;$G$1)="住宅",INDIRECT("'数据-取费表'!s"&amp;$G$1),INDIRECT("'数据-取费表'!k"&amp;$G$1)+INDIRECT("'数据-取费表'!s"&amp;$G$1)))</f>
        <v>26688.410000000003</v>
      </c>
      <c r="E10" s="269">
        <f>'数据-取费表'!B28</f>
        <v>75</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26688.410000000003</v>
      </c>
      <c r="E19" s="255">
        <f>'数据-取费表'!B31</f>
        <v>200</v>
      </c>
      <c r="F19" s="275"/>
      <c r="G19" s="2549" t="s">
        <v>3217</v>
      </c>
    </row>
    <row r="20" spans="1:7" s="258" customFormat="1" ht="13.5" customHeight="1">
      <c r="A20" s="299" t="s">
        <v>2357</v>
      </c>
      <c r="B20" s="254" t="s">
        <v>2358</v>
      </c>
      <c r="C20" s="276">
        <f ca="1">ROUND((C5+C19)*F20,0)</f>
        <v>79</v>
      </c>
      <c r="D20" s="276"/>
      <c r="E20" s="276"/>
      <c r="F20" s="277">
        <f>'数据-取费表'!B37</f>
        <v>2.5000000000000001E-2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232</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229</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3</v>
      </c>
      <c r="D25" s="282"/>
      <c r="E25" s="285"/>
      <c r="F25" s="283"/>
      <c r="G25" s="286" t="s">
        <v>2374</v>
      </c>
    </row>
    <row r="26" spans="1:7" s="258" customFormat="1">
      <c r="A26" s="951"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325</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325</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4169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5792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4937</v>
      </c>
      <c r="D34" s="261"/>
      <c r="E34" s="264"/>
      <c r="F34" s="301">
        <f ca="1">IF('数据-取费表'!B24=0,1,IF(B1="",'数据-取费表'!N16,INDIRECT("'数据-取费表'!n"&amp;$G$1)))</f>
        <v>1</v>
      </c>
      <c r="G34" s="263" t="s">
        <v>2390</v>
      </c>
    </row>
    <row r="35" spans="1:7" ht="13.5" customHeight="1">
      <c r="A35" s="951" t="s">
        <v>796</v>
      </c>
      <c r="B35" s="259" t="s">
        <v>2391</v>
      </c>
      <c r="C35" s="264">
        <f ca="1">ROUND(C34*F35,0)</f>
        <v>247</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534</v>
      </c>
      <c r="D37" s="261">
        <f ca="1">D19</f>
        <v>26688.410000000003</v>
      </c>
      <c r="E37" s="293">
        <f>'数据-取费表'!B35</f>
        <v>200</v>
      </c>
      <c r="F37" s="303"/>
      <c r="G37" s="305" t="s">
        <v>2396</v>
      </c>
    </row>
    <row r="38" spans="1:7" ht="13.5" customHeight="1">
      <c r="A38" s="951" t="s">
        <v>799</v>
      </c>
      <c r="B38" s="259" t="s">
        <v>2397</v>
      </c>
      <c r="C38" s="264">
        <f ca="1">ROUND(C34*F38,0)</f>
        <v>74</v>
      </c>
      <c r="D38" s="264"/>
      <c r="E38" s="264"/>
      <c r="F38" s="303">
        <f>'数据-取费表'!B36</f>
        <v>1.4999999999999999E-2</v>
      </c>
      <c r="G38" s="263" t="s">
        <v>2392</v>
      </c>
    </row>
    <row r="39" spans="1:7" s="258" customFormat="1" ht="13.5" customHeight="1">
      <c r="A39" s="299" t="s">
        <v>2398</v>
      </c>
      <c r="B39" s="254" t="s">
        <v>2399</v>
      </c>
      <c r="C39" s="276">
        <f ca="1">ROUND(C33*F20,0)</f>
        <v>145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210</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205</v>
      </c>
      <c r="D42" s="282"/>
      <c r="E42" s="282"/>
      <c r="F42" s="283"/>
      <c r="G42" s="3164" t="s">
        <v>2408</v>
      </c>
    </row>
    <row r="43" spans="1:7" ht="13.5" customHeight="1">
      <c r="A43" s="951" t="s">
        <v>792</v>
      </c>
      <c r="B43" s="259" t="s">
        <v>2409</v>
      </c>
      <c r="C43" s="282">
        <f ca="1">ROUND(IF('数据-取费表'!B22&lt;=1,C39*F22*'数据-取费表'!B21/2,C39*(POWER((1+F22),'数据-取费表'!B21/2)-1)),0)</f>
        <v>5</v>
      </c>
      <c r="D43" s="282"/>
      <c r="E43" s="282"/>
      <c r="F43" s="283"/>
      <c r="G43" s="3165"/>
    </row>
    <row r="44" spans="1:7" ht="13.5" customHeight="1">
      <c r="A44" s="951" t="s">
        <v>793</v>
      </c>
      <c r="B44" s="259" t="s">
        <v>2410</v>
      </c>
      <c r="C44" s="282">
        <f ca="1">ROUND(IF('数据-取费表'!B22&lt;=1,C40*F22*'数据-取费表'!B21/2,C40*(POWER((1+F22),'数据-取费表'!B21/2)-1)),4)</f>
        <v>1.1000000000000001E-3</v>
      </c>
      <c r="D44" s="282"/>
      <c r="E44" s="282"/>
      <c r="F44" s="283"/>
      <c r="G44" s="3166"/>
    </row>
    <row r="45" spans="1:7" s="258" customFormat="1" ht="13.5" customHeight="1">
      <c r="A45" s="299" t="s">
        <v>2411</v>
      </c>
      <c r="B45" s="288" t="s">
        <v>2377</v>
      </c>
      <c r="C45" s="289">
        <f ca="1">C46</f>
        <v>594</v>
      </c>
      <c r="D45" s="279">
        <f ca="1">C47</f>
        <v>3.0000000000000001E-3</v>
      </c>
      <c r="E45" s="280" t="s">
        <v>2403</v>
      </c>
      <c r="F45" s="290"/>
      <c r="G45" s="291" t="s">
        <v>2412</v>
      </c>
    </row>
    <row r="46" spans="1:7" s="258" customFormat="1" ht="13.5" customHeight="1">
      <c r="A46" s="951" t="s">
        <v>791</v>
      </c>
      <c r="B46" s="292" t="s">
        <v>2413</v>
      </c>
      <c r="C46" s="293">
        <f ca="1">ROUND((C33+C39)*F27,0)</f>
        <v>594</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7379</v>
      </c>
      <c r="D49" s="276"/>
      <c r="E49" s="276"/>
      <c r="F49" s="308"/>
      <c r="G49" s="278" t="s">
        <v>2418</v>
      </c>
    </row>
    <row r="50" spans="1:7" s="302" customFormat="1" ht="24">
      <c r="A50" s="299" t="s">
        <v>2419</v>
      </c>
      <c r="B50" s="254" t="s">
        <v>2420</v>
      </c>
      <c r="C50" s="276"/>
      <c r="D50" s="276"/>
      <c r="E50" s="276"/>
      <c r="F50" s="308">
        <f>IF('数据-取费表'!B24=0,'数据-取费表'!N16,1)</f>
        <v>0.88</v>
      </c>
      <c r="G50" s="291" t="s">
        <v>2421</v>
      </c>
    </row>
    <row r="51" spans="1:7" ht="16.5" customHeight="1">
      <c r="A51" s="299" t="s">
        <v>2422</v>
      </c>
      <c r="B51" s="254" t="s">
        <v>2423</v>
      </c>
      <c r="C51" s="276">
        <f ca="1">ROUND(C49*F50,0)</f>
        <v>6494</v>
      </c>
      <c r="D51" s="276"/>
      <c r="E51" s="276"/>
      <c r="F51" s="308"/>
      <c r="G51" s="278" t="s">
        <v>2424</v>
      </c>
    </row>
    <row r="52" spans="1:7" s="252" customFormat="1" ht="16.5" thickBot="1">
      <c r="A52" s="309" t="s">
        <v>2425</v>
      </c>
      <c r="B52" s="310"/>
      <c r="C52" s="311">
        <f ca="1">C31+C51</f>
        <v>10663</v>
      </c>
      <c r="D52" s="310"/>
      <c r="E52" s="310"/>
      <c r="F52" s="310"/>
      <c r="G52" s="312"/>
    </row>
    <row r="55" spans="1:7" ht="15">
      <c r="B55" s="314" t="s">
        <v>2426</v>
      </c>
      <c r="C55" s="315"/>
    </row>
    <row r="56" spans="1:7">
      <c r="B56" s="317" t="s">
        <v>1509</v>
      </c>
      <c r="C56" s="319">
        <f ca="1">1-C57</f>
        <v>0.39100000000000001</v>
      </c>
    </row>
    <row r="57" spans="1:7">
      <c r="B57" s="317" t="s">
        <v>1510</v>
      </c>
      <c r="C57" s="318">
        <f ca="1">ROUND(C51/C52,3)</f>
        <v>0.60899999999999999</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江苏省盐城市阜宁县澳洋工业园马河、王庄村房地产抵押价值预评估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2" t="str">
        <f>项目基本情况!B5</f>
        <v>国民信托有限公司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康正预评字2019-1-0306号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2"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7458</v>
      </c>
      <c r="C2" s="243" t="s">
        <v>2327</v>
      </c>
      <c r="D2" s="2546" t="s">
        <v>70</v>
      </c>
      <c r="E2" s="1440"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2794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2001631</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2001631</v>
      </c>
      <c r="D8" s="266"/>
      <c r="E8" s="264"/>
      <c r="F8" s="265"/>
      <c r="G8" s="2549"/>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75</v>
      </c>
      <c r="F9" s="265"/>
      <c r="G9" s="270"/>
    </row>
    <row r="10" spans="1:8" s="258" customFormat="1" ht="13.5" customHeight="1">
      <c r="A10" s="950" t="s">
        <v>801</v>
      </c>
      <c r="B10" s="268" t="s">
        <v>2344</v>
      </c>
      <c r="C10" s="269">
        <f ca="1">ROUND(D10*E10,0)</f>
        <v>2001631</v>
      </c>
      <c r="D10" s="1032">
        <f ca="1">IF(B1="",'数据-汇总表'!E6,IF(INDIRECT("'数据-取费表'!c"&amp;$G$1)="住宅",INDIRECT("'数据-取费表'!s"&amp;$G$1),INDIRECT("'数据-取费表'!k"&amp;$G$1)+INDIRECT("'数据-取费表'!s"&amp;$G$1)))</f>
        <v>26688.410000000003</v>
      </c>
      <c r="E10" s="269">
        <f>'数据-取费表'!B28</f>
        <v>75</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5337682</v>
      </c>
      <c r="D19" s="1036">
        <f ca="1">D9+D10</f>
        <v>26688.410000000003</v>
      </c>
      <c r="E19" s="255">
        <f>'数据-取费表'!B31</f>
        <v>200</v>
      </c>
      <c r="F19" s="275"/>
      <c r="G19" s="2549"/>
    </row>
    <row r="20" spans="1:7" s="258" customFormat="1" ht="13.5" customHeight="1">
      <c r="A20" s="299" t="s">
        <v>2438</v>
      </c>
      <c r="B20" s="254" t="s">
        <v>2439</v>
      </c>
      <c r="C20" s="276">
        <f ca="1">ROUND((C5+C19)*F20,0)</f>
        <v>183483</v>
      </c>
      <c r="D20" s="276"/>
      <c r="E20" s="276"/>
      <c r="F20" s="277">
        <f>'数据-取费表'!B37</f>
        <v>2.5000000000000001E-2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535587</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144297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384791</v>
      </c>
      <c r="D24" s="282"/>
      <c r="E24" s="282"/>
      <c r="F24" s="283"/>
      <c r="G24" s="284" t="s">
        <v>2450</v>
      </c>
    </row>
    <row r="25" spans="1:7" s="258" customFormat="1" ht="24">
      <c r="A25" s="951" t="s">
        <v>2340</v>
      </c>
      <c r="B25" s="259" t="s">
        <v>2451</v>
      </c>
      <c r="C25" s="1381">
        <f ca="1">ROUND(IF('数据-取费表'!B22&lt;=1,C20*F22*'数据-取费表'!B22/2,C20*(POWER((1+F22),'数据-取费表'!B22/2)-1)),0)</f>
        <v>6499</v>
      </c>
      <c r="D25" s="282"/>
      <c r="E25" s="285"/>
      <c r="F25" s="283"/>
      <c r="G25" s="286" t="s">
        <v>2452</v>
      </c>
    </row>
    <row r="26" spans="1:7" s="258" customFormat="1">
      <c r="A26" s="951"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752280</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ROUND((C5+C19+C20)*F27,0)</f>
        <v>752280</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9644951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57920522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49373559</v>
      </c>
      <c r="D34" s="261"/>
      <c r="E34" s="264"/>
      <c r="F34" s="301"/>
      <c r="G34" s="263"/>
    </row>
    <row r="35" spans="1:7" ht="13.5" customHeight="1">
      <c r="A35" s="951" t="s">
        <v>796</v>
      </c>
      <c r="B35" s="259" t="s">
        <v>2391</v>
      </c>
      <c r="C35" s="264">
        <f ca="1">ROUND(C34*F35,0)</f>
        <v>2468678</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5337682</v>
      </c>
      <c r="D37" s="261">
        <f ca="1">D19</f>
        <v>26688.410000000003</v>
      </c>
      <c r="E37" s="293">
        <f>'数据-取费表'!B35</f>
        <v>200</v>
      </c>
      <c r="F37" s="303"/>
      <c r="G37" s="305"/>
    </row>
    <row r="38" spans="1:7" ht="13.5" customHeight="1">
      <c r="A38" s="951" t="s">
        <v>799</v>
      </c>
      <c r="B38" s="259" t="s">
        <v>2397</v>
      </c>
      <c r="C38" s="264">
        <f ca="1">ROUND(C34*F38,0)</f>
        <v>740603</v>
      </c>
      <c r="D38" s="264"/>
      <c r="E38" s="264"/>
      <c r="F38" s="303">
        <f>'数据-取费表'!B36</f>
        <v>1.4999999999999999E-2</v>
      </c>
      <c r="G38" s="263" t="s">
        <v>2392</v>
      </c>
    </row>
    <row r="39" spans="1:7" s="258" customFormat="1" ht="13.5" customHeight="1">
      <c r="A39" s="299" t="s">
        <v>2398</v>
      </c>
      <c r="B39" s="254" t="s">
        <v>2399</v>
      </c>
      <c r="C39" s="276">
        <f ca="1">ROUND(C33*F20,0)</f>
        <v>1448013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2102688</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2051403</v>
      </c>
      <c r="D42" s="282"/>
      <c r="E42" s="282"/>
      <c r="F42" s="283"/>
      <c r="G42" s="3164" t="s">
        <v>2455</v>
      </c>
    </row>
    <row r="43" spans="1:7" ht="13.5" customHeight="1">
      <c r="A43" s="951" t="s">
        <v>792</v>
      </c>
      <c r="B43" s="259" t="s">
        <v>2409</v>
      </c>
      <c r="C43" s="282">
        <f ca="1">ROUND(IF('数据-取费表'!B22&lt;=1,C39*F22*'数据-取费表'!B20/2,C39*(POWER((1+F22),'数据-取费表'!B20/2)-1)),0)</f>
        <v>51285</v>
      </c>
      <c r="D43" s="282"/>
      <c r="E43" s="282"/>
      <c r="F43" s="283"/>
      <c r="G43" s="3165"/>
    </row>
    <row r="44" spans="1:7" ht="13.5" customHeight="1">
      <c r="A44" s="951" t="s">
        <v>793</v>
      </c>
      <c r="B44" s="259" t="s">
        <v>2410</v>
      </c>
      <c r="C44" s="282">
        <f ca="1">ROUND(IF('数据-取费表'!B22&lt;=1,C40*F22*'数据-取费表'!B20/2,C40*(POWER((1+F22),'数据-取费表'!B20/2)-1)),4)</f>
        <v>1.1000000000000001E-3</v>
      </c>
      <c r="D44" s="282"/>
      <c r="E44" s="282"/>
      <c r="F44" s="283"/>
      <c r="G44" s="3166"/>
    </row>
    <row r="45" spans="1:7" s="258" customFormat="1" ht="13.5" customHeight="1">
      <c r="A45" s="299" t="s">
        <v>2411</v>
      </c>
      <c r="B45" s="288" t="s">
        <v>2377</v>
      </c>
      <c r="C45" s="289">
        <f ca="1">C46</f>
        <v>5936854</v>
      </c>
      <c r="D45" s="279">
        <f ca="1">C47</f>
        <v>3.0000000000000001E-3</v>
      </c>
      <c r="E45" s="280" t="s">
        <v>2403</v>
      </c>
      <c r="F45" s="290"/>
      <c r="G45" s="291" t="s">
        <v>2412</v>
      </c>
    </row>
    <row r="46" spans="1:7" s="258" customFormat="1" ht="13.5" customHeight="1">
      <c r="A46" s="951" t="s">
        <v>791</v>
      </c>
      <c r="B46" s="292" t="s">
        <v>2413</v>
      </c>
      <c r="C46" s="293">
        <f ca="1">ROUND((C33+C39)*F27,0)</f>
        <v>5936854</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73790998</v>
      </c>
      <c r="D49" s="276"/>
      <c r="E49" s="276"/>
      <c r="F49" s="308"/>
      <c r="G49" s="278" t="s">
        <v>2418</v>
      </c>
    </row>
    <row r="50" spans="1:7" s="302" customFormat="1">
      <c r="A50" s="299" t="s">
        <v>2419</v>
      </c>
      <c r="B50" s="254" t="s">
        <v>2420</v>
      </c>
      <c r="C50" s="276"/>
      <c r="D50" s="276"/>
      <c r="E50" s="276"/>
      <c r="F50" s="308">
        <f>IF('数据-取费表'!B24=0,'数据-取费表'!N16,1)</f>
        <v>0.88</v>
      </c>
      <c r="G50" s="291"/>
    </row>
    <row r="51" spans="1:7" ht="16.5" customHeight="1">
      <c r="A51" s="299" t="s">
        <v>2422</v>
      </c>
      <c r="B51" s="254" t="s">
        <v>2457</v>
      </c>
      <c r="C51" s="276">
        <f ca="1">ROUND(C49*F50,0)</f>
        <v>64936078</v>
      </c>
      <c r="D51" s="276"/>
      <c r="E51" s="276"/>
      <c r="F51" s="308"/>
      <c r="G51" s="278" t="s">
        <v>2424</v>
      </c>
    </row>
    <row r="52" spans="1:7" s="252" customFormat="1" ht="16.5" thickBot="1">
      <c r="A52" s="309" t="s">
        <v>2425</v>
      </c>
      <c r="B52" s="310"/>
      <c r="C52" s="311">
        <f ca="1">C31+C51</f>
        <v>74581029</v>
      </c>
      <c r="D52" s="310"/>
      <c r="E52" s="310"/>
      <c r="F52" s="310"/>
      <c r="G52" s="312"/>
    </row>
    <row r="55" spans="1:7" ht="15">
      <c r="B55" s="314" t="s">
        <v>2426</v>
      </c>
      <c r="C55" s="315"/>
    </row>
    <row r="56" spans="1:7">
      <c r="B56" s="317" t="s">
        <v>1509</v>
      </c>
      <c r="C56" s="319">
        <f ca="1">1-C57</f>
        <v>0.129</v>
      </c>
    </row>
    <row r="57" spans="1:7">
      <c r="B57" s="317" t="s">
        <v>1510</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0.05</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26688.410000000003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26688.410000000003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5"/>
      <c r="H18" s="1577"/>
      <c r="I18" s="2556"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75</v>
      </c>
      <c r="F19" s="976"/>
      <c r="G19" s="15"/>
      <c r="H19" s="1579"/>
      <c r="I19" s="981"/>
      <c r="J19" s="981"/>
      <c r="K19" s="982"/>
    </row>
    <row r="20" spans="1:33" s="975" customFormat="1" ht="13.5" customHeight="1">
      <c r="A20" s="971" t="s">
        <v>806</v>
      </c>
      <c r="B20" s="972" t="s">
        <v>2494</v>
      </c>
      <c r="C20" s="24">
        <f ca="1">ROUND(D20*E20/10000,0)</f>
        <v>200</v>
      </c>
      <c r="D20" s="1033">
        <f ca="1">IF(C1="",'数据-汇总表'!E6,IF(INDIRECT("'数据-取费表'!c"&amp;$K$1)="住宅",INDIRECT("'数据-取费表'!s"&amp;$K$1),INDIRECT("'数据-取费表'!k"&amp;$K$1)+INDIRECT("'数据-取费表'!s"&amp;$K$1)))</f>
        <v>26688.410000000003</v>
      </c>
      <c r="E20" s="24">
        <f>'数据-取费表'!B28</f>
        <v>75</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2.5000000000000001E-2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2508</v>
      </c>
      <c r="B28" s="2558"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5" zoomScale="80" zoomScaleNormal="80" workbookViewId="0">
      <selection activeCell="C34" sqref="C3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8.625" style="403" customWidth="1"/>
    <col min="8" max="8" width="12.25" style="403" customWidth="1"/>
    <col min="9" max="9" width="17.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2884</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1081</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8" t="s">
        <v>2647</v>
      </c>
      <c r="AC4" s="3177" t="s">
        <v>2648</v>
      </c>
    </row>
    <row r="5" spans="1:29" ht="15">
      <c r="A5" s="404"/>
      <c r="B5" s="405"/>
      <c r="C5" s="3201" t="s">
        <v>2541</v>
      </c>
      <c r="D5" s="3202"/>
      <c r="E5" s="3190" t="str">
        <f>案例!A10</f>
        <v>高新技术产业开发区孙郑居委会</v>
      </c>
      <c r="F5" s="3191"/>
      <c r="G5" s="3201" t="str">
        <f>案例!A26</f>
        <v>高新技术产业开发区孙郑居委会</v>
      </c>
      <c r="H5" s="3202"/>
      <c r="I5" s="3201" t="str">
        <f>案例!A44</f>
        <v>高新技术产业开发区西北村</v>
      </c>
      <c r="J5" s="3202"/>
      <c r="K5" s="610"/>
      <c r="L5" s="1130"/>
      <c r="M5" s="1131"/>
      <c r="N5" s="1131"/>
      <c r="O5" s="1131"/>
      <c r="P5" s="3186"/>
      <c r="Q5" s="3187"/>
      <c r="R5" s="3199"/>
      <c r="S5" s="3200"/>
      <c r="T5" s="3199"/>
      <c r="U5" s="3200"/>
      <c r="V5" s="3172"/>
      <c r="W5" s="3172"/>
      <c r="X5" s="1813"/>
      <c r="Y5" s="3199"/>
      <c r="Z5" s="3200"/>
      <c r="AA5" s="3178"/>
      <c r="AB5" s="3178"/>
      <c r="AC5" s="3178"/>
    </row>
    <row r="6" spans="1:29" ht="15.75" thickBot="1">
      <c r="A6" s="406"/>
      <c r="B6" s="407"/>
      <c r="C6" s="3203" t="s">
        <v>2796</v>
      </c>
      <c r="D6" s="3204"/>
      <c r="E6" s="3206" t="s">
        <v>2796</v>
      </c>
      <c r="F6" s="3207"/>
      <c r="G6" s="3203" t="s">
        <v>2796</v>
      </c>
      <c r="H6" s="3204"/>
      <c r="I6" s="3203" t="s">
        <v>2796</v>
      </c>
      <c r="J6" s="3204"/>
      <c r="K6" s="610" t="s">
        <v>2546</v>
      </c>
      <c r="L6" s="1130"/>
      <c r="M6" s="1131"/>
      <c r="N6" s="1131"/>
      <c r="O6" s="1131"/>
      <c r="P6" s="3188"/>
      <c r="Q6" s="3189"/>
      <c r="R6" s="3199"/>
      <c r="S6" s="3200"/>
      <c r="T6" s="3208"/>
      <c r="U6" s="3209"/>
      <c r="V6" s="3172"/>
      <c r="W6" s="3172"/>
      <c r="X6" s="1813"/>
      <c r="Y6" s="3208"/>
      <c r="Z6" s="3209"/>
      <c r="AA6" s="3179"/>
      <c r="AB6" s="3179"/>
      <c r="AC6" s="3179"/>
    </row>
    <row r="7" spans="1:29" s="117" customFormat="1" ht="15.75" thickBot="1">
      <c r="A7" s="408" t="s">
        <v>2547</v>
      </c>
      <c r="B7" s="409"/>
      <c r="C7" s="410">
        <f>'数据-取费表'!B2</f>
        <v>43595</v>
      </c>
      <c r="D7" s="411">
        <v>100</v>
      </c>
      <c r="E7" s="412">
        <f>案例!H10</f>
        <v>43521</v>
      </c>
      <c r="F7" s="413">
        <f>SUMIF(65:65,YEAR(E7)&amp;"-"&amp;INT((MONTH(E7)+2)/3),66:66)</f>
        <v>99</v>
      </c>
      <c r="G7" s="2695">
        <f>案例!H26</f>
        <v>43418</v>
      </c>
      <c r="H7" s="411">
        <f>SUMIF(65:65,YEAR(G7)&amp;"-"&amp;INT((MONTH(G7)+2)/3),66:66)</f>
        <v>98</v>
      </c>
      <c r="I7" s="2695">
        <f>案例!H44</f>
        <v>43391</v>
      </c>
      <c r="J7" s="411">
        <f>SUMIF(65:65,YEAR(I7)&amp;"-"&amp;INT((MONTH(I7)+2)/3),66:66)</f>
        <v>98</v>
      </c>
      <c r="K7" s="611"/>
      <c r="L7" s="1132"/>
      <c r="M7" s="1133"/>
      <c r="N7" s="1133"/>
      <c r="O7" s="1133"/>
      <c r="P7" s="3192" t="s">
        <v>2548</v>
      </c>
      <c r="Q7" s="3205"/>
      <c r="R7" s="770" t="s">
        <v>17</v>
      </c>
      <c r="S7" s="771">
        <f t="shared" ref="S7:S15" si="0">F7</f>
        <v>99</v>
      </c>
      <c r="T7" s="770" t="s">
        <v>17</v>
      </c>
      <c r="U7" s="771">
        <f t="shared" ref="U7:U15" si="1">H7</f>
        <v>98</v>
      </c>
      <c r="V7" s="770" t="s">
        <v>17</v>
      </c>
      <c r="W7" s="771">
        <f t="shared" ref="W7:W15" si="2">J7</f>
        <v>98</v>
      </c>
      <c r="X7" s="772"/>
      <c r="Y7" s="3192" t="s">
        <v>2548</v>
      </c>
      <c r="Z7" s="3193"/>
      <c r="AA7" s="773">
        <f>D7/F7</f>
        <v>1.0101010101010102</v>
      </c>
      <c r="AB7" s="773">
        <f>D7/H7</f>
        <v>1.0204081632653061</v>
      </c>
      <c r="AC7" s="773">
        <f>D7/J7</f>
        <v>1.0204081632653061</v>
      </c>
    </row>
    <row r="8" spans="1:29" s="117" customFormat="1" ht="15.75" thickBot="1">
      <c r="A8" s="408" t="s">
        <v>2549</v>
      </c>
      <c r="B8" s="409"/>
      <c r="C8" s="414" t="s">
        <v>2550</v>
      </c>
      <c r="D8" s="411">
        <v>100</v>
      </c>
      <c r="E8" s="414" t="s">
        <v>2550</v>
      </c>
      <c r="F8" s="413">
        <f>SUMIF(68:68,E8,69:69)-SUMIF(68:68,C8,69:69)+100</f>
        <v>100</v>
      </c>
      <c r="G8" s="414" t="s">
        <v>2550</v>
      </c>
      <c r="H8" s="411">
        <f>SUMIF(68:68,G8,69:69)-SUMIF(68:68,C8,69:69)+100</f>
        <v>100</v>
      </c>
      <c r="I8" s="414" t="s">
        <v>2550</v>
      </c>
      <c r="J8" s="411">
        <f>SUMIF(68:68,I8,69:69)-SUMIF(68:68,C8,69:69)+100</f>
        <v>100</v>
      </c>
      <c r="K8" s="611"/>
      <c r="L8" s="1132"/>
      <c r="M8" s="1133"/>
      <c r="N8" s="1133"/>
      <c r="O8" s="1133"/>
      <c r="P8" s="3192" t="s">
        <v>2551</v>
      </c>
      <c r="Q8" s="3193"/>
      <c r="R8" s="770" t="s">
        <v>17</v>
      </c>
      <c r="S8" s="771">
        <f t="shared" si="0"/>
        <v>100</v>
      </c>
      <c r="T8" s="770" t="s">
        <v>17</v>
      </c>
      <c r="U8" s="771">
        <f t="shared" si="1"/>
        <v>100</v>
      </c>
      <c r="V8" s="770" t="s">
        <v>17</v>
      </c>
      <c r="W8" s="771">
        <f t="shared" si="2"/>
        <v>100</v>
      </c>
      <c r="X8" s="772"/>
      <c r="Y8" s="3192" t="s">
        <v>2551</v>
      </c>
      <c r="Z8" s="3193"/>
      <c r="AA8" s="773">
        <f t="shared" ref="AA8:AA40" si="3">D8/F8</f>
        <v>1</v>
      </c>
      <c r="AB8" s="773">
        <f t="shared" ref="AB8:AB40" si="4">D8/H8</f>
        <v>1</v>
      </c>
      <c r="AC8" s="773">
        <f t="shared" ref="AC8:AC40" si="5">D8/J8</f>
        <v>1</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0"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0"/>
      <c r="Q10" s="1795"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29" ht="15.75" thickBot="1">
      <c r="A11" s="428"/>
      <c r="B11" s="422" t="s">
        <v>2557</v>
      </c>
      <c r="C11" s="429">
        <v>1</v>
      </c>
      <c r="D11" s="136">
        <v>100</v>
      </c>
      <c r="E11" s="429">
        <v>2</v>
      </c>
      <c r="F11" s="136">
        <f>LOOKUP(E11,75:75,76:76)-LOOKUP(C11,75:75,76:76)+100</f>
        <v>103</v>
      </c>
      <c r="G11" s="430">
        <v>2</v>
      </c>
      <c r="H11" s="136">
        <f>LOOKUP(G11,75:75,76:76)-LOOKUP(C11,75:75,76:76)+100</f>
        <v>103</v>
      </c>
      <c r="I11" s="429">
        <v>2</v>
      </c>
      <c r="J11" s="136">
        <f>LOOKUP(I11,75:75,76:76)-LOOKUP(C11,75:75,76:76)+100</f>
        <v>103</v>
      </c>
      <c r="K11" s="673">
        <v>3</v>
      </c>
      <c r="L11" s="1138"/>
      <c r="M11" s="1131"/>
      <c r="N11" s="1131"/>
      <c r="O11" s="1139"/>
      <c r="P11" s="3170"/>
      <c r="Q11" s="1795" t="str">
        <f t="shared" si="6"/>
        <v>容积率</v>
      </c>
      <c r="R11" s="770" t="s">
        <v>17</v>
      </c>
      <c r="S11" s="771">
        <f t="shared" si="0"/>
        <v>103</v>
      </c>
      <c r="T11" s="770" t="s">
        <v>17</v>
      </c>
      <c r="U11" s="771">
        <f t="shared" si="1"/>
        <v>103</v>
      </c>
      <c r="V11" s="770" t="s">
        <v>17</v>
      </c>
      <c r="W11" s="771">
        <f t="shared" si="2"/>
        <v>103</v>
      </c>
      <c r="X11" s="772"/>
      <c r="Y11" s="3044"/>
      <c r="Z11" s="55" t="str">
        <f t="shared" si="7"/>
        <v>容积率</v>
      </c>
      <c r="AA11" s="773">
        <f t="shared" si="3"/>
        <v>0.970873786407767</v>
      </c>
      <c r="AB11" s="773">
        <f t="shared" si="4"/>
        <v>0.970873786407767</v>
      </c>
      <c r="AC11" s="773">
        <f t="shared" si="5"/>
        <v>0.970873786407767</v>
      </c>
    </row>
    <row r="12" spans="1:29" s="117" customFormat="1" ht="15" hidden="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hidden="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0"/>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2558</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3</v>
      </c>
      <c r="L15" s="1140"/>
      <c r="M15" s="1131"/>
      <c r="N15" s="1131"/>
      <c r="O15" s="1139"/>
      <c r="P15" s="3173" t="s">
        <v>2559</v>
      </c>
      <c r="Q15" s="1810" t="str">
        <f t="shared" si="6"/>
        <v>产业集聚程度</v>
      </c>
      <c r="R15" s="774" t="s">
        <v>17</v>
      </c>
      <c r="S15" s="775">
        <f t="shared" si="0"/>
        <v>100</v>
      </c>
      <c r="T15" s="774" t="s">
        <v>17</v>
      </c>
      <c r="U15" s="775">
        <f t="shared" si="1"/>
        <v>100</v>
      </c>
      <c r="V15" s="774" t="s">
        <v>17</v>
      </c>
      <c r="W15" s="775">
        <f t="shared" si="2"/>
        <v>100</v>
      </c>
      <c r="X15" s="1813"/>
      <c r="Y15" s="3173" t="s">
        <v>2559</v>
      </c>
      <c r="Z15" s="1814" t="str">
        <f t="shared" si="7"/>
        <v>产业集聚程度</v>
      </c>
      <c r="AA15" s="1811">
        <f t="shared" si="3"/>
        <v>1</v>
      </c>
      <c r="AB15" s="1811">
        <f t="shared" si="4"/>
        <v>1</v>
      </c>
      <c r="AC15" s="1811">
        <f t="shared" si="5"/>
        <v>1</v>
      </c>
    </row>
    <row r="16" spans="1:29" ht="15">
      <c r="A16" s="428"/>
      <c r="B16" s="630"/>
      <c r="C16" s="447" t="s">
        <v>3218</v>
      </c>
      <c r="D16" s="448"/>
      <c r="E16" s="447" t="s">
        <v>3218</v>
      </c>
      <c r="F16" s="448"/>
      <c r="G16" s="447" t="s">
        <v>3218</v>
      </c>
      <c r="H16" s="450"/>
      <c r="I16" s="447" t="s">
        <v>3218</v>
      </c>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t="s">
        <v>3220</v>
      </c>
      <c r="D18" s="448"/>
      <c r="E18" s="447" t="s">
        <v>3220</v>
      </c>
      <c r="F18" s="448"/>
      <c r="G18" s="447" t="s">
        <v>3220</v>
      </c>
      <c r="H18" s="448"/>
      <c r="I18" s="447" t="s">
        <v>3220</v>
      </c>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5</v>
      </c>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t="s">
        <v>3218</v>
      </c>
      <c r="D20" s="448"/>
      <c r="E20" s="447" t="s">
        <v>3218</v>
      </c>
      <c r="F20" s="448"/>
      <c r="G20" s="447" t="s">
        <v>3218</v>
      </c>
      <c r="H20" s="448"/>
      <c r="I20" s="447" t="s">
        <v>3218</v>
      </c>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t="s">
        <v>3219</v>
      </c>
      <c r="D22" s="448"/>
      <c r="E22" s="447" t="s">
        <v>3219</v>
      </c>
      <c r="F22" s="448"/>
      <c r="G22" s="447" t="s">
        <v>3219</v>
      </c>
      <c r="H22" s="448"/>
      <c r="I22" s="447" t="s">
        <v>3219</v>
      </c>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3</v>
      </c>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699" t="s">
        <v>3220</v>
      </c>
      <c r="D24" s="448"/>
      <c r="E24" s="2699" t="s">
        <v>3220</v>
      </c>
      <c r="F24" s="448"/>
      <c r="G24" s="2699" t="s">
        <v>3220</v>
      </c>
      <c r="H24" s="448"/>
      <c r="I24" s="2699" t="s">
        <v>3220</v>
      </c>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3</v>
      </c>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75" thickBot="1">
      <c r="A26" s="649"/>
      <c r="B26" s="632"/>
      <c r="C26" s="2699" t="s">
        <v>3221</v>
      </c>
      <c r="D26" s="448"/>
      <c r="E26" s="2699" t="s">
        <v>3221</v>
      </c>
      <c r="F26" s="448"/>
      <c r="G26" s="2699" t="s">
        <v>3221</v>
      </c>
      <c r="H26" s="448"/>
      <c r="I26" s="2699" t="s">
        <v>3221</v>
      </c>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75" hidden="1" thickBot="1">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hidden="1">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hidden="1">
      <c r="A29" s="428"/>
      <c r="B29" s="632"/>
      <c r="C29" s="447" t="s">
        <v>3226</v>
      </c>
      <c r="D29" s="448"/>
      <c r="E29" s="447" t="s">
        <v>3226</v>
      </c>
      <c r="F29" s="448"/>
      <c r="G29" s="447" t="s">
        <v>3226</v>
      </c>
      <c r="H29" s="448"/>
      <c r="I29" s="447" t="s">
        <v>3226</v>
      </c>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hidden="1">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hidden="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hidden="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5" t="s">
        <v>2564</v>
      </c>
      <c r="Q32" s="1810">
        <f t="shared" si="8"/>
        <v>111</v>
      </c>
      <c r="R32" s="774" t="s">
        <v>17</v>
      </c>
      <c r="S32" s="775">
        <f t="shared" si="10"/>
        <v>100</v>
      </c>
      <c r="T32" s="774" t="s">
        <v>17</v>
      </c>
      <c r="U32" s="775">
        <f t="shared" si="11"/>
        <v>100</v>
      </c>
      <c r="V32" s="774" t="s">
        <v>17</v>
      </c>
      <c r="W32" s="775">
        <f t="shared" si="12"/>
        <v>100</v>
      </c>
      <c r="X32" s="1813"/>
      <c r="Y32" s="3176" t="s">
        <v>2564</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6"/>
      <c r="Q33" s="1810">
        <f t="shared" si="8"/>
        <v>111</v>
      </c>
      <c r="R33" s="777" t="s">
        <v>17</v>
      </c>
      <c r="S33" s="778">
        <f t="shared" si="10"/>
        <v>100</v>
      </c>
      <c r="T33" s="777" t="s">
        <v>17</v>
      </c>
      <c r="U33" s="778">
        <f t="shared" si="11"/>
        <v>100</v>
      </c>
      <c r="V33" s="777" t="s">
        <v>17</v>
      </c>
      <c r="W33" s="778">
        <f t="shared" si="12"/>
        <v>100</v>
      </c>
      <c r="X33" s="779"/>
      <c r="Y33" s="3176"/>
      <c r="Z33" s="780">
        <f t="shared" si="13"/>
        <v>111</v>
      </c>
      <c r="AA33" s="1811">
        <f t="shared" si="3"/>
        <v>1</v>
      </c>
      <c r="AB33" s="1811">
        <f t="shared" si="4"/>
        <v>1</v>
      </c>
      <c r="AC33" s="1811">
        <f t="shared" si="5"/>
        <v>1</v>
      </c>
    </row>
    <row r="34" spans="1:29" ht="15">
      <c r="A34" s="440" t="s">
        <v>2562</v>
      </c>
      <c r="B34" s="456" t="s">
        <v>2750</v>
      </c>
      <c r="C34" s="679">
        <f>不动产权证!I8</f>
        <v>142073.1</v>
      </c>
      <c r="D34" s="467">
        <v>100</v>
      </c>
      <c r="E34" s="679">
        <f>案例!E10</f>
        <v>12889.79</v>
      </c>
      <c r="F34" s="467">
        <f>LOOKUP(E34,108:108,109:109)-LOOKUP(C34,108:108,109:109)+100</f>
        <v>99</v>
      </c>
      <c r="G34" s="679">
        <f>案例!E26</f>
        <v>27172.3</v>
      </c>
      <c r="H34" s="467">
        <f>LOOKUP(G34,108:108,109:109)-LOOKUP(C34,108:108,109:109)+100</f>
        <v>99</v>
      </c>
      <c r="I34" s="530">
        <f>案例!E44</f>
        <v>20384.7</v>
      </c>
      <c r="J34" s="467">
        <f>LOOKUP(I34,108:108,109:109)-LOOKUP(C34,108:108,109:109)+100</f>
        <v>99</v>
      </c>
      <c r="K34" s="613"/>
      <c r="L34" s="1140"/>
      <c r="M34" s="1131"/>
      <c r="N34" s="1131"/>
      <c r="O34" s="1139"/>
      <c r="P34" s="3176"/>
      <c r="Q34" s="1810" t="str">
        <f>B34</f>
        <v>宗地面积</v>
      </c>
      <c r="R34" s="774" t="s">
        <v>17</v>
      </c>
      <c r="S34" s="775">
        <f t="shared" si="10"/>
        <v>99</v>
      </c>
      <c r="T34" s="774" t="s">
        <v>17</v>
      </c>
      <c r="U34" s="775">
        <f t="shared" si="11"/>
        <v>99</v>
      </c>
      <c r="V34" s="774" t="s">
        <v>17</v>
      </c>
      <c r="W34" s="775">
        <f t="shared" si="12"/>
        <v>99</v>
      </c>
      <c r="X34" s="1813"/>
      <c r="Y34" s="3176"/>
      <c r="Z34" s="1814" t="str">
        <f t="shared" si="13"/>
        <v>宗地面积</v>
      </c>
      <c r="AA34" s="1811">
        <f t="shared" si="3"/>
        <v>1.0101010101010102</v>
      </c>
      <c r="AB34" s="1811">
        <f t="shared" si="4"/>
        <v>1.0101010101010102</v>
      </c>
      <c r="AC34" s="1811">
        <f t="shared" si="5"/>
        <v>1.0101010101010102</v>
      </c>
    </row>
    <row r="35" spans="1:29" ht="15">
      <c r="A35" s="472"/>
      <c r="B35" s="422" t="s">
        <v>2751</v>
      </c>
      <c r="C35" s="2612" t="s">
        <v>3228</v>
      </c>
      <c r="D35" s="435">
        <v>100</v>
      </c>
      <c r="E35" s="2612" t="s">
        <v>3228</v>
      </c>
      <c r="F35" s="435">
        <f>SUMIF(110:110,E35,111:111)-SUMIF(110:110,C35,111:111)+100</f>
        <v>100</v>
      </c>
      <c r="G35" s="2612" t="s">
        <v>3228</v>
      </c>
      <c r="H35" s="435">
        <f>SUMIF(110:110,G35,111:111)-SUMIF(110:110,C35,111:111)+100</f>
        <v>100</v>
      </c>
      <c r="I35" s="2612" t="s">
        <v>3228</v>
      </c>
      <c r="J35" s="435">
        <f>SUMIF(110:110,I35,111:111)-SUMIF(110:110,C35,111:111)+100</f>
        <v>100</v>
      </c>
      <c r="K35" s="612">
        <v>2</v>
      </c>
      <c r="L35" s="1140"/>
      <c r="M35" s="1131"/>
      <c r="N35" s="1131"/>
      <c r="O35" s="1139"/>
      <c r="P35" s="3176"/>
      <c r="Q35" s="1810" t="str">
        <f t="shared" ref="Q35:Q40" si="14">B35</f>
        <v>宗地形状</v>
      </c>
      <c r="R35" s="774" t="s">
        <v>17</v>
      </c>
      <c r="S35" s="775">
        <f t="shared" si="10"/>
        <v>100</v>
      </c>
      <c r="T35" s="774" t="s">
        <v>17</v>
      </c>
      <c r="U35" s="775">
        <f t="shared" si="11"/>
        <v>100</v>
      </c>
      <c r="V35" s="774" t="s">
        <v>17</v>
      </c>
      <c r="W35" s="775">
        <f t="shared" si="12"/>
        <v>100</v>
      </c>
      <c r="X35" s="1813"/>
      <c r="Y35" s="3176"/>
      <c r="Z35" s="1814" t="str">
        <f t="shared" si="13"/>
        <v>宗地形状</v>
      </c>
      <c r="AA35" s="1811">
        <f t="shared" si="3"/>
        <v>1</v>
      </c>
      <c r="AB35" s="1811">
        <f t="shared" si="4"/>
        <v>1</v>
      </c>
      <c r="AC35" s="1811">
        <f t="shared" si="5"/>
        <v>1</v>
      </c>
    </row>
    <row r="36" spans="1:29" s="117" customFormat="1" ht="15">
      <c r="A36" s="473"/>
      <c r="B36" s="422" t="s">
        <v>2753</v>
      </c>
      <c r="C36" s="2701" t="s">
        <v>3221</v>
      </c>
      <c r="D36" s="136">
        <v>100</v>
      </c>
      <c r="E36" s="2701" t="s">
        <v>3221</v>
      </c>
      <c r="F36" s="435">
        <f>SUMIF(112:112,E36,113:113)-SUMIF(112:112,C36,113:113)+100</f>
        <v>100</v>
      </c>
      <c r="G36" s="2701" t="s">
        <v>3221</v>
      </c>
      <c r="H36" s="435">
        <f>SUMIF(112:112,G36,113:113)-SUMIF(112:112,C36,113:113)+100</f>
        <v>100</v>
      </c>
      <c r="I36" s="2701" t="s">
        <v>3221</v>
      </c>
      <c r="J36" s="435">
        <f>SUMIF(112:112,I36,113:113)-SUMIF(112:112,C36,113:113)+100</f>
        <v>100</v>
      </c>
      <c r="K36" s="612">
        <v>2</v>
      </c>
      <c r="L36" s="1132"/>
      <c r="M36" s="1133"/>
      <c r="N36" s="1133"/>
      <c r="O36" s="1134"/>
      <c r="P36" s="3176"/>
      <c r="Q36" s="1810"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75" thickBot="1">
      <c r="A37" s="472"/>
      <c r="B37" s="422" t="s">
        <v>2754</v>
      </c>
      <c r="C37" s="2612" t="s">
        <v>3218</v>
      </c>
      <c r="D37" s="435">
        <v>100</v>
      </c>
      <c r="E37" s="2612" t="s">
        <v>3218</v>
      </c>
      <c r="F37" s="435">
        <f>SUMIF(114:114,E37,115:115)-SUMIF(114:114,C37,115:115)+100</f>
        <v>100</v>
      </c>
      <c r="G37" s="2612" t="s">
        <v>3218</v>
      </c>
      <c r="H37" s="435">
        <f>SUMIF(114:114,G37,115:115)-SUMIF(114:114,C37,115:115)+100</f>
        <v>100</v>
      </c>
      <c r="I37" s="2612" t="s">
        <v>3218</v>
      </c>
      <c r="J37" s="435">
        <f>SUMIF(114:114,I37,115:115)-SUMIF(114:114,C37,115:115)+100</f>
        <v>100</v>
      </c>
      <c r="K37" s="612">
        <v>2</v>
      </c>
      <c r="L37" s="1140"/>
      <c r="M37" s="1131"/>
      <c r="N37" s="1131"/>
      <c r="O37" s="1139"/>
      <c r="P37" s="3176" t="s">
        <v>2564</v>
      </c>
      <c r="Q37" s="1810" t="str">
        <f t="shared" si="14"/>
        <v>工程地质条件</v>
      </c>
      <c r="R37" s="774" t="s">
        <v>17</v>
      </c>
      <c r="S37" s="775">
        <f t="shared" si="10"/>
        <v>100</v>
      </c>
      <c r="T37" s="774" t="s">
        <v>17</v>
      </c>
      <c r="U37" s="775">
        <f t="shared" si="11"/>
        <v>100</v>
      </c>
      <c r="V37" s="774" t="s">
        <v>17</v>
      </c>
      <c r="W37" s="775">
        <f t="shared" si="12"/>
        <v>100</v>
      </c>
      <c r="X37" s="1813"/>
      <c r="Y37" s="3176" t="s">
        <v>2564</v>
      </c>
      <c r="Z37" s="1814" t="str">
        <f t="shared" si="13"/>
        <v>工程地质条件</v>
      </c>
      <c r="AA37" s="1811">
        <f t="shared" si="3"/>
        <v>1</v>
      </c>
      <c r="AB37" s="1811">
        <f t="shared" si="4"/>
        <v>1</v>
      </c>
      <c r="AC37" s="1811">
        <f t="shared" si="5"/>
        <v>1</v>
      </c>
    </row>
    <row r="38" spans="1:29" ht="18.75" hidden="1" customHeigh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6"/>
      <c r="Q38" s="1810">
        <f t="shared" si="14"/>
        <v>111</v>
      </c>
      <c r="R38" s="774" t="s">
        <v>17</v>
      </c>
      <c r="S38" s="775">
        <f t="shared" si="10"/>
        <v>100</v>
      </c>
      <c r="T38" s="774" t="s">
        <v>17</v>
      </c>
      <c r="U38" s="775">
        <f t="shared" si="11"/>
        <v>100</v>
      </c>
      <c r="V38" s="774" t="s">
        <v>17</v>
      </c>
      <c r="W38" s="775">
        <f t="shared" si="12"/>
        <v>100</v>
      </c>
      <c r="X38" s="1813"/>
      <c r="Y38" s="3176"/>
      <c r="Z38" s="1814">
        <f t="shared" si="13"/>
        <v>111</v>
      </c>
      <c r="AA38" s="1811">
        <f t="shared" si="3"/>
        <v>1</v>
      </c>
      <c r="AB38" s="1811">
        <f t="shared" si="4"/>
        <v>1</v>
      </c>
      <c r="AC38" s="1811">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6"/>
      <c r="Q39" s="1810">
        <f t="shared" si="14"/>
        <v>111</v>
      </c>
      <c r="R39" s="774" t="s">
        <v>17</v>
      </c>
      <c r="S39" s="775">
        <f t="shared" si="10"/>
        <v>100</v>
      </c>
      <c r="T39" s="774" t="s">
        <v>17</v>
      </c>
      <c r="U39" s="775">
        <f t="shared" si="11"/>
        <v>100</v>
      </c>
      <c r="V39" s="774" t="s">
        <v>17</v>
      </c>
      <c r="W39" s="775">
        <f t="shared" si="12"/>
        <v>100</v>
      </c>
      <c r="X39" s="1813"/>
      <c r="Y39" s="3176"/>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6"/>
      <c r="Q40" s="1810">
        <f t="shared" si="14"/>
        <v>111</v>
      </c>
      <c r="R40" s="777" t="s">
        <v>17</v>
      </c>
      <c r="S40" s="778">
        <f t="shared" si="10"/>
        <v>100</v>
      </c>
      <c r="T40" s="777" t="s">
        <v>17</v>
      </c>
      <c r="U40" s="778">
        <f t="shared" si="11"/>
        <v>100</v>
      </c>
      <c r="V40" s="777" t="s">
        <v>17</v>
      </c>
      <c r="W40" s="778">
        <f t="shared" si="12"/>
        <v>100</v>
      </c>
      <c r="X40" s="779"/>
      <c r="Y40" s="3176"/>
      <c r="Z40" s="780">
        <f t="shared" si="13"/>
        <v>111</v>
      </c>
      <c r="AA40" s="1811">
        <f t="shared" si="3"/>
        <v>1</v>
      </c>
      <c r="AB40" s="1811">
        <f t="shared" si="4"/>
        <v>1</v>
      </c>
      <c r="AC40" s="1811">
        <f t="shared" si="5"/>
        <v>1</v>
      </c>
    </row>
    <row r="41" spans="1:29" ht="15">
      <c r="A41" s="479" t="s">
        <v>2719</v>
      </c>
      <c r="B41" s="2703" t="s">
        <v>3237</v>
      </c>
      <c r="C41" s="682" t="s">
        <v>1</v>
      </c>
      <c r="D41" s="481"/>
      <c r="E41" s="482">
        <f>案例!O10</f>
        <v>214</v>
      </c>
      <c r="F41" s="483"/>
      <c r="G41" s="484">
        <f>案例!O26</f>
        <v>211</v>
      </c>
      <c r="H41" s="485"/>
      <c r="I41" s="482">
        <f>案例!O44</f>
        <v>211</v>
      </c>
      <c r="J41" s="485"/>
      <c r="K41" s="783"/>
      <c r="L41" s="1143"/>
      <c r="M41" s="1131"/>
      <c r="N41" s="1131"/>
      <c r="O41" s="1144"/>
      <c r="P41" s="3170" t="str">
        <f>A41</f>
        <v>成交单价</v>
      </c>
      <c r="Q41" s="3170"/>
      <c r="R41" s="3172">
        <f>E41</f>
        <v>214</v>
      </c>
      <c r="S41" s="3172"/>
      <c r="T41" s="3172">
        <f>G41</f>
        <v>211</v>
      </c>
      <c r="U41" s="3172"/>
      <c r="V41" s="3172">
        <f>I41</f>
        <v>211</v>
      </c>
      <c r="W41" s="3172"/>
      <c r="X41" s="759"/>
      <c r="Y41" s="781"/>
      <c r="Z41" s="759"/>
      <c r="AA41" s="759"/>
      <c r="AB41" s="759"/>
      <c r="AC41" s="759"/>
    </row>
    <row r="42" spans="1:29" ht="15.75" thickBot="1">
      <c r="A42" s="486" t="s">
        <v>2668</v>
      </c>
      <c r="B42" s="683"/>
      <c r="C42" s="490">
        <f>R43</f>
        <v>203</v>
      </c>
      <c r="D42" s="489"/>
      <c r="E42" s="490">
        <f>R42</f>
        <v>204</v>
      </c>
      <c r="F42" s="491"/>
      <c r="G42" s="488">
        <f>T42</f>
        <v>203</v>
      </c>
      <c r="H42" s="489"/>
      <c r="I42" s="490">
        <f>V42</f>
        <v>203</v>
      </c>
      <c r="J42" s="489"/>
      <c r="K42" s="784"/>
      <c r="L42" s="1143"/>
      <c r="M42" s="1131"/>
      <c r="N42" s="1131"/>
      <c r="O42" s="1144"/>
      <c r="P42" s="3170" t="str">
        <f>A42</f>
        <v>比较价值（元/平方米）</v>
      </c>
      <c r="Q42" s="3170"/>
      <c r="R42" s="3171">
        <f>ROUND(PRODUCT(R41,AA7:AA40),0)</f>
        <v>204</v>
      </c>
      <c r="S42" s="3171"/>
      <c r="T42" s="3171">
        <f>ROUND(PRODUCT(T41,AB7:AB40),0)</f>
        <v>203</v>
      </c>
      <c r="U42" s="3171"/>
      <c r="V42" s="3171">
        <f>ROUND(PRODUCT(V41,AC7:AC40),0)</f>
        <v>203</v>
      </c>
      <c r="W42" s="3171"/>
      <c r="X42" s="759"/>
      <c r="Y42" s="759"/>
      <c r="Z42" s="759"/>
      <c r="AA42" s="759"/>
      <c r="AB42" s="759"/>
      <c r="AC42" s="759"/>
    </row>
    <row r="43" spans="1:29" ht="15.75" thickBot="1">
      <c r="A43" s="492" t="s">
        <v>2669</v>
      </c>
      <c r="B43" s="493"/>
      <c r="C43" s="494">
        <f>R43</f>
        <v>203</v>
      </c>
      <c r="D43" s="494"/>
      <c r="E43" s="494"/>
      <c r="F43" s="494"/>
      <c r="G43" s="494"/>
      <c r="H43" s="494"/>
      <c r="I43" s="494"/>
      <c r="J43" s="494"/>
      <c r="K43" s="785"/>
      <c r="L43" s="1143"/>
      <c r="M43" s="1131"/>
      <c r="N43" s="1131"/>
      <c r="O43" s="1144"/>
      <c r="P43" s="3167" t="str">
        <f>A43</f>
        <v>估价对象XX用房的比较价值（楼面单价，元/平方米）</v>
      </c>
      <c r="Q43" s="3168"/>
      <c r="R43" s="3169">
        <f>ROUND(AVERAGE(R42:V42),0)</f>
        <v>203</v>
      </c>
      <c r="S43" s="3169"/>
      <c r="T43" s="3169"/>
      <c r="U43" s="3169"/>
      <c r="V43" s="3169"/>
      <c r="W43" s="316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f>IF(E41&lt;E42,E42/E41-1,E41/E42-1)</f>
        <v>4.9019607843137303E-2</v>
      </c>
      <c r="F46" s="500" t="str">
        <f>IF(OR(E46&gt;=0.3,E46&lt;=-0.3),"超过30%","")</f>
        <v/>
      </c>
      <c r="G46" s="499">
        <f>IF(G41&lt;G42,G42/G41-1,G41/G42-1)</f>
        <v>3.9408866995073843E-2</v>
      </c>
      <c r="H46" s="500" t="str">
        <f>IF(OR(G46&gt;=0.3,G46&lt;=-0.3),"超过30%","")</f>
        <v/>
      </c>
      <c r="I46" s="499">
        <f>IF(I41&lt;I42,I42/I41-1,I41/I42-1)</f>
        <v>3.9408866995073843E-2</v>
      </c>
      <c r="J46" s="500" t="str">
        <f>IF(OR(I46&gt;=0.3,I46&lt;=-0.3),"超过30%","")</f>
        <v/>
      </c>
      <c r="K46" s="1105"/>
      <c r="L46" s="1106"/>
      <c r="M46" s="1131"/>
      <c r="N46" s="1131"/>
      <c r="O46" s="1144"/>
    </row>
    <row r="47" spans="1:29" ht="13.5" customHeight="1">
      <c r="A47" s="1144"/>
      <c r="B47" s="1144"/>
      <c r="C47" s="497" t="s">
        <v>2671</v>
      </c>
      <c r="D47" s="501"/>
      <c r="E47" s="499">
        <f>IF(E42&lt;G42,G42/E42-1,E42/G42-1)</f>
        <v>4.9261083743843415E-3</v>
      </c>
      <c r="F47" s="500" t="str">
        <f>IF(OR(E47&gt;=0.2,E47&lt;=-0.2),"超过20%","")</f>
        <v/>
      </c>
      <c r="G47" s="499">
        <f>IF(G42&lt;I42,I42/G42-1,G42/I42-1)</f>
        <v>0</v>
      </c>
      <c r="H47" s="500" t="str">
        <f>IF(OR(G47&gt;=0.2,G47&lt;=-0.2),"超过20%","")</f>
        <v/>
      </c>
      <c r="I47" s="499">
        <f>IF(I42&lt;E42,E42/I42-1,I42/E42-1)</f>
        <v>4.9261083743843415E-3</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1.4218009478673022E-2</v>
      </c>
      <c r="F48" s="500" t="str">
        <f>IF(OR(E48&gt;=0.3,E48&lt;=-0.3),"超过30%","")</f>
        <v/>
      </c>
      <c r="G48" s="499">
        <f>IF(G41&lt;I41,I41/G41-1,G41/I41-1)</f>
        <v>0</v>
      </c>
      <c r="H48" s="500" t="str">
        <f>IF(OR(G48&gt;=0.3,G48&lt;=-0.3),"超过30%","")</f>
        <v/>
      </c>
      <c r="I48" s="499">
        <f>IF(I41&lt;E41,E41/I41-1,I41/E41-1)</f>
        <v>1.4218009478673022E-2</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4" t="s">
        <v>2759</v>
      </c>
      <c r="D50" s="2705" t="s">
        <v>2760</v>
      </c>
      <c r="E50" s="686" t="s">
        <v>2761</v>
      </c>
      <c r="F50" s="687" t="s">
        <v>2762</v>
      </c>
      <c r="G50" s="3180" t="s">
        <v>2763</v>
      </c>
      <c r="H50" s="3194"/>
      <c r="I50" s="1814" t="s">
        <v>2799</v>
      </c>
      <c r="J50" s="1814" t="str">
        <f>项目基本情况!F35</f>
        <v>江苏省盐城市</v>
      </c>
      <c r="K50" s="2707" t="s">
        <v>2765</v>
      </c>
      <c r="L50" s="1106"/>
      <c r="M50" s="1144"/>
      <c r="N50" s="1144"/>
      <c r="O50" s="1144"/>
    </row>
    <row r="51" spans="1:17" s="692" customFormat="1">
      <c r="A51" s="688" t="s">
        <v>2766</v>
      </c>
      <c r="B51" s="689">
        <f>C43</f>
        <v>203</v>
      </c>
      <c r="C51" s="690">
        <v>1</v>
      </c>
      <c r="D51" s="1163">
        <v>1</v>
      </c>
      <c r="E51" s="690">
        <f>'数据-汇总表'!E8+'数据-汇总表'!E9</f>
        <v>26688.410000000003</v>
      </c>
      <c r="F51" s="691">
        <f t="shared" ref="F51:F60" si="15">ROUND(B51*E51/10000,0)</f>
        <v>542</v>
      </c>
      <c r="G51" s="3195"/>
      <c r="H51" s="3170"/>
      <c r="I51" s="942">
        <v>1</v>
      </c>
      <c r="J51" s="942">
        <v>1</v>
      </c>
      <c r="K51" s="1145"/>
      <c r="L51" s="941"/>
      <c r="M51" s="941"/>
      <c r="N51" s="941"/>
      <c r="O51" s="941"/>
    </row>
    <row r="52" spans="1:17" s="692" customFormat="1">
      <c r="A52" s="693" t="s">
        <v>2767</v>
      </c>
      <c r="B52" s="262">
        <f>ROUND($C$43*C52*D52,0)</f>
        <v>0</v>
      </c>
      <c r="C52" s="200">
        <f t="shared" ref="C52:C60" si="16">IF($C$50="北京市系数",I52,J52)</f>
        <v>0</v>
      </c>
      <c r="D52" s="1164">
        <v>0.25</v>
      </c>
      <c r="E52" s="694"/>
      <c r="F52" s="691">
        <f t="shared" si="15"/>
        <v>0</v>
      </c>
      <c r="G52" s="3196" t="s">
        <v>2768</v>
      </c>
      <c r="H52" s="1104">
        <f>项目基本情况!B37</f>
        <v>0</v>
      </c>
      <c r="I52" s="942">
        <f>SUMIF(修正!A45:A56,H52,修正!B45:B56)</f>
        <v>0</v>
      </c>
      <c r="J52" s="943"/>
      <c r="K52" s="1144"/>
      <c r="L52" s="941"/>
      <c r="M52" s="941"/>
      <c r="N52" s="941"/>
      <c r="O52" s="941"/>
    </row>
    <row r="53" spans="1:17" s="692" customFormat="1">
      <c r="A53" s="693" t="s">
        <v>2769</v>
      </c>
      <c r="B53" s="262">
        <f t="shared" ref="B53:B60" si="17">ROUND($C$43*C53*D53,0)</f>
        <v>0</v>
      </c>
      <c r="C53" s="200">
        <f t="shared" si="16"/>
        <v>0</v>
      </c>
      <c r="D53" s="1164">
        <v>0.25</v>
      </c>
      <c r="E53" s="694"/>
      <c r="F53" s="691">
        <f t="shared" si="15"/>
        <v>0</v>
      </c>
      <c r="G53" s="3196"/>
      <c r="H53" s="1104">
        <f>项目基本情况!B37</f>
        <v>0</v>
      </c>
      <c r="I53" s="942">
        <f>SUMIF(修正!A45:A56,H53,修正!C45:C56)</f>
        <v>0</v>
      </c>
      <c r="J53" s="943"/>
      <c r="K53" s="1145"/>
      <c r="L53" s="941"/>
      <c r="M53" s="941"/>
      <c r="N53" s="941"/>
      <c r="O53" s="941"/>
    </row>
    <row r="54" spans="1:17" s="692" customFormat="1">
      <c r="A54" s="693" t="s">
        <v>2770</v>
      </c>
      <c r="B54" s="262">
        <f t="shared" si="17"/>
        <v>0</v>
      </c>
      <c r="C54" s="200">
        <f t="shared" si="16"/>
        <v>0</v>
      </c>
      <c r="D54" s="1164">
        <v>0.25</v>
      </c>
      <c r="E54" s="694"/>
      <c r="F54" s="691">
        <f t="shared" si="15"/>
        <v>0</v>
      </c>
      <c r="G54" s="3196"/>
      <c r="H54" s="1104">
        <f>项目基本情况!B37</f>
        <v>0</v>
      </c>
      <c r="I54" s="942">
        <f>SUMIF(修正!A45:A56,H54,修正!D45:D56)</f>
        <v>0</v>
      </c>
      <c r="J54" s="943"/>
      <c r="K54" s="1144"/>
      <c r="L54" s="941"/>
      <c r="M54" s="941"/>
      <c r="N54" s="941"/>
      <c r="O54" s="941"/>
    </row>
    <row r="55" spans="1:17" s="692" customFormat="1">
      <c r="A55" s="693" t="s">
        <v>2771</v>
      </c>
      <c r="B55" s="262">
        <f t="shared" si="17"/>
        <v>0</v>
      </c>
      <c r="C55" s="200">
        <f t="shared" si="16"/>
        <v>0</v>
      </c>
      <c r="D55" s="1164">
        <v>0.25</v>
      </c>
      <c r="E55" s="694"/>
      <c r="F55" s="691">
        <f t="shared" si="15"/>
        <v>0</v>
      </c>
      <c r="G55" s="3196"/>
      <c r="H55" s="1104">
        <f>项目基本情况!B37</f>
        <v>0</v>
      </c>
      <c r="I55" s="942">
        <f>SUMIF(修正!A45:A56,H55,修正!E45:E56)</f>
        <v>0</v>
      </c>
      <c r="J55" s="943"/>
      <c r="K55" s="1145"/>
      <c r="L55" s="941"/>
      <c r="M55" s="941"/>
      <c r="N55" s="941"/>
      <c r="O55" s="941"/>
    </row>
    <row r="56" spans="1:17" s="692" customFormat="1">
      <c r="A56" s="693" t="s">
        <v>2772</v>
      </c>
      <c r="B56" s="262">
        <f t="shared" si="17"/>
        <v>0</v>
      </c>
      <c r="C56" s="200">
        <f t="shared" si="16"/>
        <v>0</v>
      </c>
      <c r="D56" s="1164">
        <v>0.25</v>
      </c>
      <c r="E56" s="261">
        <f>'数据-汇总表'!E11</f>
        <v>0</v>
      </c>
      <c r="F56" s="691">
        <f t="shared" si="15"/>
        <v>0</v>
      </c>
      <c r="G56" s="2708" t="s">
        <v>2773</v>
      </c>
      <c r="H56" s="1104">
        <f>项目基本情况!C37</f>
        <v>0</v>
      </c>
      <c r="I56" s="942">
        <f>SUMIF(修正!A45:A56,H56,修正!F45:F56)</f>
        <v>0</v>
      </c>
      <c r="J56" s="943"/>
      <c r="K56" s="1144"/>
      <c r="L56" s="941"/>
      <c r="M56" s="941"/>
      <c r="N56" s="941"/>
      <c r="O56" s="941"/>
    </row>
    <row r="57" spans="1:17" s="692" customFormat="1">
      <c r="A57" s="693" t="s">
        <v>2774</v>
      </c>
      <c r="B57" s="262">
        <f t="shared" si="17"/>
        <v>0</v>
      </c>
      <c r="C57" s="200">
        <f t="shared" si="16"/>
        <v>0</v>
      </c>
      <c r="D57" s="1164">
        <v>0.25</v>
      </c>
      <c r="E57" s="261">
        <f>'数据-汇总表'!E12</f>
        <v>0</v>
      </c>
      <c r="F57" s="691">
        <f t="shared" si="15"/>
        <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f t="shared" si="17"/>
        <v>0</v>
      </c>
      <c r="C58" s="200">
        <f t="shared" si="16"/>
        <v>0</v>
      </c>
      <c r="D58" s="1164">
        <v>0.25</v>
      </c>
      <c r="E58" s="261">
        <f>'数据-汇总表'!E13</f>
        <v>0</v>
      </c>
      <c r="F58" s="691">
        <f t="shared" si="15"/>
        <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f t="shared" si="17"/>
        <v>0</v>
      </c>
      <c r="C59" s="200">
        <f t="shared" si="16"/>
        <v>0</v>
      </c>
      <c r="D59" s="1164">
        <v>0.25</v>
      </c>
      <c r="E59" s="261">
        <f>'数据-汇总表'!E14</f>
        <v>0</v>
      </c>
      <c r="F59" s="691">
        <f t="shared" si="15"/>
        <v>0</v>
      </c>
      <c r="G59" s="2708" t="s">
        <v>2768</v>
      </c>
      <c r="H59" s="1104">
        <f>项目基本情况!B37</f>
        <v>0</v>
      </c>
      <c r="I59" s="942">
        <f>SUMIF(修正!A45:A56,H59,修正!H45:H56)</f>
        <v>0</v>
      </c>
      <c r="J59" s="943"/>
      <c r="K59" s="1145"/>
      <c r="L59" s="941"/>
      <c r="M59" s="941"/>
      <c r="N59" s="941"/>
      <c r="O59" s="941"/>
    </row>
    <row r="60" spans="1:17" s="692" customFormat="1" ht="15" thickBot="1">
      <c r="A60" s="693" t="s">
        <v>2779</v>
      </c>
      <c r="B60" s="262">
        <f t="shared" si="17"/>
        <v>0</v>
      </c>
      <c r="C60" s="200">
        <f t="shared" si="16"/>
        <v>0</v>
      </c>
      <c r="D60" s="1164">
        <v>0.25</v>
      </c>
      <c r="E60" s="261">
        <f>'数据-汇总表'!E15</f>
        <v>0</v>
      </c>
      <c r="F60" s="691">
        <f t="shared" si="15"/>
        <v>0</v>
      </c>
      <c r="G60" s="2709"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142073.1</v>
      </c>
      <c r="F61" s="697">
        <f>IF(B41="楼面地价",SUM(F51:F60),ROUND(C43*E61/10000,0))</f>
        <v>2884</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0"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2800</v>
      </c>
      <c r="B66" s="332" t="str">
        <f>"北京市平均增长率"&amp;TEXT(基准地价修正!P24,"0.00%")</f>
        <v>北京市平均增长率1.40%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f>C75+1</f>
        <v>1</v>
      </c>
      <c r="E75" s="549">
        <f t="shared" ref="E75:I75" si="22">D75+1</f>
        <v>2</v>
      </c>
      <c r="F75" s="549">
        <f t="shared" si="22"/>
        <v>3</v>
      </c>
      <c r="G75" s="549">
        <f t="shared" si="22"/>
        <v>4</v>
      </c>
      <c r="H75" s="549">
        <f t="shared" si="22"/>
        <v>5</v>
      </c>
      <c r="I75" s="549">
        <f t="shared" si="22"/>
        <v>6</v>
      </c>
      <c r="J75" s="549"/>
      <c r="K75" s="550"/>
      <c r="L75" s="551"/>
      <c r="M75" s="552"/>
      <c r="N75" s="1152"/>
      <c r="O75" s="1152"/>
      <c r="P75" s="45"/>
      <c r="Q75" s="504"/>
    </row>
    <row r="76" spans="1:17" ht="15.75" thickBot="1">
      <c r="A76" s="534"/>
      <c r="B76" s="535"/>
      <c r="C76" s="544">
        <v>100</v>
      </c>
      <c r="D76" s="544">
        <f>IF($B$41="单位面积地价",C76+$K11,C76-$K11)</f>
        <v>103</v>
      </c>
      <c r="E76" s="544">
        <f t="shared" ref="E76:M76" si="23">IF($B$41="单位面积地价",D76+$K11,D76-$K11)</f>
        <v>106</v>
      </c>
      <c r="F76" s="544">
        <f t="shared" si="23"/>
        <v>109</v>
      </c>
      <c r="G76" s="544">
        <f t="shared" si="23"/>
        <v>112</v>
      </c>
      <c r="H76" s="544">
        <f t="shared" si="23"/>
        <v>115</v>
      </c>
      <c r="I76" s="544">
        <f t="shared" si="23"/>
        <v>118</v>
      </c>
      <c r="J76" s="544">
        <f t="shared" si="23"/>
        <v>121</v>
      </c>
      <c r="K76" s="544">
        <f t="shared" si="23"/>
        <v>124</v>
      </c>
      <c r="L76" s="544">
        <f t="shared" si="23"/>
        <v>127</v>
      </c>
      <c r="M76" s="544">
        <f t="shared" si="23"/>
        <v>130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95</v>
      </c>
      <c r="E88" s="544">
        <f>D88-$K19</f>
        <v>90</v>
      </c>
      <c r="F88" s="544">
        <f>E88-$K19</f>
        <v>85</v>
      </c>
      <c r="G88" s="544">
        <f>F88-$K19</f>
        <v>80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97</v>
      </c>
      <c r="E94" s="544">
        <f>D94-$K25</f>
        <v>94</v>
      </c>
      <c r="F94" s="544">
        <f>E94-$K25</f>
        <v>91</v>
      </c>
      <c r="G94" s="544">
        <f>F94-$K25</f>
        <v>88</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4">C96-$K27</f>
        <v>100</v>
      </c>
      <c r="E96" s="544">
        <f t="shared" si="24"/>
        <v>100</v>
      </c>
      <c r="F96" s="544">
        <f t="shared" si="24"/>
        <v>100</v>
      </c>
      <c r="G96" s="544">
        <f t="shared" si="24"/>
        <v>100</v>
      </c>
      <c r="H96" s="544">
        <f t="shared" si="24"/>
        <v>100</v>
      </c>
      <c r="I96" s="544">
        <f t="shared" si="24"/>
        <v>100</v>
      </c>
      <c r="J96" s="544">
        <f t="shared" si="24"/>
        <v>100</v>
      </c>
      <c r="K96" s="544">
        <f t="shared" si="24"/>
        <v>100</v>
      </c>
      <c r="L96" s="544">
        <f t="shared" si="24"/>
        <v>100</v>
      </c>
      <c r="M96" s="544">
        <f t="shared" si="24"/>
        <v>100</v>
      </c>
      <c r="N96" s="1153"/>
      <c r="O96" s="1153"/>
      <c r="P96" s="45"/>
      <c r="Q96" s="504"/>
    </row>
    <row r="97" spans="1:17" ht="27.75" thickTop="1">
      <c r="A97" s="534"/>
      <c r="B97" s="538" t="s">
        <v>2690</v>
      </c>
      <c r="C97" s="2968" t="s">
        <v>3222</v>
      </c>
      <c r="D97" s="2968" t="s">
        <v>3223</v>
      </c>
      <c r="E97" s="2968" t="s">
        <v>3224</v>
      </c>
      <c r="F97" s="2968" t="s">
        <v>3225</v>
      </c>
      <c r="G97" s="2968" t="s">
        <v>3227</v>
      </c>
      <c r="H97" s="583"/>
      <c r="I97" s="583"/>
      <c r="J97" s="583"/>
      <c r="K97" s="584"/>
      <c r="L97" s="585"/>
      <c r="M97" s="586"/>
      <c r="N97" s="1152"/>
      <c r="O97" s="1152"/>
      <c r="P97" s="45"/>
      <c r="Q97" s="504"/>
    </row>
    <row r="98" spans="1:17" ht="15.75" thickBot="1">
      <c r="A98" s="534"/>
      <c r="B98" s="543"/>
      <c r="C98" s="544">
        <v>100</v>
      </c>
      <c r="D98" s="544">
        <f t="shared" ref="D98:M98" si="25">C98-$K28</f>
        <v>98</v>
      </c>
      <c r="E98" s="544">
        <f t="shared" si="25"/>
        <v>96</v>
      </c>
      <c r="F98" s="544">
        <f t="shared" si="25"/>
        <v>94</v>
      </c>
      <c r="G98" s="544">
        <f t="shared" si="25"/>
        <v>92</v>
      </c>
      <c r="H98" s="544">
        <f t="shared" si="25"/>
        <v>90</v>
      </c>
      <c r="I98" s="544">
        <f t="shared" si="25"/>
        <v>88</v>
      </c>
      <c r="J98" s="544">
        <f t="shared" si="25"/>
        <v>86</v>
      </c>
      <c r="K98" s="544">
        <f t="shared" si="25"/>
        <v>84</v>
      </c>
      <c r="L98" s="544">
        <f t="shared" si="25"/>
        <v>82</v>
      </c>
      <c r="M98" s="544">
        <f t="shared" si="25"/>
        <v>80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6">C100-$K30</f>
        <v>100</v>
      </c>
      <c r="E100" s="544">
        <f t="shared" si="26"/>
        <v>100</v>
      </c>
      <c r="F100" s="544">
        <f t="shared" si="26"/>
        <v>100</v>
      </c>
      <c r="G100" s="544">
        <f t="shared" si="26"/>
        <v>100</v>
      </c>
      <c r="H100" s="544">
        <f t="shared" si="26"/>
        <v>100</v>
      </c>
      <c r="I100" s="544">
        <f t="shared" si="26"/>
        <v>100</v>
      </c>
      <c r="J100" s="544">
        <f t="shared" si="26"/>
        <v>100</v>
      </c>
      <c r="K100" s="544">
        <f t="shared" si="26"/>
        <v>100</v>
      </c>
      <c r="L100" s="544">
        <f t="shared" si="26"/>
        <v>100</v>
      </c>
      <c r="M100" s="544">
        <f t="shared" si="26"/>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2562</v>
      </c>
      <c r="B107" s="528" t="s">
        <v>2790</v>
      </c>
      <c r="C107" s="529" t="str">
        <f t="shared" ref="C107:L107" si="27">C108&amp;"(含)"&amp;"-"&amp;D108</f>
        <v>0(含)-100000</v>
      </c>
      <c r="D107" s="529" t="str">
        <f t="shared" si="27"/>
        <v>100000(含)-200000</v>
      </c>
      <c r="E107" s="529" t="str">
        <f t="shared" si="27"/>
        <v>200000(含)-300000</v>
      </c>
      <c r="F107" s="529" t="str">
        <f t="shared" si="27"/>
        <v>300000(含)-400000</v>
      </c>
      <c r="G107" s="529" t="str">
        <f t="shared" si="27"/>
        <v>400000(含)-500000</v>
      </c>
      <c r="H107" s="529" t="str">
        <f t="shared" si="27"/>
        <v>500000(含)-600000</v>
      </c>
      <c r="I107" s="529" t="str">
        <f t="shared" si="27"/>
        <v>600000(含)-</v>
      </c>
      <c r="J107" s="529" t="str">
        <f t="shared" si="27"/>
        <v>(含)-</v>
      </c>
      <c r="K107" s="1766" t="str">
        <f t="shared" si="27"/>
        <v>(含)-</v>
      </c>
      <c r="L107" s="1766" t="str">
        <f t="shared" si="27"/>
        <v>(含)-</v>
      </c>
      <c r="M107" s="1767" t="str">
        <f>M108&amp;"(含)"&amp;"-"&amp;P108</f>
        <v>(含)-</v>
      </c>
      <c r="N107" s="1152"/>
      <c r="O107" s="1152"/>
      <c r="P107" s="45"/>
      <c r="Q107" s="504"/>
    </row>
    <row r="108" spans="1:17" ht="15">
      <c r="A108" s="534"/>
      <c r="B108" s="546"/>
      <c r="C108" s="595">
        <v>0</v>
      </c>
      <c r="D108" s="595">
        <f>C108+100000</f>
        <v>100000</v>
      </c>
      <c r="E108" s="595">
        <f t="shared" ref="E108:I108" si="28">D108+100000</f>
        <v>200000</v>
      </c>
      <c r="F108" s="595">
        <f t="shared" si="28"/>
        <v>300000</v>
      </c>
      <c r="G108" s="595">
        <f t="shared" si="28"/>
        <v>400000</v>
      </c>
      <c r="H108" s="595">
        <f t="shared" si="28"/>
        <v>500000</v>
      </c>
      <c r="I108" s="595">
        <f t="shared" si="28"/>
        <v>600000</v>
      </c>
      <c r="J108" s="596"/>
      <c r="K108" s="596"/>
      <c r="L108" s="597"/>
      <c r="M108" s="598"/>
      <c r="N108" s="1152"/>
      <c r="O108" s="1152"/>
      <c r="P108" s="45"/>
      <c r="Q108" s="504"/>
    </row>
    <row r="109" spans="1:17" ht="15.75" thickBot="1">
      <c r="A109" s="534"/>
      <c r="B109" s="543"/>
      <c r="C109" s="570">
        <v>100</v>
      </c>
      <c r="D109" s="591">
        <f>C109+1</f>
        <v>101</v>
      </c>
      <c r="E109" s="591">
        <f t="shared" ref="E109:I109" si="29">D109+1</f>
        <v>102</v>
      </c>
      <c r="F109" s="591">
        <f t="shared" si="29"/>
        <v>103</v>
      </c>
      <c r="G109" s="591">
        <f t="shared" si="29"/>
        <v>104</v>
      </c>
      <c r="H109" s="591">
        <f t="shared" si="29"/>
        <v>105</v>
      </c>
      <c r="I109" s="591">
        <f t="shared" si="29"/>
        <v>106</v>
      </c>
      <c r="J109" s="591"/>
      <c r="K109" s="591"/>
      <c r="L109" s="591"/>
      <c r="M109" s="592"/>
      <c r="N109" s="1153"/>
      <c r="O109" s="1153"/>
      <c r="P109" s="45"/>
      <c r="Q109" s="504"/>
    </row>
    <row r="110" spans="1:17" ht="15" thickTop="1">
      <c r="A110" s="599"/>
      <c r="B110" s="538" t="s">
        <v>2791</v>
      </c>
      <c r="C110" s="2969" t="s">
        <v>3229</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30">C111-$K35</f>
        <v>98</v>
      </c>
      <c r="E111" s="544">
        <f t="shared" si="30"/>
        <v>96</v>
      </c>
      <c r="F111" s="544">
        <f t="shared" si="30"/>
        <v>94</v>
      </c>
      <c r="G111" s="544">
        <f t="shared" si="30"/>
        <v>92</v>
      </c>
      <c r="H111" s="544">
        <f t="shared" si="30"/>
        <v>90</v>
      </c>
      <c r="I111" s="544">
        <f t="shared" si="30"/>
        <v>88</v>
      </c>
      <c r="J111" s="544">
        <f t="shared" si="30"/>
        <v>86</v>
      </c>
      <c r="K111" s="544">
        <f t="shared" si="30"/>
        <v>84</v>
      </c>
      <c r="L111" s="544">
        <f t="shared" si="30"/>
        <v>82</v>
      </c>
      <c r="M111" s="545">
        <f t="shared" si="30"/>
        <v>80</v>
      </c>
      <c r="N111" s="1153"/>
      <c r="O111" s="1153"/>
      <c r="P111" s="45"/>
      <c r="Q111" s="504"/>
    </row>
    <row r="112" spans="1:17" s="471" customFormat="1" ht="15" thickTop="1">
      <c r="A112" s="593"/>
      <c r="B112" s="538" t="s">
        <v>2793</v>
      </c>
      <c r="C112" s="2968" t="s">
        <v>3230</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31">C113-$K36</f>
        <v>98</v>
      </c>
      <c r="E113" s="544">
        <f t="shared" si="31"/>
        <v>96</v>
      </c>
      <c r="F113" s="544">
        <f t="shared" si="31"/>
        <v>94</v>
      </c>
      <c r="G113" s="544">
        <f t="shared" si="31"/>
        <v>92</v>
      </c>
      <c r="H113" s="544">
        <f t="shared" si="31"/>
        <v>90</v>
      </c>
      <c r="I113" s="544">
        <f t="shared" si="31"/>
        <v>88</v>
      </c>
      <c r="J113" s="544">
        <f t="shared" si="31"/>
        <v>86</v>
      </c>
      <c r="K113" s="544">
        <f t="shared" si="31"/>
        <v>84</v>
      </c>
      <c r="L113" s="544">
        <f t="shared" si="31"/>
        <v>82</v>
      </c>
      <c r="M113" s="545">
        <f t="shared" si="31"/>
        <v>80</v>
      </c>
      <c r="N113" s="1154"/>
      <c r="O113" s="1154"/>
      <c r="P113" s="558"/>
      <c r="Q113" s="559"/>
    </row>
    <row r="114" spans="1:17" ht="15" thickTop="1">
      <c r="A114" s="599"/>
      <c r="B114" s="538" t="s">
        <v>2794</v>
      </c>
      <c r="C114" s="2968" t="s">
        <v>3231</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32">C115-$K37</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5">
        <f t="shared" si="32"/>
        <v>80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12" sqref="E1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43.73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10911</v>
      </c>
      <c r="C2" s="1845" t="s">
        <v>1512</v>
      </c>
      <c r="D2" s="1845"/>
      <c r="E2" s="1846"/>
      <c r="F2" s="1847"/>
      <c r="G2" s="1848"/>
      <c r="H2" s="1840"/>
      <c r="I2" s="1840"/>
      <c r="J2" s="1840"/>
      <c r="K2" s="1841"/>
      <c r="L2" s="1840"/>
      <c r="M2" s="1840"/>
    </row>
    <row r="3" spans="1:37" ht="18" customHeight="1" thickBot="1">
      <c r="A3" s="1849" t="s">
        <v>1513</v>
      </c>
      <c r="B3" s="1850">
        <f ca="1">IF(ISERROR(B2*10000/F43),0,ROUND(B2*10000/F43,0))</f>
        <v>4088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877</v>
      </c>
      <c r="D5" s="1822" t="s">
        <v>1398</v>
      </c>
      <c r="E5" s="1293"/>
      <c r="F5" s="1294"/>
      <c r="G5" s="1851"/>
      <c r="H5" s="344">
        <v>1</v>
      </c>
      <c r="I5" s="345" t="s">
        <v>1397</v>
      </c>
      <c r="J5" s="1292">
        <f ca="1">J6+J10+J12</f>
        <v>0</v>
      </c>
      <c r="K5" s="1822" t="s">
        <v>1398</v>
      </c>
      <c r="L5" s="1293"/>
      <c r="M5" s="1294"/>
    </row>
    <row r="6" spans="1:37" ht="18" customHeight="1">
      <c r="A6" s="1291" t="s">
        <v>1032</v>
      </c>
      <c r="B6" s="3212" t="s">
        <v>1399</v>
      </c>
      <c r="C6" s="1296">
        <f ca="1">ROUND(F6*F8*F7*(1-F9)/10000,0)</f>
        <v>877</v>
      </c>
      <c r="D6" s="164" t="s">
        <v>3031</v>
      </c>
      <c r="E6" s="347" t="s">
        <v>1401</v>
      </c>
      <c r="F6" s="348">
        <f ca="1">INDIRECT("'数据-取费表'!u"&amp;$G$1)</f>
        <v>1</v>
      </c>
      <c r="G6" s="1851"/>
      <c r="H6" s="1291" t="s">
        <v>1032</v>
      </c>
      <c r="I6" s="3212" t="s">
        <v>1399</v>
      </c>
      <c r="J6" s="346">
        <f ca="1">ROUND(M6*M8*M7*(1-M9)/10000,0)</f>
        <v>0</v>
      </c>
      <c r="K6" s="164" t="s">
        <v>3030</v>
      </c>
      <c r="L6" s="347" t="s">
        <v>1401</v>
      </c>
      <c r="M6" s="348">
        <f ca="1">INDIRECT("'数据-取费表'!z"&amp;$G$1)</f>
        <v>0</v>
      </c>
    </row>
    <row r="7" spans="1:37" ht="18" customHeight="1">
      <c r="A7" s="1295"/>
      <c r="B7" s="3213"/>
      <c r="C7" s="1297"/>
      <c r="D7" s="352"/>
      <c r="E7" s="1298" t="s">
        <v>1402</v>
      </c>
      <c r="F7" s="348">
        <f ca="1">IF(INDIRECT("'数据-取费表'!ah"&amp;$G$1)="",INDIRECT("'数据-取费表'!k"&amp;$G$1),INDIRECT("'数据-取费表'!ah"&amp;$G$1))</f>
        <v>26688.410000000003</v>
      </c>
      <c r="G7" s="1851"/>
      <c r="H7" s="349"/>
      <c r="I7" s="3213"/>
      <c r="J7" s="351"/>
      <c r="K7" s="352"/>
      <c r="L7" s="347" t="s">
        <v>1402</v>
      </c>
      <c r="M7" s="348">
        <f ca="1">F7</f>
        <v>26688.410000000003</v>
      </c>
    </row>
    <row r="8" spans="1:37" ht="18" customHeight="1">
      <c r="A8" s="349"/>
      <c r="B8" s="3213"/>
      <c r="C8" s="351"/>
      <c r="D8" s="352"/>
      <c r="E8" s="347" t="s">
        <v>1403</v>
      </c>
      <c r="F8" s="348">
        <f ca="1">INDIRECT("'数据-取费表'!ai"&amp;$G$1)</f>
        <v>365</v>
      </c>
      <c r="G8" s="1851"/>
      <c r="H8" s="349"/>
      <c r="I8" s="3213"/>
      <c r="J8" s="351"/>
      <c r="K8" s="352"/>
      <c r="L8" s="347" t="s">
        <v>1403</v>
      </c>
      <c r="M8" s="348">
        <f ca="1">INDIRECT("'数据-取费表'!ai"&amp;$G$1)</f>
        <v>365</v>
      </c>
    </row>
    <row r="9" spans="1:37" ht="18" customHeight="1">
      <c r="A9" s="349"/>
      <c r="B9" s="3214"/>
      <c r="C9" s="351"/>
      <c r="D9" s="352"/>
      <c r="E9" s="347" t="s">
        <v>1404</v>
      </c>
      <c r="F9" s="357">
        <f ca="1">INDIRECT("'数据-取费表'!w"&amp;$G$1)</f>
        <v>0.1</v>
      </c>
      <c r="G9" s="1851"/>
      <c r="H9" s="349"/>
      <c r="I9" s="321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6494</v>
      </c>
      <c r="D13" s="1331" t="s">
        <v>1411</v>
      </c>
      <c r="E13" s="1331" t="s">
        <v>1412</v>
      </c>
      <c r="F13" s="1332">
        <f ca="1">INDIRECT("'数据-取费表'!y"&amp;$G$1)</f>
        <v>0.88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4937</v>
      </c>
      <c r="D14" s="1800" t="s">
        <v>1414</v>
      </c>
      <c r="E14" s="1794"/>
      <c r="F14" s="364"/>
      <c r="G14" s="1851"/>
      <c r="H14" s="1201" t="s">
        <v>1032</v>
      </c>
      <c r="I14" s="347" t="s">
        <v>1415</v>
      </c>
      <c r="J14" s="24">
        <f ca="1">C29</f>
        <v>7379</v>
      </c>
      <c r="K14" s="15"/>
      <c r="L14" s="979"/>
      <c r="M14" s="980"/>
    </row>
    <row r="15" spans="1:37" s="1858" customFormat="1" ht="18" customHeight="1" thickBot="1">
      <c r="A15" s="1201" t="s">
        <v>1033</v>
      </c>
      <c r="B15" s="347" t="s">
        <v>1416</v>
      </c>
      <c r="C15" s="24">
        <f ca="1">ROUND(C14*F15,0)</f>
        <v>247</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266</v>
      </c>
      <c r="K16" s="1337" t="s">
        <v>1421</v>
      </c>
      <c r="L16" s="1338"/>
      <c r="M16" s="1294"/>
    </row>
    <row r="17" spans="1:37" s="1858" customFormat="1" ht="18" customHeight="1">
      <c r="A17" s="1201" t="s">
        <v>1386</v>
      </c>
      <c r="B17" s="347" t="s">
        <v>1422</v>
      </c>
      <c r="C17" s="24">
        <f ca="1">ROUND(F17*(F43+INDIRECT("'数据-取费表'!S"&amp;$G$1))/10000,0)</f>
        <v>534</v>
      </c>
      <c r="D17" s="347" t="s">
        <v>1423</v>
      </c>
      <c r="E17" s="347" t="s">
        <v>1424</v>
      </c>
      <c r="F17" s="26">
        <f>'数据-取费表'!B35</f>
        <v>200</v>
      </c>
      <c r="G17" s="1854"/>
      <c r="H17" s="1201" t="s">
        <v>1032</v>
      </c>
      <c r="I17" s="347" t="s">
        <v>1425</v>
      </c>
      <c r="J17" s="24">
        <f ca="1">ROUND(IF(项目基本情况!B11="自然人",J5*M17,J18+J19+J20),1)</f>
        <v>118.8</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5792</v>
      </c>
      <c r="D19" s="140" t="s">
        <v>1432</v>
      </c>
      <c r="E19" s="1818"/>
      <c r="F19" s="26"/>
      <c r="G19" s="1851"/>
      <c r="H19" s="1201" t="s">
        <v>1033</v>
      </c>
      <c r="I19" s="347" t="s">
        <v>1433</v>
      </c>
      <c r="J19" s="24">
        <f ca="1">IF(K19="按租金收入计税",ROUND(J5*M19,2),ROUND(C29*M19*0.7,2))</f>
        <v>61.98</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145</v>
      </c>
      <c r="D20" s="369" t="s">
        <v>1436</v>
      </c>
      <c r="E20" s="347" t="s">
        <v>1418</v>
      </c>
      <c r="F20" s="367">
        <f>'数据-取费表'!B37</f>
        <v>2.5000000000000001E-2</v>
      </c>
      <c r="G20" s="1854"/>
      <c r="H20" s="1201" t="s">
        <v>1385</v>
      </c>
      <c r="I20" s="164" t="s">
        <v>1437</v>
      </c>
      <c r="J20" s="25">
        <f ca="1">ROUND(M20*M21/10000,2)</f>
        <v>56.83</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142073.1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147.6</v>
      </c>
      <c r="K22" s="1798" t="s">
        <v>1446</v>
      </c>
      <c r="L22" s="347" t="s">
        <v>1418</v>
      </c>
      <c r="M22" s="374">
        <f ca="1">INDIRECT("'数据-取费表'!Ak"&amp;$G$1)</f>
        <v>0.02</v>
      </c>
    </row>
    <row r="23" spans="1:37" s="1858" customFormat="1" ht="18" customHeight="1">
      <c r="A23" s="1201" t="s">
        <v>1031</v>
      </c>
      <c r="B23" s="347" t="s">
        <v>1447</v>
      </c>
      <c r="C23" s="24">
        <f ca="1">IF('数据-取费表'!B22&lt;=1,ROUND(C19*F24*F23/2,0)+ROUND(C20*F24*F23/2,0),ROUND(C19*(POWER((1+F24),F23/2)-1),0)+ROUND(C20*(POWER((1+F24),F23/2)-1),0))</f>
        <v>210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-266</v>
      </c>
      <c r="K25" s="1345" t="s">
        <v>1460</v>
      </c>
      <c r="L25" s="1346"/>
      <c r="M25" s="1347"/>
    </row>
    <row r="26" spans="1:37">
      <c r="A26" s="1201" t="s">
        <v>1031</v>
      </c>
      <c r="B26" s="347" t="s">
        <v>1461</v>
      </c>
      <c r="C26" s="24">
        <f ca="1">ROUND((C19+C20)*F26,0)</f>
        <v>594</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7379</v>
      </c>
      <c r="D29" s="1342"/>
      <c r="E29" s="1340"/>
      <c r="F29" s="1343"/>
      <c r="G29" s="1854"/>
      <c r="H29" s="380" t="s">
        <v>1030</v>
      </c>
      <c r="I29" s="381" t="s">
        <v>1475</v>
      </c>
      <c r="J29" s="382">
        <f ca="1">ROUND(J26/(1+F40)^F41,0)</f>
        <v>0</v>
      </c>
      <c r="K29" s="383" t="s">
        <v>1476</v>
      </c>
      <c r="L29" s="384"/>
      <c r="M29" s="385">
        <f ca="1">INDIRECT("'数据-取费表'!k"&amp;$G$1)</f>
        <v>26688.410000000003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386</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208</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45.94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105.24</v>
      </c>
      <c r="D33" s="1828" t="s">
        <v>3232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56.83</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142073.1</v>
      </c>
      <c r="G35" s="1851"/>
      <c r="H35" s="745"/>
      <c r="I35" s="1860"/>
      <c r="J35" s="1861"/>
      <c r="K35" s="1862"/>
      <c r="L35" s="1859"/>
      <c r="M35" s="1859"/>
    </row>
    <row r="36" spans="1:18" ht="18" customHeight="1">
      <c r="A36" s="1352" t="s">
        <v>1036</v>
      </c>
      <c r="B36" s="347" t="s">
        <v>1445</v>
      </c>
      <c r="C36" s="24">
        <f ca="1">ROUND(C29*F36,1)</f>
        <v>147.6</v>
      </c>
      <c r="D36" s="1798" t="s">
        <v>1478</v>
      </c>
      <c r="E36" s="347" t="s">
        <v>1418</v>
      </c>
      <c r="F36" s="374">
        <f ca="1">INDIRECT("'数据-取费表'!Ak"&amp;$G$1)</f>
        <v>0.02</v>
      </c>
      <c r="G36" s="1851"/>
      <c r="H36" s="1859"/>
      <c r="I36" s="1860"/>
      <c r="J36" s="1861"/>
      <c r="K36" s="751"/>
      <c r="L36" s="1859"/>
      <c r="M36" s="1859"/>
    </row>
    <row r="37" spans="1:18" ht="18" customHeight="1">
      <c r="A37" s="1201" t="s">
        <v>1072</v>
      </c>
      <c r="B37" s="347" t="s">
        <v>1449</v>
      </c>
      <c r="C37" s="24">
        <f ca="1">ROUND(C13*F37,1)</f>
        <v>13</v>
      </c>
      <c r="D37" s="1798" t="s">
        <v>1450</v>
      </c>
      <c r="E37" s="347" t="s">
        <v>1451</v>
      </c>
      <c r="F37" s="376">
        <f ca="1">INDIRECT("'数据-取费表'!Al"&amp;$G$1)</f>
        <v>2E-3</v>
      </c>
      <c r="G37" s="1851"/>
      <c r="H37" s="1859"/>
      <c r="I37" s="1860"/>
      <c r="J37" s="1861"/>
      <c r="K37" s="751"/>
      <c r="L37" s="1859"/>
      <c r="M37" s="1859"/>
    </row>
    <row r="38" spans="1:18" ht="18" customHeight="1" thickBot="1">
      <c r="A38" s="1339" t="s">
        <v>1389</v>
      </c>
      <c r="B38" s="1340" t="s">
        <v>1435</v>
      </c>
      <c r="C38" s="1341">
        <f ca="1">ROUND(C5*F38,1)</f>
        <v>17.5</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491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10843</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43.73</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4063</v>
      </c>
      <c r="D43" s="383" t="s">
        <v>1484</v>
      </c>
      <c r="E43" s="384" t="s">
        <v>1485</v>
      </c>
      <c r="F43" s="385">
        <f ca="1">INDIRECT("'数据-取费表'!k"&amp;$G$1)</f>
        <v>26688.410000000003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-25601</v>
      </c>
      <c r="D46" s="1872" t="str">
        <f>C2</f>
        <v>万元</v>
      </c>
      <c r="E46" s="1866"/>
      <c r="F46" s="1866"/>
      <c r="I46" s="1873" t="s">
        <v>1517</v>
      </c>
      <c r="J46" s="1874"/>
      <c r="K46" s="1875"/>
      <c r="L46" s="1876">
        <f ca="1">IF(M47="住宅",0,IF(L48&gt;J51,L60,J60))</f>
        <v>68</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3233</v>
      </c>
      <c r="K47" s="1882" t="s">
        <v>1523</v>
      </c>
      <c r="L47" s="1883">
        <f ca="1">INDIRECT("'数据-取费表'!d"&amp;$G$1)</f>
        <v>50</v>
      </c>
      <c r="M47" s="1838" t="str">
        <f>IF(ISNUMBER(FIND("住宅",C1)),"住宅","非住宅")</f>
        <v>非住宅</v>
      </c>
      <c r="O47" s="1884" t="s">
        <v>1037</v>
      </c>
      <c r="P47" s="1885" t="s">
        <v>1524</v>
      </c>
      <c r="Q47" s="1886">
        <f ca="1">C40+J29</f>
        <v>10843</v>
      </c>
      <c r="R47" s="1886" t="s">
        <v>1525</v>
      </c>
    </row>
    <row r="48" spans="1:18" s="1842" customFormat="1" ht="28.5" thickBot="1">
      <c r="A48" s="1360" t="s">
        <v>1132</v>
      </c>
      <c r="B48" s="345" t="s">
        <v>1397</v>
      </c>
      <c r="C48" s="1817">
        <f ca="1">C49+C53+C55</f>
        <v>0</v>
      </c>
      <c r="D48" s="1362"/>
      <c r="E48" s="1363"/>
      <c r="F48" s="1181"/>
      <c r="G48" s="792"/>
      <c r="H48" s="793"/>
      <c r="I48" s="1887" t="s">
        <v>1526</v>
      </c>
      <c r="J48" s="1888" t="s">
        <v>3234</v>
      </c>
      <c r="K48" s="1889" t="s">
        <v>1527</v>
      </c>
      <c r="L48" s="1890">
        <f ca="1">INDIRECT("'数据-取费表'!f"&amp;$G$1)</f>
        <v>43.73</v>
      </c>
      <c r="O48" s="1884" t="s">
        <v>1038</v>
      </c>
      <c r="P48" s="1885" t="s">
        <v>1528</v>
      </c>
      <c r="Q48" s="1886">
        <f ca="1">J60</f>
        <v>68</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2014</v>
      </c>
      <c r="K49" s="1889" t="s">
        <v>1531</v>
      </c>
      <c r="L49" s="1893"/>
      <c r="O49" s="1894" t="s">
        <v>1039</v>
      </c>
      <c r="P49" s="1885" t="s">
        <v>1532</v>
      </c>
      <c r="Q49" s="1886">
        <f ca="1">C29</f>
        <v>7379</v>
      </c>
      <c r="R49" s="1886" t="s">
        <v>1525</v>
      </c>
    </row>
    <row r="50" spans="1:18" s="1842" customFormat="1" ht="13.5" thickBot="1">
      <c r="A50" s="1195"/>
      <c r="B50" s="1198"/>
      <c r="C50" s="1368"/>
      <c r="D50" s="1172"/>
      <c r="E50" s="1277" t="s">
        <v>1402</v>
      </c>
      <c r="F50" s="1278">
        <f ca="1">F7</f>
        <v>26688.410000000003</v>
      </c>
      <c r="H50" s="793"/>
      <c r="I50" s="1887" t="s">
        <v>1533</v>
      </c>
      <c r="J50" s="1895">
        <f>SUMPRODUCT((I63:I65=J47)*(J62:L62=J48)*(J63:L65))</f>
        <v>50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45</v>
      </c>
      <c r="K51" s="1900" t="s">
        <v>1537</v>
      </c>
      <c r="L51" s="1901">
        <f ca="1">ROUND(-PV(INDIRECT("'数据-取费表'!h"&amp;$G$1),L48,(C39-C13*C76),0),0)</f>
        <v>-1158</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43.73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43.73</v>
      </c>
      <c r="K53" s="3210" t="s">
        <v>1544</v>
      </c>
      <c r="L53" s="3211"/>
      <c r="O53" s="1884" t="s">
        <v>1043</v>
      </c>
      <c r="P53" s="1885" t="s">
        <v>1545</v>
      </c>
      <c r="Q53" s="1886">
        <f ca="1">Q47+Q48</f>
        <v>10911</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2.5000000000000001E-2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6494</v>
      </c>
      <c r="D56" s="1914"/>
      <c r="E56" s="1915"/>
      <c r="F56" s="1907"/>
      <c r="I56" s="1916" t="s">
        <v>1550</v>
      </c>
      <c r="J56" s="1917" t="s">
        <v>3235</v>
      </c>
      <c r="K56" s="1887" t="s">
        <v>1551</v>
      </c>
      <c r="L56" s="1890" t="str">
        <f ca="1">IF(L48&lt;J51,"——",L48-J53)</f>
        <v>——</v>
      </c>
      <c r="O56" s="1884" t="s">
        <v>1037</v>
      </c>
      <c r="P56" s="1885" t="s">
        <v>1524</v>
      </c>
      <c r="Q56" s="1886">
        <f ca="1">C40+J29</f>
        <v>10843</v>
      </c>
      <c r="R56" s="1886" t="s">
        <v>1525</v>
      </c>
    </row>
    <row r="57" spans="1:18" s="1842" customFormat="1" ht="24.75" thickBot="1">
      <c r="A57" s="1918"/>
      <c r="B57" s="1169" t="s">
        <v>1474</v>
      </c>
      <c r="C57" s="282">
        <f ca="1">C29</f>
        <v>7379</v>
      </c>
      <c r="D57" s="1919"/>
      <c r="E57" s="1920"/>
      <c r="F57" s="1921"/>
      <c r="I57" s="1922" t="s">
        <v>1552</v>
      </c>
      <c r="J57" s="1923">
        <f ca="1">IF(OR(M47="住宅",J51&lt;L48,J56="是"),"——",J51-L48)</f>
        <v>1.2700000000000031</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837</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676.7</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2952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68</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619.84</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56.83</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10843</v>
      </c>
      <c r="R62" s="1886" t="s">
        <v>1044</v>
      </c>
    </row>
    <row r="63" spans="1:18" s="1842" customFormat="1" ht="13.5" thickBot="1">
      <c r="A63" s="372"/>
      <c r="B63" s="1175"/>
      <c r="C63" s="29"/>
      <c r="D63" s="1185"/>
      <c r="E63" s="1169" t="s">
        <v>1495</v>
      </c>
      <c r="F63" s="348">
        <f t="shared" ca="1" si="0"/>
        <v>142073.1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147.6</v>
      </c>
      <c r="D64" s="1183" t="s">
        <v>1498</v>
      </c>
      <c r="E64" s="1169" t="s">
        <v>1490</v>
      </c>
      <c r="F64" s="374">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13</v>
      </c>
      <c r="D65" s="1183" t="s">
        <v>1450</v>
      </c>
      <c r="E65" s="1169" t="s">
        <v>1451</v>
      </c>
      <c r="F65" s="376">
        <f t="shared" ca="1" si="0"/>
        <v>2E-3</v>
      </c>
      <c r="I65" s="1929" t="s">
        <v>1575</v>
      </c>
      <c r="J65" s="1930">
        <v>40</v>
      </c>
      <c r="K65" s="1930">
        <v>30</v>
      </c>
      <c r="L65" s="1930">
        <v>50</v>
      </c>
      <c r="M65" s="1932">
        <v>0.02</v>
      </c>
      <c r="O65" s="1884" t="s">
        <v>1037</v>
      </c>
      <c r="P65" s="1885" t="s">
        <v>1576</v>
      </c>
      <c r="Q65" s="1886">
        <f ca="1">C40+J29</f>
        <v>10843</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-837</v>
      </c>
      <c r="D67" s="1182" t="s">
        <v>1460</v>
      </c>
      <c r="E67" s="1187"/>
      <c r="F67" s="1188"/>
      <c r="O67" s="1894" t="s">
        <v>1039</v>
      </c>
      <c r="P67" s="1885" t="s">
        <v>1558</v>
      </c>
      <c r="Q67" s="1933">
        <f ca="1">L51</f>
        <v>-1158</v>
      </c>
      <c r="R67" s="1886" t="s">
        <v>1578</v>
      </c>
    </row>
    <row r="68" spans="1:18" s="1842" customFormat="1" ht="16.5" thickBot="1">
      <c r="A68" s="1166" t="s">
        <v>1029</v>
      </c>
      <c r="B68" s="1167" t="s">
        <v>1481</v>
      </c>
      <c r="C68" s="346">
        <f ca="1">ROUND(C67*(1-((1+F70)/(1+F68))^F69)/(F68-F70),0)</f>
        <v>-14758</v>
      </c>
      <c r="D68" s="1184" t="s">
        <v>1465</v>
      </c>
      <c r="E68" s="1169" t="s">
        <v>1466</v>
      </c>
      <c r="F68" s="357">
        <f ca="1">F40</f>
        <v>0.05</v>
      </c>
      <c r="O68" s="1894" t="s">
        <v>1040</v>
      </c>
      <c r="P68" s="1934" t="s">
        <v>1579</v>
      </c>
      <c r="Q68" s="1886">
        <f ca="1">ROUND(Q69-Q70*Q71,0)</f>
        <v>-61</v>
      </c>
      <c r="R68" s="1886" t="s">
        <v>1048</v>
      </c>
    </row>
    <row r="69" spans="1:18" s="1842" customFormat="1" ht="13.5" thickBot="1">
      <c r="A69" s="1170"/>
      <c r="B69" s="1171"/>
      <c r="C69" s="351"/>
      <c r="D69" s="1189" t="s">
        <v>1469</v>
      </c>
      <c r="E69" s="1169" t="s">
        <v>1470</v>
      </c>
      <c r="F69" s="379">
        <f ca="1">F41</f>
        <v>43.73</v>
      </c>
      <c r="O69" s="1894" t="s">
        <v>1045</v>
      </c>
      <c r="P69" s="1934" t="s">
        <v>1580</v>
      </c>
      <c r="Q69" s="1886">
        <f ca="1">C39</f>
        <v>491</v>
      </c>
      <c r="R69" s="1886" t="s">
        <v>1525</v>
      </c>
    </row>
    <row r="70" spans="1:18" s="1842" customFormat="1" ht="13.5" thickBot="1">
      <c r="A70" s="1173"/>
      <c r="B70" s="1174"/>
      <c r="C70" s="355"/>
      <c r="D70" s="1185"/>
      <c r="E70" s="1169" t="s">
        <v>1473</v>
      </c>
      <c r="F70" s="1275"/>
      <c r="O70" s="1894" t="s">
        <v>1046</v>
      </c>
      <c r="P70" s="1934" t="s">
        <v>1581</v>
      </c>
      <c r="Q70" s="1886">
        <f ca="1">C13</f>
        <v>6494</v>
      </c>
      <c r="R70" s="1886" t="s">
        <v>1525</v>
      </c>
    </row>
    <row r="71" spans="1:18" s="1842" customFormat="1" ht="13.5" thickBot="1">
      <c r="A71" s="1190" t="s">
        <v>1030</v>
      </c>
      <c r="B71" s="1191" t="s">
        <v>1483</v>
      </c>
      <c r="C71" s="382">
        <f ca="1">ROUND(C68*10000/F71,0)</f>
        <v>-5530</v>
      </c>
      <c r="D71" s="1192" t="s">
        <v>1484</v>
      </c>
      <c r="E71" s="1193" t="s">
        <v>1485</v>
      </c>
      <c r="F71" s="385">
        <f ca="1">F43</f>
        <v>26688.410000000003</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552</v>
      </c>
      <c r="D75" s="1842"/>
      <c r="E75" s="1842"/>
      <c r="F75" s="1842"/>
      <c r="K75" s="1868"/>
      <c r="L75" s="1842"/>
      <c r="O75" s="1884" t="s">
        <v>1043</v>
      </c>
      <c r="P75" s="1885" t="s">
        <v>1545</v>
      </c>
      <c r="Q75" s="1886">
        <f ca="1">Q65+Q66</f>
        <v>10843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-0.12400000000000011</v>
      </c>
    </row>
    <row r="80" spans="1:18">
      <c r="B80" s="386" t="s">
        <v>1507</v>
      </c>
      <c r="C80" s="318">
        <f ca="1">ROUND(C75/C39,3)</f>
        <v>1.1240000000000001</v>
      </c>
    </row>
    <row r="81" spans="2:3">
      <c r="B81" s="314" t="s">
        <v>1508</v>
      </c>
      <c r="C81" s="282"/>
    </row>
    <row r="82" spans="2:3">
      <c r="B82" s="317" t="s">
        <v>1509</v>
      </c>
      <c r="C82" s="319">
        <f ca="1">1-C83</f>
        <v>0.40100000000000002</v>
      </c>
    </row>
    <row r="83" spans="2:3">
      <c r="B83" s="317" t="s">
        <v>1510</v>
      </c>
      <c r="C83" s="318">
        <f ca="1">ROUND(C13/C40,3)</f>
        <v>0.59899999999999998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12" t="s">
        <v>1399</v>
      </c>
      <c r="C6" s="1296">
        <f ca="1">ROUND(F6*F8*F7*(1-F9),0)</f>
        <v>0</v>
      </c>
      <c r="D6" s="164" t="s">
        <v>3028</v>
      </c>
      <c r="E6" s="347" t="s">
        <v>1401</v>
      </c>
      <c r="F6" s="348">
        <f ca="1">INDIRECT("'数据-取费表'!u"&amp;$G$1)</f>
        <v>0</v>
      </c>
      <c r="G6" s="1851"/>
      <c r="H6" s="1291" t="s">
        <v>1032</v>
      </c>
      <c r="I6" s="3212" t="s">
        <v>1399</v>
      </c>
      <c r="J6" s="346">
        <f ca="1">ROUND(M6*M8*M7*(1-M9),0)</f>
        <v>0</v>
      </c>
      <c r="K6" s="1834" t="s">
        <v>3029</v>
      </c>
      <c r="L6" s="347" t="s">
        <v>1401</v>
      </c>
      <c r="M6" s="348">
        <f ca="1">INDIRECT("'数据-取费表'!z"&amp;$G$1)</f>
        <v>0</v>
      </c>
    </row>
    <row r="7" spans="1:37" ht="18" customHeight="1">
      <c r="A7" s="1295"/>
      <c r="B7" s="3213"/>
      <c r="C7" s="1297"/>
      <c r="D7" s="352"/>
      <c r="E7" s="1298" t="s">
        <v>1402</v>
      </c>
      <c r="F7" s="348">
        <f ca="1">IF(INDIRECT("'数据-取费表'!ah"&amp;$G$1)="",INDIRECT("'数据-取费表'!k"&amp;$G$1),INDIRECT("'数据-取费表'!ah"&amp;$G$1))</f>
        <v>0</v>
      </c>
      <c r="G7" s="1851"/>
      <c r="H7" s="349"/>
      <c r="I7" s="3213"/>
      <c r="J7" s="351"/>
      <c r="K7" s="352"/>
      <c r="L7" s="347" t="s">
        <v>1402</v>
      </c>
      <c r="M7" s="348">
        <f ca="1">F7</f>
        <v>0</v>
      </c>
    </row>
    <row r="8" spans="1:37" ht="18" customHeight="1">
      <c r="A8" s="349"/>
      <c r="B8" s="3213"/>
      <c r="C8" s="351"/>
      <c r="D8" s="352"/>
      <c r="E8" s="347" t="s">
        <v>1403</v>
      </c>
      <c r="F8" s="348">
        <f ca="1">INDIRECT("'数据-取费表'!ai"&amp;$G$1)</f>
        <v>0</v>
      </c>
      <c r="G8" s="1851"/>
      <c r="H8" s="349"/>
      <c r="I8" s="3213"/>
      <c r="J8" s="351"/>
      <c r="K8" s="352"/>
      <c r="L8" s="347" t="s">
        <v>1403</v>
      </c>
      <c r="M8" s="348">
        <f ca="1">INDIRECT("'数据-取费表'!ai"&amp;$G$1)</f>
        <v>0</v>
      </c>
    </row>
    <row r="9" spans="1:37" ht="18" customHeight="1">
      <c r="A9" s="349"/>
      <c r="B9" s="3214"/>
      <c r="C9" s="351"/>
      <c r="D9" s="352"/>
      <c r="E9" s="347" t="s">
        <v>1404</v>
      </c>
      <c r="F9" s="357">
        <f ca="1">INDIRECT("'数据-取费表'!w"&amp;$G$1)</f>
        <v>0</v>
      </c>
      <c r="G9" s="1851"/>
      <c r="H9" s="349"/>
      <c r="I9" s="321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10" t="s">
        <v>1544</v>
      </c>
      <c r="L53" s="321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2525</v>
      </c>
      <c r="B1" s="2561"/>
      <c r="C1" s="2561"/>
      <c r="D1" s="2561"/>
      <c r="E1" s="2562"/>
    </row>
    <row r="2" spans="1:6" ht="15.75">
      <c r="A2" s="2563" t="s">
        <v>2326</v>
      </c>
      <c r="B2" s="2564">
        <f ca="1">SUMIF(B6:B13,"&lt;&gt;#ref!",B6:B13)</f>
        <v>10911</v>
      </c>
      <c r="C2" s="2565" t="s">
        <v>2518</v>
      </c>
      <c r="D2" s="2566" t="s">
        <v>2519</v>
      </c>
      <c r="E2" s="2567">
        <f>SUM(E6:E13)</f>
        <v>26688.410000000003</v>
      </c>
    </row>
    <row r="3" spans="1:6" ht="15.75">
      <c r="A3" s="2563" t="s">
        <v>1391</v>
      </c>
      <c r="B3" s="2564">
        <f ca="1">ROUND(B2*10000/E2,0)</f>
        <v>4088</v>
      </c>
      <c r="C3" s="2565" t="s">
        <v>2526</v>
      </c>
      <c r="D3" s="2568"/>
      <c r="E3" s="2569"/>
    </row>
    <row r="4" spans="1:6" ht="15.75">
      <c r="A4" s="2570"/>
      <c r="B4" s="2568"/>
      <c r="C4" s="2568"/>
      <c r="D4" s="2568"/>
      <c r="E4" s="2569"/>
    </row>
    <row r="5" spans="1:6" ht="15">
      <c r="A5" s="2571" t="s">
        <v>2520</v>
      </c>
      <c r="B5" s="3215" t="s">
        <v>2521</v>
      </c>
      <c r="C5" s="3215"/>
      <c r="D5" s="2572"/>
      <c r="E5" s="2573" t="s">
        <v>2522</v>
      </c>
      <c r="F5" s="2574" t="s">
        <v>2523</v>
      </c>
    </row>
    <row r="6" spans="1:6">
      <c r="A6" s="2575" t="str">
        <f>'数据-取费表'!AN6</f>
        <v>收益法</v>
      </c>
      <c r="B6" s="2574">
        <f ca="1">IF(F6="是",'数据-取费表'!AO6,0)</f>
        <v>10911</v>
      </c>
      <c r="C6" s="2565" t="s">
        <v>2518</v>
      </c>
      <c r="D6" s="2568"/>
      <c r="E6" s="2576">
        <f>IF(OR(A6=0,F6="否"),0,'数据-取费表'!K6+'数据-取费表'!S6)</f>
        <v>26688.410000000003</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16" t="s">
        <v>1073</v>
      </c>
      <c r="B1" s="3217"/>
      <c r="C1" s="3218"/>
      <c r="D1" s="3219">
        <f>SUM(I10,I15,I20,I21,I23)</f>
        <v>0</v>
      </c>
      <c r="E1" s="3219"/>
      <c r="F1" s="3219"/>
      <c r="G1" s="3219"/>
      <c r="H1" s="3219"/>
      <c r="I1" s="3220"/>
    </row>
    <row r="2" spans="1:9">
      <c r="A2" s="3221" t="s">
        <v>1074</v>
      </c>
      <c r="B2" s="3222" t="s">
        <v>1075</v>
      </c>
      <c r="C2" s="3222"/>
      <c r="D2" s="1301" t="s">
        <v>1076</v>
      </c>
      <c r="E2" s="1301" t="s">
        <v>1077</v>
      </c>
      <c r="F2" s="1301" t="s">
        <v>1078</v>
      </c>
      <c r="G2" s="1301" t="s">
        <v>1079</v>
      </c>
      <c r="H2" s="1301" t="s">
        <v>1080</v>
      </c>
      <c r="I2" s="1302" t="s">
        <v>1081</v>
      </c>
    </row>
    <row r="3" spans="1:9">
      <c r="A3" s="3221"/>
      <c r="B3" s="3222" t="s">
        <v>1082</v>
      </c>
      <c r="C3" s="3222"/>
      <c r="D3" s="1303"/>
      <c r="E3" s="1301"/>
      <c r="F3" s="1304"/>
      <c r="G3" s="1304"/>
      <c r="H3" s="1305"/>
      <c r="I3" s="1306">
        <f>ROUND(D3*E3*F3*G3*H3/10000,0)</f>
        <v>0</v>
      </c>
    </row>
    <row r="4" spans="1:9">
      <c r="A4" s="3221"/>
      <c r="B4" s="3222" t="s">
        <v>1083</v>
      </c>
      <c r="C4" s="3222"/>
      <c r="D4" s="1303"/>
      <c r="E4" s="1301"/>
      <c r="F4" s="1304"/>
      <c r="G4" s="1304"/>
      <c r="H4" s="1305"/>
      <c r="I4" s="1306">
        <f t="shared" ref="I4:I9" si="0">ROUND(D4*E4*F4*G4*H4/10000,0)</f>
        <v>0</v>
      </c>
    </row>
    <row r="5" spans="1:9">
      <c r="A5" s="3221"/>
      <c r="B5" s="3222" t="s">
        <v>1084</v>
      </c>
      <c r="C5" s="3222"/>
      <c r="D5" s="1303"/>
      <c r="E5" s="1301"/>
      <c r="F5" s="1304"/>
      <c r="G5" s="1304"/>
      <c r="H5" s="1305"/>
      <c r="I5" s="1306">
        <f t="shared" si="0"/>
        <v>0</v>
      </c>
    </row>
    <row r="6" spans="1:9">
      <c r="A6" s="3221"/>
      <c r="B6" s="3222" t="s">
        <v>1085</v>
      </c>
      <c r="C6" s="3222"/>
      <c r="D6" s="1303"/>
      <c r="E6" s="1301"/>
      <c r="F6" s="1304"/>
      <c r="G6" s="1304"/>
      <c r="H6" s="1305"/>
      <c r="I6" s="1306">
        <f t="shared" si="0"/>
        <v>0</v>
      </c>
    </row>
    <row r="7" spans="1:9">
      <c r="A7" s="3221"/>
      <c r="B7" s="3222" t="s">
        <v>1086</v>
      </c>
      <c r="C7" s="3222"/>
      <c r="D7" s="1303"/>
      <c r="E7" s="1301"/>
      <c r="F7" s="1304"/>
      <c r="G7" s="1304"/>
      <c r="H7" s="1305"/>
      <c r="I7" s="1306">
        <f t="shared" si="0"/>
        <v>0</v>
      </c>
    </row>
    <row r="8" spans="1:9">
      <c r="A8" s="3221"/>
      <c r="B8" s="3222" t="s">
        <v>1087</v>
      </c>
      <c r="C8" s="3222"/>
      <c r="D8" s="1303"/>
      <c r="E8" s="1301"/>
      <c r="F8" s="1304"/>
      <c r="G8" s="1304"/>
      <c r="H8" s="1305"/>
      <c r="I8" s="1306">
        <f t="shared" si="0"/>
        <v>0</v>
      </c>
    </row>
    <row r="9" spans="1:9">
      <c r="A9" s="3221"/>
      <c r="B9" s="3222" t="s">
        <v>1088</v>
      </c>
      <c r="C9" s="3222"/>
      <c r="D9" s="1303"/>
      <c r="E9" s="1301"/>
      <c r="F9" s="1304"/>
      <c r="G9" s="1304"/>
      <c r="H9" s="1305"/>
      <c r="I9" s="1306">
        <f t="shared" si="0"/>
        <v>0</v>
      </c>
    </row>
    <row r="10" spans="1:9">
      <c r="A10" s="3221"/>
      <c r="B10" s="3223" t="s">
        <v>1089</v>
      </c>
      <c r="C10" s="3223"/>
      <c r="D10" s="1307"/>
      <c r="E10" s="1307" t="e">
        <f>ROUND(D1*10000/D10/H9,0)</f>
        <v>#DIV/0!</v>
      </c>
      <c r="F10" s="1308"/>
      <c r="G10" s="1308"/>
      <c r="H10" s="1309"/>
      <c r="I10" s="1310">
        <f>SUM(I3:I9)</f>
        <v>0</v>
      </c>
    </row>
    <row r="11" spans="1:9" ht="14.25">
      <c r="A11" s="3221" t="s">
        <v>1090</v>
      </c>
      <c r="B11" s="3222" t="s">
        <v>1091</v>
      </c>
      <c r="C11" s="3222"/>
      <c r="D11" s="1303" t="s">
        <v>1092</v>
      </c>
      <c r="E11" s="1303" t="s">
        <v>1093</v>
      </c>
      <c r="F11" s="1304" t="s">
        <v>1094</v>
      </c>
      <c r="G11" s="1304" t="s">
        <v>1080</v>
      </c>
      <c r="H11" s="1311" t="s">
        <v>1095</v>
      </c>
      <c r="I11" s="1302" t="s">
        <v>1081</v>
      </c>
    </row>
    <row r="12" spans="1:9">
      <c r="A12" s="3221"/>
      <c r="B12" s="3222" t="s">
        <v>1096</v>
      </c>
      <c r="C12" s="3222"/>
      <c r="D12" s="1303"/>
      <c r="E12" s="1303"/>
      <c r="F12" s="1304"/>
      <c r="G12" s="1305"/>
      <c r="H12" s="1312"/>
      <c r="I12" s="1302">
        <f>ROUND(D12*E12*F12*G12/10000,0)</f>
        <v>0</v>
      </c>
    </row>
    <row r="13" spans="1:9">
      <c r="A13" s="3221"/>
      <c r="B13" s="3222" t="s">
        <v>1097</v>
      </c>
      <c r="C13" s="3222"/>
      <c r="D13" s="1303"/>
      <c r="E13" s="1303"/>
      <c r="F13" s="1304"/>
      <c r="G13" s="1305"/>
      <c r="H13" s="1312"/>
      <c r="I13" s="1302">
        <f>ROUND(D13*E13*F13*G13/10000,0)</f>
        <v>0</v>
      </c>
    </row>
    <row r="14" spans="1:9">
      <c r="A14" s="3221"/>
      <c r="B14" s="3222" t="s">
        <v>1098</v>
      </c>
      <c r="C14" s="3222"/>
      <c r="D14" s="1303"/>
      <c r="E14" s="1303"/>
      <c r="F14" s="1304"/>
      <c r="G14" s="1305"/>
      <c r="H14" s="1312"/>
      <c r="I14" s="1302">
        <f>ROUND(D14*E14*F14*G14/10000,0)</f>
        <v>0</v>
      </c>
    </row>
    <row r="15" spans="1:9">
      <c r="A15" s="3221"/>
      <c r="B15" s="3223" t="s">
        <v>1089</v>
      </c>
      <c r="C15" s="3223"/>
      <c r="D15" s="1307"/>
      <c r="E15" s="1307">
        <f>SUM(E12:E14)</f>
        <v>0</v>
      </c>
      <c r="F15" s="1308"/>
      <c r="G15" s="1305"/>
      <c r="H15" s="1312"/>
      <c r="I15" s="1313">
        <f>SUM(I12:I14)</f>
        <v>0</v>
      </c>
    </row>
    <row r="16" spans="1:9" ht="24">
      <c r="A16" s="3221" t="s">
        <v>1099</v>
      </c>
      <c r="B16" s="3222" t="s">
        <v>1100</v>
      </c>
      <c r="C16" s="3222"/>
      <c r="D16" s="1303" t="s">
        <v>1076</v>
      </c>
      <c r="E16" s="1314" t="s">
        <v>1101</v>
      </c>
      <c r="F16" s="1304" t="s">
        <v>1102</v>
      </c>
      <c r="G16" s="1305" t="s">
        <v>1080</v>
      </c>
      <c r="H16" s="1311" t="s">
        <v>1095</v>
      </c>
      <c r="I16" s="1302" t="s">
        <v>1081</v>
      </c>
    </row>
    <row r="17" spans="1:9" ht="14.25">
      <c r="A17" s="3221"/>
      <c r="B17" s="3222" t="s">
        <v>1103</v>
      </c>
      <c r="C17" s="3222"/>
      <c r="D17" s="1303"/>
      <c r="E17" s="1303"/>
      <c r="F17" s="1304"/>
      <c r="G17" s="1305"/>
      <c r="H17" s="1315"/>
      <c r="I17" s="1316">
        <f>ROUND(D17*E17*F17*G17/10000,0)</f>
        <v>0</v>
      </c>
    </row>
    <row r="18" spans="1:9" ht="14.25">
      <c r="A18" s="3221"/>
      <c r="B18" s="3222" t="s">
        <v>1104</v>
      </c>
      <c r="C18" s="3222"/>
      <c r="D18" s="1303"/>
      <c r="E18" s="1303"/>
      <c r="F18" s="1304"/>
      <c r="G18" s="1305"/>
      <c r="H18" s="1315"/>
      <c r="I18" s="1316">
        <f>ROUND(D18*E18*F18*G18/10000,0)</f>
        <v>0</v>
      </c>
    </row>
    <row r="19" spans="1:9" ht="14.25">
      <c r="A19" s="3221"/>
      <c r="B19" s="3222" t="s">
        <v>1105</v>
      </c>
      <c r="C19" s="3222"/>
      <c r="D19" s="1303"/>
      <c r="E19" s="1303"/>
      <c r="F19" s="1304"/>
      <c r="G19" s="1305"/>
      <c r="H19" s="1315"/>
      <c r="I19" s="1316">
        <f>ROUND(D19*E19*F19*G19/10000,0)</f>
        <v>0</v>
      </c>
    </row>
    <row r="20" spans="1:9">
      <c r="A20" s="3221"/>
      <c r="B20" s="3223" t="s">
        <v>1089</v>
      </c>
      <c r="C20" s="3223"/>
      <c r="D20" s="1307">
        <f>SUM(D17:D19)</f>
        <v>0</v>
      </c>
      <c r="E20" s="1307"/>
      <c r="F20" s="1308"/>
      <c r="G20" s="1305"/>
      <c r="H20" s="1312"/>
      <c r="I20" s="1313">
        <f>SUM(I17:I19)</f>
        <v>0</v>
      </c>
    </row>
    <row r="21" spans="1:9">
      <c r="A21" s="3221" t="s">
        <v>1106</v>
      </c>
      <c r="B21" s="3225"/>
      <c r="C21" s="3225"/>
      <c r="D21" s="3225"/>
      <c r="E21" s="3225"/>
      <c r="F21" s="3225"/>
      <c r="G21" s="3225"/>
      <c r="H21" s="1765">
        <v>0.1</v>
      </c>
      <c r="I21" s="1310">
        <f>ROUND(I10*H21,0)</f>
        <v>0</v>
      </c>
    </row>
    <row r="22" spans="1:9" ht="14.25">
      <c r="A22" s="3226" t="s">
        <v>1107</v>
      </c>
      <c r="B22" s="3227"/>
      <c r="C22" s="3228"/>
      <c r="D22" s="1317" t="s">
        <v>1108</v>
      </c>
      <c r="E22" s="1317" t="s">
        <v>1109</v>
      </c>
      <c r="F22" s="1318" t="s">
        <v>1110</v>
      </c>
      <c r="G22" s="1318" t="s">
        <v>1111</v>
      </c>
      <c r="H22" s="1311" t="s">
        <v>1112</v>
      </c>
      <c r="I22" s="1302" t="s">
        <v>1113</v>
      </c>
    </row>
    <row r="23" spans="1:9" ht="14.25" thickBot="1">
      <c r="A23" s="3229"/>
      <c r="B23" s="3230"/>
      <c r="C23" s="3231"/>
      <c r="D23" s="1319"/>
      <c r="E23" s="1319"/>
      <c r="F23" s="1319"/>
      <c r="G23" s="1320"/>
      <c r="H23" s="1321"/>
      <c r="I23" s="1322">
        <f>ROUND(E23*D23*F23*(1-G23)/10000,0)</f>
        <v>0</v>
      </c>
    </row>
    <row r="26" spans="1:9">
      <c r="A26" s="1323" t="s">
        <v>1114</v>
      </c>
      <c r="B26" s="1323"/>
      <c r="C26" s="1323"/>
      <c r="D26" s="1323"/>
      <c r="E26" s="3232">
        <f>C27-C30-C31-C32</f>
        <v>0</v>
      </c>
      <c r="F26" s="3232"/>
      <c r="G26" s="3232"/>
      <c r="H26" s="1737" t="s">
        <v>1336</v>
      </c>
    </row>
    <row r="27" spans="1:9">
      <c r="A27" s="1324">
        <v>1</v>
      </c>
      <c r="B27" s="1325" t="s">
        <v>1115</v>
      </c>
      <c r="C27" s="1325">
        <f>C28+C29</f>
        <v>0</v>
      </c>
      <c r="D27" s="1325"/>
      <c r="E27" s="3233"/>
      <c r="F27" s="3233"/>
      <c r="G27" s="3233"/>
    </row>
    <row r="28" spans="1:9">
      <c r="A28" s="1326" t="s">
        <v>1116</v>
      </c>
      <c r="B28" s="1325" t="s">
        <v>1117</v>
      </c>
      <c r="C28" s="1325"/>
      <c r="D28" s="1325"/>
      <c r="E28" s="3233"/>
      <c r="F28" s="3233"/>
      <c r="G28" s="323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4"/>
      <c r="F32" s="3224"/>
      <c r="G32" s="3224"/>
    </row>
    <row r="33" spans="1:7" hidden="1">
      <c r="A33" s="3234" t="s">
        <v>1126</v>
      </c>
      <c r="B33" s="3235"/>
      <c r="C33" s="3235"/>
      <c r="D33" s="3236"/>
      <c r="E33" s="3232"/>
      <c r="F33" s="3232"/>
      <c r="G33" s="3232"/>
    </row>
    <row r="34" spans="1:7" hidden="1">
      <c r="A34" s="1328">
        <v>1</v>
      </c>
      <c r="B34" s="1325" t="s">
        <v>1127</v>
      </c>
      <c r="C34" s="1325"/>
      <c r="D34" s="1325"/>
      <c r="E34" s="3233"/>
      <c r="F34" s="3233"/>
      <c r="G34" s="3233"/>
    </row>
    <row r="35" spans="1:7" hidden="1">
      <c r="A35" s="1328">
        <v>2</v>
      </c>
      <c r="B35" s="1325" t="s">
        <v>1128</v>
      </c>
      <c r="C35" s="1325"/>
      <c r="D35" s="1325"/>
      <c r="E35" s="3233"/>
      <c r="F35" s="3233"/>
      <c r="G35" s="3233"/>
    </row>
    <row r="36" spans="1:7" hidden="1">
      <c r="A36" s="1328">
        <v>3</v>
      </c>
      <c r="B36" s="1325" t="s">
        <v>1129</v>
      </c>
      <c r="C36" s="1325"/>
      <c r="D36" s="1325"/>
      <c r="E36" s="3233"/>
      <c r="F36" s="3233"/>
      <c r="G36" s="3233"/>
    </row>
    <row r="37" spans="1:7" hidden="1">
      <c r="A37" s="1328">
        <v>4</v>
      </c>
      <c r="B37" s="1325" t="s">
        <v>1130</v>
      </c>
      <c r="C37" s="1325"/>
      <c r="D37" s="1325"/>
      <c r="E37" s="3233"/>
      <c r="F37" s="3233"/>
      <c r="G37" s="3233"/>
    </row>
    <row r="38" spans="1:7" hidden="1">
      <c r="A38" s="3234" t="s">
        <v>1131</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2528</v>
      </c>
      <c r="C1" s="1634" t="s">
        <v>2529</v>
      </c>
      <c r="D1" s="1621"/>
      <c r="E1" s="2582"/>
      <c r="F1" s="2583" t="s">
        <v>2530</v>
      </c>
      <c r="G1" s="1631" t="s">
        <v>2531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2533</v>
      </c>
      <c r="D3" s="399">
        <f>IF(D1="",'数据-汇总表'!E3,SUMIF('数据-汇总表'!$C19:$C33,D1,'数据-汇总表'!$E19:$E33))</f>
        <v>26688.410000000003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2534</v>
      </c>
      <c r="B4" s="402"/>
      <c r="C4" s="3180" t="s">
        <v>2535</v>
      </c>
      <c r="D4" s="3181"/>
      <c r="E4" s="3182" t="s">
        <v>2536</v>
      </c>
      <c r="F4" s="3183"/>
      <c r="G4" s="3180" t="s">
        <v>2537</v>
      </c>
      <c r="H4" s="3181"/>
      <c r="I4" s="3180" t="s">
        <v>2538</v>
      </c>
      <c r="J4" s="3181"/>
      <c r="K4" s="2595" t="s">
        <v>2539</v>
      </c>
      <c r="L4" s="1130"/>
      <c r="M4" s="1131"/>
      <c r="N4" s="1131"/>
      <c r="O4" s="1131"/>
      <c r="P4" s="3184" t="s">
        <v>2540</v>
      </c>
      <c r="Q4" s="3185"/>
      <c r="R4" s="3197" t="s">
        <v>2536</v>
      </c>
      <c r="S4" s="3198"/>
      <c r="T4" s="3197" t="s">
        <v>2537</v>
      </c>
      <c r="U4" s="3198"/>
      <c r="V4" s="3172" t="s">
        <v>2538</v>
      </c>
      <c r="W4" s="3172"/>
      <c r="X4" s="1813"/>
      <c r="Y4" s="3197" t="s">
        <v>2540</v>
      </c>
      <c r="Z4" s="3198"/>
      <c r="AA4" s="3177" t="s">
        <v>2536</v>
      </c>
      <c r="AB4" s="3177" t="s">
        <v>2537</v>
      </c>
      <c r="AC4" s="3177" t="s">
        <v>2538</v>
      </c>
    </row>
    <row r="5" spans="1:29" ht="15">
      <c r="A5" s="404"/>
      <c r="B5" s="405"/>
      <c r="C5" s="3201" t="s">
        <v>2541</v>
      </c>
      <c r="D5" s="3202"/>
      <c r="E5" s="3190" t="s">
        <v>2542</v>
      </c>
      <c r="F5" s="3191"/>
      <c r="G5" s="3201" t="s">
        <v>2543</v>
      </c>
      <c r="H5" s="3202"/>
      <c r="I5" s="3201" t="s">
        <v>2544</v>
      </c>
      <c r="J5" s="3202"/>
      <c r="K5" s="2596"/>
      <c r="L5" s="1130"/>
      <c r="M5" s="1131"/>
      <c r="N5" s="1131"/>
      <c r="O5" s="1131"/>
      <c r="P5" s="3186"/>
      <c r="Q5" s="3187"/>
      <c r="R5" s="3199"/>
      <c r="S5" s="3200"/>
      <c r="T5" s="3199"/>
      <c r="U5" s="3200"/>
      <c r="V5" s="3172"/>
      <c r="W5" s="3172"/>
      <c r="X5" s="1813"/>
      <c r="Y5" s="3199"/>
      <c r="Z5" s="3200"/>
      <c r="AA5" s="3178"/>
      <c r="AB5" s="3178"/>
      <c r="AC5" s="3178"/>
    </row>
    <row r="6" spans="1:29" ht="15.75" thickBot="1">
      <c r="A6" s="406"/>
      <c r="B6" s="407"/>
      <c r="C6" s="3237" t="s">
        <v>2545</v>
      </c>
      <c r="D6" s="3238"/>
      <c r="E6" s="3239" t="s">
        <v>2545</v>
      </c>
      <c r="F6" s="3240"/>
      <c r="G6" s="3237" t="s">
        <v>2545</v>
      </c>
      <c r="H6" s="3238"/>
      <c r="I6" s="3237" t="s">
        <v>2545</v>
      </c>
      <c r="J6" s="3238"/>
      <c r="K6" s="2596" t="s">
        <v>2546</v>
      </c>
      <c r="L6" s="1130"/>
      <c r="M6" s="1131"/>
      <c r="N6" s="1131"/>
      <c r="O6" s="1131"/>
      <c r="P6" s="3188"/>
      <c r="Q6" s="3189"/>
      <c r="R6" s="3199"/>
      <c r="S6" s="3200"/>
      <c r="T6" s="3208"/>
      <c r="U6" s="3209"/>
      <c r="V6" s="3172"/>
      <c r="W6" s="3172"/>
      <c r="X6" s="1813"/>
      <c r="Y6" s="3208"/>
      <c r="Z6" s="3209"/>
      <c r="AA6" s="3179"/>
      <c r="AB6" s="3179"/>
      <c r="AC6" s="3179"/>
    </row>
    <row r="7" spans="1:29" s="117" customFormat="1" ht="15.75" thickBot="1">
      <c r="A7" s="408" t="s">
        <v>2547</v>
      </c>
      <c r="B7" s="409"/>
      <c r="C7" s="410">
        <f>'数据-取费表'!B2</f>
        <v>43595</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92" t="s">
        <v>2548</v>
      </c>
      <c r="Q7" s="3205"/>
      <c r="R7" s="770" t="s">
        <v>23</v>
      </c>
      <c r="S7" s="771">
        <f t="shared" ref="S7:S15" si="0">F7</f>
        <v>0</v>
      </c>
      <c r="T7" s="770" t="s">
        <v>23</v>
      </c>
      <c r="U7" s="771">
        <f t="shared" ref="U7:U15" si="1">H7</f>
        <v>0</v>
      </c>
      <c r="V7" s="770" t="s">
        <v>23</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2550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92" t="s">
        <v>2551</v>
      </c>
      <c r="Q8" s="3193"/>
      <c r="R8" s="770" t="s">
        <v>23</v>
      </c>
      <c r="S8" s="771">
        <f t="shared" si="0"/>
        <v>0</v>
      </c>
      <c r="T8" s="770" t="s">
        <v>23</v>
      </c>
      <c r="U8" s="771">
        <f t="shared" si="1"/>
        <v>0</v>
      </c>
      <c r="V8" s="770" t="s">
        <v>23</v>
      </c>
      <c r="W8" s="771">
        <f t="shared" si="2"/>
        <v>0</v>
      </c>
      <c r="X8" s="772"/>
      <c r="Y8" s="3192" t="s">
        <v>2551</v>
      </c>
      <c r="Z8" s="319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5"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2558</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7" t="s">
        <v>2559</v>
      </c>
      <c r="Q15" s="1810" t="str">
        <f t="shared" si="6"/>
        <v>居住社区成熟度</v>
      </c>
      <c r="R15" s="774" t="s">
        <v>21</v>
      </c>
      <c r="S15" s="775">
        <f t="shared" si="0"/>
        <v>100</v>
      </c>
      <c r="T15" s="774" t="s">
        <v>21</v>
      </c>
      <c r="U15" s="775">
        <f t="shared" si="1"/>
        <v>100</v>
      </c>
      <c r="V15" s="774" t="s">
        <v>21</v>
      </c>
      <c r="W15" s="775">
        <f t="shared" si="2"/>
        <v>100</v>
      </c>
      <c r="X15" s="1813"/>
      <c r="Y15" s="3173"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48"/>
      <c r="Q16" s="1810"/>
      <c r="R16" s="774"/>
      <c r="S16" s="775"/>
      <c r="T16" s="774"/>
      <c r="U16" s="775"/>
      <c r="V16" s="774"/>
      <c r="W16" s="775"/>
      <c r="X16" s="1813"/>
      <c r="Y16" s="3174"/>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8"/>
      <c r="Q17" s="1810" t="str">
        <f>B17</f>
        <v>交通便捷度</v>
      </c>
      <c r="R17" s="774" t="s">
        <v>21</v>
      </c>
      <c r="S17" s="775">
        <f>F17</f>
        <v>100</v>
      </c>
      <c r="T17" s="774" t="s">
        <v>21</v>
      </c>
      <c r="U17" s="775">
        <f>H17</f>
        <v>100</v>
      </c>
      <c r="V17" s="774" t="s">
        <v>21</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48"/>
      <c r="Q18" s="1810"/>
      <c r="R18" s="774"/>
      <c r="S18" s="775"/>
      <c r="T18" s="774"/>
      <c r="U18" s="775"/>
      <c r="V18" s="774"/>
      <c r="W18" s="775"/>
      <c r="X18" s="1813"/>
      <c r="Y18" s="3174"/>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8"/>
      <c r="Q19" s="1810" t="str">
        <f>B19</f>
        <v>公共配套设施</v>
      </c>
      <c r="R19" s="774" t="s">
        <v>21</v>
      </c>
      <c r="S19" s="775">
        <f>F19</f>
        <v>100</v>
      </c>
      <c r="T19" s="774" t="s">
        <v>21</v>
      </c>
      <c r="U19" s="775">
        <f>H19</f>
        <v>100</v>
      </c>
      <c r="V19" s="774" t="s">
        <v>21</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48"/>
      <c r="Q20" s="1810"/>
      <c r="R20" s="774"/>
      <c r="S20" s="775"/>
      <c r="T20" s="774"/>
      <c r="U20" s="775"/>
      <c r="V20" s="774"/>
      <c r="W20" s="775"/>
      <c r="X20" s="1813"/>
      <c r="Y20" s="3174"/>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8"/>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48"/>
      <c r="Q22" s="1810"/>
      <c r="R22" s="774"/>
      <c r="S22" s="775"/>
      <c r="T22" s="774"/>
      <c r="U22" s="775"/>
      <c r="V22" s="774"/>
      <c r="W22" s="775"/>
      <c r="X22" s="1813"/>
      <c r="Y22" s="3174"/>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8"/>
      <c r="Q23" s="1810" t="str">
        <f>B23</f>
        <v>自然及人文环境</v>
      </c>
      <c r="R23" s="774" t="s">
        <v>21</v>
      </c>
      <c r="S23" s="775">
        <f>F23</f>
        <v>100</v>
      </c>
      <c r="T23" s="774" t="s">
        <v>21</v>
      </c>
      <c r="U23" s="775">
        <f>H23</f>
        <v>100</v>
      </c>
      <c r="V23" s="774" t="s">
        <v>21</v>
      </c>
      <c r="W23" s="775">
        <f>J23</f>
        <v>100</v>
      </c>
      <c r="X23" s="1813"/>
      <c r="Y23" s="317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48"/>
      <c r="Q24" s="1810"/>
      <c r="R24" s="774"/>
      <c r="S24" s="775"/>
      <c r="T24" s="774"/>
      <c r="U24" s="775"/>
      <c r="V24" s="774"/>
      <c r="W24" s="775"/>
      <c r="X24" s="1813"/>
      <c r="Y24" s="3174"/>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4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48"/>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48"/>
      <c r="Q27" s="1795">
        <f t="shared" si="11"/>
        <v>111</v>
      </c>
      <c r="R27" s="770" t="s">
        <v>21</v>
      </c>
      <c r="S27" s="771">
        <f t="shared" si="12"/>
        <v>100</v>
      </c>
      <c r="T27" s="770" t="s">
        <v>21</v>
      </c>
      <c r="U27" s="771">
        <f t="shared" si="13"/>
        <v>100</v>
      </c>
      <c r="V27" s="770" t="s">
        <v>21</v>
      </c>
      <c r="W27" s="771">
        <f t="shared" si="14"/>
        <v>100</v>
      </c>
      <c r="X27" s="772"/>
      <c r="Y27" s="317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48"/>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48"/>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48"/>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48"/>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43" t="s">
        <v>2564</v>
      </c>
      <c r="Q32" s="1810" t="str">
        <f t="shared" si="11"/>
        <v>建筑类型</v>
      </c>
      <c r="R32" s="774" t="s">
        <v>21</v>
      </c>
      <c r="S32" s="775">
        <f t="shared" si="12"/>
        <v>100</v>
      </c>
      <c r="T32" s="774" t="s">
        <v>21</v>
      </c>
      <c r="U32" s="775">
        <f t="shared" si="13"/>
        <v>100</v>
      </c>
      <c r="V32" s="774" t="s">
        <v>21</v>
      </c>
      <c r="W32" s="775">
        <f t="shared" si="14"/>
        <v>100</v>
      </c>
      <c r="X32" s="1813"/>
      <c r="Y32" s="3176"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4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1" t="e">
        <f t="shared" si="15"/>
        <v>#N/A</v>
      </c>
      <c r="AB33" s="1811" t="e">
        <f t="shared" si="16"/>
        <v>#N/A</v>
      </c>
      <c r="AC33" s="1811" t="e">
        <f t="shared" si="17"/>
        <v>#N/A</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44"/>
      <c r="Q34" s="1810" t="str">
        <f t="shared" si="11"/>
        <v>建筑结构</v>
      </c>
      <c r="R34" s="774" t="s">
        <v>21</v>
      </c>
      <c r="S34" s="775">
        <f t="shared" si="12"/>
        <v>100</v>
      </c>
      <c r="T34" s="774" t="s">
        <v>21</v>
      </c>
      <c r="U34" s="775">
        <f t="shared" si="13"/>
        <v>100</v>
      </c>
      <c r="V34" s="774" t="s">
        <v>21</v>
      </c>
      <c r="W34" s="775">
        <f t="shared" si="14"/>
        <v>100</v>
      </c>
      <c r="X34" s="1813"/>
      <c r="Y34" s="3176"/>
      <c r="Z34" s="1814" t="str">
        <f t="shared" si="18"/>
        <v>建筑结构</v>
      </c>
      <c r="AA34" s="1811">
        <f t="shared" si="15"/>
        <v>1</v>
      </c>
      <c r="AB34" s="1811">
        <f t="shared" si="16"/>
        <v>1</v>
      </c>
      <c r="AC34" s="1811">
        <f t="shared" si="17"/>
        <v>1</v>
      </c>
    </row>
    <row r="35" spans="1:29" ht="15">
      <c r="A35" s="472"/>
      <c r="B35" s="422" t="s">
        <v>2567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44"/>
      <c r="Q35" s="1810" t="str">
        <f t="shared" si="11"/>
        <v>建筑品质</v>
      </c>
      <c r="R35" s="774" t="s">
        <v>21</v>
      </c>
      <c r="S35" s="775">
        <f t="shared" si="12"/>
        <v>100</v>
      </c>
      <c r="T35" s="774" t="s">
        <v>21</v>
      </c>
      <c r="U35" s="775">
        <f t="shared" si="13"/>
        <v>100</v>
      </c>
      <c r="V35" s="774" t="s">
        <v>21</v>
      </c>
      <c r="W35" s="775">
        <f t="shared" si="14"/>
        <v>100</v>
      </c>
      <c r="X35" s="1813"/>
      <c r="Y35" s="3176"/>
      <c r="Z35" s="1814" t="str">
        <f t="shared" si="18"/>
        <v>建筑品质</v>
      </c>
      <c r="AA35" s="1811">
        <f t="shared" si="15"/>
        <v>1</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44"/>
      <c r="Q36" s="1810" t="str">
        <f t="shared" si="11"/>
        <v>公共部分装修</v>
      </c>
      <c r="R36" s="774" t="s">
        <v>21</v>
      </c>
      <c r="S36" s="775">
        <f t="shared" si="12"/>
        <v>100</v>
      </c>
      <c r="T36" s="774" t="s">
        <v>21</v>
      </c>
      <c r="U36" s="775">
        <f t="shared" si="13"/>
        <v>100</v>
      </c>
      <c r="V36" s="774" t="s">
        <v>21</v>
      </c>
      <c r="W36" s="775">
        <f t="shared" si="14"/>
        <v>100</v>
      </c>
      <c r="X36" s="1813"/>
      <c r="Y36" s="3176"/>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4"/>
      <c r="Q37" s="1795"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44" t="s">
        <v>2564</v>
      </c>
      <c r="Q38" s="1810" t="str">
        <f t="shared" si="11"/>
        <v>物业管理</v>
      </c>
      <c r="R38" s="774" t="s">
        <v>21</v>
      </c>
      <c r="S38" s="775">
        <f t="shared" si="12"/>
        <v>100</v>
      </c>
      <c r="T38" s="774" t="s">
        <v>21</v>
      </c>
      <c r="U38" s="775">
        <f t="shared" si="13"/>
        <v>100</v>
      </c>
      <c r="V38" s="774" t="s">
        <v>21</v>
      </c>
      <c r="W38" s="775">
        <f t="shared" si="14"/>
        <v>100</v>
      </c>
      <c r="X38" s="1813"/>
      <c r="Y38" s="3176"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44"/>
      <c r="Q39" s="1810" t="str">
        <f t="shared" si="11"/>
        <v>市政基础设施</v>
      </c>
      <c r="R39" s="774" t="s">
        <v>21</v>
      </c>
      <c r="S39" s="775">
        <f t="shared" si="12"/>
        <v>100</v>
      </c>
      <c r="T39" s="774" t="s">
        <v>21</v>
      </c>
      <c r="U39" s="775">
        <f t="shared" si="13"/>
        <v>100</v>
      </c>
      <c r="V39" s="774" t="s">
        <v>21</v>
      </c>
      <c r="W39" s="775">
        <f t="shared" si="14"/>
        <v>100</v>
      </c>
      <c r="X39" s="1813"/>
      <c r="Y39" s="3176"/>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44"/>
      <c r="Q40" s="1810" t="str">
        <f t="shared" si="11"/>
        <v>房型</v>
      </c>
      <c r="R40" s="774" t="s">
        <v>21</v>
      </c>
      <c r="S40" s="775">
        <f t="shared" si="12"/>
        <v>100</v>
      </c>
      <c r="T40" s="774" t="s">
        <v>21</v>
      </c>
      <c r="U40" s="775">
        <f t="shared" si="13"/>
        <v>100</v>
      </c>
      <c r="V40" s="774" t="s">
        <v>21</v>
      </c>
      <c r="W40" s="775">
        <f t="shared" si="14"/>
        <v>100</v>
      </c>
      <c r="X40" s="1813"/>
      <c r="Y40" s="3176"/>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4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44"/>
      <c r="Q42" s="1810" t="str">
        <f t="shared" si="11"/>
        <v>内部装修</v>
      </c>
      <c r="R42" s="774" t="s">
        <v>21</v>
      </c>
      <c r="S42" s="775">
        <f t="shared" si="12"/>
        <v>100</v>
      </c>
      <c r="T42" s="774" t="s">
        <v>21</v>
      </c>
      <c r="U42" s="775">
        <f t="shared" si="13"/>
        <v>100</v>
      </c>
      <c r="V42" s="774" t="s">
        <v>21</v>
      </c>
      <c r="W42" s="775">
        <f t="shared" si="14"/>
        <v>100</v>
      </c>
      <c r="X42" s="1813"/>
      <c r="Y42" s="3176"/>
      <c r="Z42" s="1814" t="str">
        <f t="shared" si="18"/>
        <v>内部装修</v>
      </c>
      <c r="AA42" s="1811">
        <f t="shared" si="15"/>
        <v>1</v>
      </c>
      <c r="AB42" s="1811">
        <f t="shared" si="16"/>
        <v>1</v>
      </c>
      <c r="AC42" s="1811">
        <f t="shared" si="17"/>
        <v>1</v>
      </c>
    </row>
    <row r="43" spans="1:29" ht="15">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44"/>
      <c r="Q43" s="1810" t="str">
        <f t="shared" si="11"/>
        <v>内部装修维护情况</v>
      </c>
      <c r="R43" s="774" t="s">
        <v>21</v>
      </c>
      <c r="S43" s="775">
        <f t="shared" si="12"/>
        <v>100</v>
      </c>
      <c r="T43" s="774" t="s">
        <v>21</v>
      </c>
      <c r="U43" s="775">
        <f t="shared" si="13"/>
        <v>100</v>
      </c>
      <c r="V43" s="774" t="s">
        <v>21</v>
      </c>
      <c r="W43" s="775">
        <f t="shared" si="14"/>
        <v>100</v>
      </c>
      <c r="X43" s="1813"/>
      <c r="Y43" s="317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44"/>
      <c r="Q44" s="1795">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44"/>
      <c r="Q45" s="1810">
        <f t="shared" si="11"/>
        <v>111</v>
      </c>
      <c r="R45" s="774" t="s">
        <v>21</v>
      </c>
      <c r="S45" s="775">
        <f t="shared" si="12"/>
        <v>100</v>
      </c>
      <c r="T45" s="774" t="s">
        <v>21</v>
      </c>
      <c r="U45" s="775">
        <f t="shared" si="13"/>
        <v>100</v>
      </c>
      <c r="V45" s="774" t="s">
        <v>21</v>
      </c>
      <c r="W45" s="775">
        <f t="shared" si="14"/>
        <v>100</v>
      </c>
      <c r="X45" s="1813"/>
      <c r="Y45" s="317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45"/>
      <c r="Q46" s="1810">
        <f t="shared" si="11"/>
        <v>111</v>
      </c>
      <c r="R46" s="774" t="s">
        <v>20</v>
      </c>
      <c r="S46" s="775">
        <f t="shared" si="12"/>
        <v>100</v>
      </c>
      <c r="T46" s="774" t="s">
        <v>20</v>
      </c>
      <c r="U46" s="775">
        <f t="shared" si="13"/>
        <v>100</v>
      </c>
      <c r="V46" s="774" t="s">
        <v>20</v>
      </c>
      <c r="W46" s="775">
        <f t="shared" si="14"/>
        <v>100</v>
      </c>
      <c r="X46" s="1813"/>
      <c r="Y46" s="3246"/>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0"/>
      <c r="L47" s="1143"/>
      <c r="M47" s="1144"/>
      <c r="N47" s="1131"/>
      <c r="O47" s="1144"/>
      <c r="P47" s="3170" t="str">
        <f>A47</f>
        <v>成交单价（元/平方米）</v>
      </c>
      <c r="Q47" s="3170"/>
      <c r="R47" s="3242">
        <f>E47</f>
        <v>0</v>
      </c>
      <c r="S47" s="3242"/>
      <c r="T47" s="3242">
        <f>G47</f>
        <v>0</v>
      </c>
      <c r="U47" s="3242"/>
      <c r="V47" s="3242">
        <f>I47</f>
        <v>0</v>
      </c>
      <c r="W47" s="3242"/>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1"/>
      <c r="L48" s="1143"/>
      <c r="M48" s="1144"/>
      <c r="N48" s="1144"/>
      <c r="O48" s="1144"/>
      <c r="P48" s="3170" t="str">
        <f>A48</f>
        <v>比较价值（元/平方米）</v>
      </c>
      <c r="Q48" s="317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2"/>
      <c r="L49" s="1143"/>
      <c r="M49" s="1144"/>
      <c r="N49" s="1144"/>
      <c r="O49" s="1144"/>
      <c r="P49" s="3167" t="str">
        <f>A49</f>
        <v>估价对象XX用房的比较价值（楼面单价，元/平方米）</v>
      </c>
      <c r="Q49" s="3168"/>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5"/>
      <c r="Q57" s="504"/>
    </row>
    <row r="58" spans="1:29" s="508" customFormat="1" ht="15">
      <c r="A58" s="505" t="s">
        <v>2583</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2641</v>
      </c>
      <c r="C1" s="1634" t="s">
        <v>2529</v>
      </c>
      <c r="D1" s="1621"/>
      <c r="E1" s="2656"/>
      <c r="F1" s="2583"/>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2326</v>
      </c>
      <c r="B2" s="1418" t="e">
        <f ca="1">IF(C2="——",ROUND(C49*D3/10000,0),ROUND(C49*D3/10000,0)-D2)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t="e">
        <f ca="1">IF(C2="——",C49,ROUND(B2*10000/D3,0))</f>
        <v>#DIV/0!</v>
      </c>
      <c r="C3" s="400" t="s">
        <v>2643</v>
      </c>
      <c r="D3" s="399">
        <f>IF(D1="",'数据-汇总表'!E3,SUMIF('数据-汇总表'!$C19:$C33,D1,'数据-汇总表'!$E19:$E33))</f>
        <v>26688.410000000003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2" t="s">
        <v>2647</v>
      </c>
      <c r="AC4" s="3177" t="s">
        <v>2648</v>
      </c>
    </row>
    <row r="5" spans="1:29" ht="15">
      <c r="A5" s="404"/>
      <c r="B5" s="405"/>
      <c r="C5" s="3201" t="s">
        <v>2541</v>
      </c>
      <c r="D5" s="3202"/>
      <c r="E5" s="3190" t="s">
        <v>2542</v>
      </c>
      <c r="F5" s="3191"/>
      <c r="G5" s="3201" t="s">
        <v>2543</v>
      </c>
      <c r="H5" s="3202"/>
      <c r="I5" s="3201" t="s">
        <v>2544</v>
      </c>
      <c r="J5" s="3202"/>
      <c r="K5" s="610"/>
      <c r="L5" s="1130"/>
      <c r="M5" s="1131"/>
      <c r="N5" s="1131"/>
      <c r="O5" s="1131"/>
      <c r="P5" s="3186"/>
      <c r="Q5" s="3187"/>
      <c r="R5" s="3199"/>
      <c r="S5" s="3200"/>
      <c r="T5" s="3199"/>
      <c r="U5" s="3200"/>
      <c r="V5" s="3172"/>
      <c r="W5" s="3172"/>
      <c r="X5" s="1813"/>
      <c r="Y5" s="3199"/>
      <c r="Z5" s="3200"/>
      <c r="AA5" s="3178"/>
      <c r="AB5" s="3172"/>
      <c r="AC5" s="3178"/>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88"/>
      <c r="Q6" s="3189"/>
      <c r="R6" s="3199"/>
      <c r="S6" s="3200"/>
      <c r="T6" s="3208"/>
      <c r="U6" s="3209"/>
      <c r="V6" s="3172"/>
      <c r="W6" s="3172"/>
      <c r="X6" s="1813"/>
      <c r="Y6" s="3208"/>
      <c r="Z6" s="3209"/>
      <c r="AA6" s="3179"/>
      <c r="AB6" s="3172"/>
      <c r="AC6" s="3179"/>
    </row>
    <row r="7" spans="1:29" s="117" customFormat="1" ht="15.75" thickBot="1">
      <c r="A7" s="408" t="s">
        <v>2547</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2" t="s">
        <v>2548</v>
      </c>
      <c r="Q7" s="3205"/>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2558</v>
      </c>
      <c r="B15" s="69" t="s">
        <v>2652</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7" t="s">
        <v>2559</v>
      </c>
      <c r="Q15" s="1810" t="str">
        <f t="shared" si="6"/>
        <v>商业繁华度</v>
      </c>
      <c r="R15" s="774" t="s">
        <v>17</v>
      </c>
      <c r="S15" s="775">
        <f t="shared" si="0"/>
        <v>100</v>
      </c>
      <c r="T15" s="774" t="s">
        <v>17</v>
      </c>
      <c r="U15" s="775">
        <f t="shared" si="1"/>
        <v>100</v>
      </c>
      <c r="V15" s="774" t="s">
        <v>17</v>
      </c>
      <c r="W15" s="775">
        <f t="shared" si="2"/>
        <v>100</v>
      </c>
      <c r="X15" s="1813"/>
      <c r="Y15" s="3173"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8"/>
      <c r="Q16" s="1810"/>
      <c r="R16" s="774"/>
      <c r="S16" s="775"/>
      <c r="T16" s="774"/>
      <c r="U16" s="775"/>
      <c r="V16" s="774"/>
      <c r="W16" s="775"/>
      <c r="X16" s="1813"/>
      <c r="Y16" s="3174"/>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8"/>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48"/>
      <c r="Q18" s="1810"/>
      <c r="R18" s="774"/>
      <c r="S18" s="775"/>
      <c r="T18" s="774"/>
      <c r="U18" s="775"/>
      <c r="V18" s="774"/>
      <c r="W18" s="775"/>
      <c r="X18" s="1813"/>
      <c r="Y18" s="3174"/>
      <c r="Z18" s="1814"/>
      <c r="AA18" s="1811">
        <v>1</v>
      </c>
      <c r="AB18" s="1811">
        <v>1</v>
      </c>
      <c r="AC18" s="1811">
        <v>1</v>
      </c>
    </row>
    <row r="19" spans="1:29" ht="42.75">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8"/>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48"/>
      <c r="Q20" s="1810"/>
      <c r="R20" s="774"/>
      <c r="S20" s="775"/>
      <c r="T20" s="774"/>
      <c r="U20" s="775"/>
      <c r="V20" s="774"/>
      <c r="W20" s="775"/>
      <c r="X20" s="1813"/>
      <c r="Y20" s="3174"/>
      <c r="Z20" s="1814"/>
      <c r="AA20" s="1811">
        <v>1</v>
      </c>
      <c r="AB20" s="1811">
        <v>1</v>
      </c>
      <c r="AC20" s="1811">
        <v>1</v>
      </c>
    </row>
    <row r="21" spans="1:29" ht="28.5">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8"/>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48"/>
      <c r="Q22" s="1810"/>
      <c r="R22" s="774"/>
      <c r="S22" s="775"/>
      <c r="T22" s="774"/>
      <c r="U22" s="775"/>
      <c r="V22" s="774"/>
      <c r="W22" s="775"/>
      <c r="X22" s="1813"/>
      <c r="Y22" s="3174"/>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8"/>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48"/>
      <c r="Q24" s="1810"/>
      <c r="R24" s="774"/>
      <c r="S24" s="775"/>
      <c r="T24" s="774"/>
      <c r="U24" s="775"/>
      <c r="V24" s="774"/>
      <c r="W24" s="775"/>
      <c r="X24" s="1813"/>
      <c r="Y24" s="3174"/>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8"/>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8"/>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48"/>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8"/>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8"/>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8"/>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43" t="s">
        <v>2564</v>
      </c>
      <c r="Q32" s="1810" t="str">
        <f t="shared" si="11"/>
        <v>商业类型</v>
      </c>
      <c r="R32" s="774" t="s">
        <v>17</v>
      </c>
      <c r="S32" s="775">
        <f t="shared" si="12"/>
        <v>100</v>
      </c>
      <c r="T32" s="774" t="s">
        <v>17</v>
      </c>
      <c r="U32" s="775">
        <f t="shared" si="13"/>
        <v>100</v>
      </c>
      <c r="V32" s="774" t="s">
        <v>17</v>
      </c>
      <c r="W32" s="775">
        <f t="shared" si="14"/>
        <v>100</v>
      </c>
      <c r="X32" s="1813"/>
      <c r="Y32" s="3176"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1" t="e">
        <f t="shared" si="3"/>
        <v>#N/A</v>
      </c>
      <c r="AB33" s="1811" t="e">
        <f t="shared" si="4"/>
        <v>#N/A</v>
      </c>
      <c r="AC33" s="1811"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44"/>
      <c r="Q34" s="1810" t="str">
        <f t="shared" si="11"/>
        <v>建筑结构</v>
      </c>
      <c r="R34" s="774" t="s">
        <v>17</v>
      </c>
      <c r="S34" s="775">
        <f t="shared" si="12"/>
        <v>100</v>
      </c>
      <c r="T34" s="774" t="s">
        <v>17</v>
      </c>
      <c r="U34" s="775">
        <f t="shared" si="13"/>
        <v>100</v>
      </c>
      <c r="V34" s="774" t="s">
        <v>17</v>
      </c>
      <c r="W34" s="775">
        <f t="shared" si="14"/>
        <v>100</v>
      </c>
      <c r="X34" s="1813"/>
      <c r="Y34" s="3176"/>
      <c r="Z34" s="1814" t="str">
        <f t="shared" si="15"/>
        <v>建筑结构</v>
      </c>
      <c r="AA34" s="1811">
        <f t="shared" si="3"/>
        <v>1</v>
      </c>
      <c r="AB34" s="1811">
        <f t="shared" si="4"/>
        <v>1</v>
      </c>
      <c r="AC34" s="1811">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44"/>
      <c r="Q35" s="1810" t="str">
        <f t="shared" si="11"/>
        <v>公共部分装修</v>
      </c>
      <c r="R35" s="774" t="s">
        <v>17</v>
      </c>
      <c r="S35" s="775">
        <f t="shared" si="12"/>
        <v>100</v>
      </c>
      <c r="T35" s="774" t="s">
        <v>17</v>
      </c>
      <c r="U35" s="775">
        <f t="shared" si="13"/>
        <v>100</v>
      </c>
      <c r="V35" s="774" t="s">
        <v>17</v>
      </c>
      <c r="W35" s="775">
        <f t="shared" si="14"/>
        <v>100</v>
      </c>
      <c r="X35" s="1813"/>
      <c r="Y35" s="3176"/>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4"/>
      <c r="Q36" s="1810" t="str">
        <f t="shared" si="11"/>
        <v>成新度</v>
      </c>
      <c r="R36" s="774" t="s">
        <v>17</v>
      </c>
      <c r="S36" s="775" t="e">
        <f t="shared" si="12"/>
        <v>#N/A</v>
      </c>
      <c r="T36" s="774" t="s">
        <v>17</v>
      </c>
      <c r="U36" s="775" t="e">
        <f t="shared" si="13"/>
        <v>#N/A</v>
      </c>
      <c r="V36" s="774" t="s">
        <v>17</v>
      </c>
      <c r="W36" s="775" t="e">
        <f t="shared" si="14"/>
        <v>#N/A</v>
      </c>
      <c r="X36" s="1813"/>
      <c r="Y36" s="3176"/>
      <c r="Z36" s="1814" t="str">
        <f t="shared" si="15"/>
        <v>成新度</v>
      </c>
      <c r="AA36" s="1811" t="e">
        <f t="shared" si="3"/>
        <v>#N/A</v>
      </c>
      <c r="AB36" s="1811" t="e">
        <f t="shared" si="4"/>
        <v>#N/A</v>
      </c>
      <c r="AC36" s="1811"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44"/>
      <c r="Q37" s="1795"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44" t="s">
        <v>2564</v>
      </c>
      <c r="Q38" s="1810" t="str">
        <f t="shared" si="11"/>
        <v>业态</v>
      </c>
      <c r="R38" s="774" t="s">
        <v>17</v>
      </c>
      <c r="S38" s="775">
        <f t="shared" si="12"/>
        <v>100</v>
      </c>
      <c r="T38" s="774" t="s">
        <v>17</v>
      </c>
      <c r="U38" s="775">
        <f t="shared" si="13"/>
        <v>100</v>
      </c>
      <c r="V38" s="774" t="s">
        <v>17</v>
      </c>
      <c r="W38" s="775">
        <f t="shared" si="14"/>
        <v>100</v>
      </c>
      <c r="X38" s="1813"/>
      <c r="Y38" s="3176" t="s">
        <v>2564</v>
      </c>
      <c r="Z38" s="1814" t="str">
        <f t="shared" si="15"/>
        <v>业态</v>
      </c>
      <c r="AA38" s="1811">
        <f t="shared" si="3"/>
        <v>1</v>
      </c>
      <c r="AB38" s="1811">
        <f t="shared" si="4"/>
        <v>1</v>
      </c>
      <c r="AC38" s="1811">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44"/>
      <c r="Q39" s="1810" t="str">
        <f t="shared" si="11"/>
        <v>层高</v>
      </c>
      <c r="R39" s="774" t="s">
        <v>17</v>
      </c>
      <c r="S39" s="775">
        <f t="shared" si="12"/>
        <v>100</v>
      </c>
      <c r="T39" s="774" t="s">
        <v>17</v>
      </c>
      <c r="U39" s="775">
        <f t="shared" si="13"/>
        <v>100</v>
      </c>
      <c r="V39" s="774" t="s">
        <v>17</v>
      </c>
      <c r="W39" s="775">
        <f t="shared" si="14"/>
        <v>100</v>
      </c>
      <c r="X39" s="1813"/>
      <c r="Y39" s="3176"/>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4"/>
      <c r="Q40" s="1810" t="str">
        <f t="shared" si="11"/>
        <v>单套建筑面积</v>
      </c>
      <c r="R40" s="774" t="s">
        <v>17</v>
      </c>
      <c r="S40" s="775">
        <f t="shared" si="12"/>
        <v>100</v>
      </c>
      <c r="T40" s="774" t="s">
        <v>17</v>
      </c>
      <c r="U40" s="775">
        <f t="shared" si="13"/>
        <v>100</v>
      </c>
      <c r="V40" s="774" t="s">
        <v>17</v>
      </c>
      <c r="W40" s="775">
        <f t="shared" si="14"/>
        <v>100</v>
      </c>
      <c r="X40" s="1813"/>
      <c r="Y40" s="3176"/>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1">
        <f t="shared" si="3"/>
        <v>1</v>
      </c>
      <c r="AB41" s="1811">
        <f t="shared" si="4"/>
        <v>1</v>
      </c>
      <c r="AC41" s="1811">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44"/>
      <c r="Q42" s="1810" t="str">
        <f t="shared" si="11"/>
        <v>内部装修</v>
      </c>
      <c r="R42" s="774" t="s">
        <v>17</v>
      </c>
      <c r="S42" s="775">
        <f t="shared" si="12"/>
        <v>100</v>
      </c>
      <c r="T42" s="774" t="s">
        <v>17</v>
      </c>
      <c r="U42" s="775">
        <f t="shared" si="13"/>
        <v>100</v>
      </c>
      <c r="V42" s="774" t="s">
        <v>17</v>
      </c>
      <c r="W42" s="775">
        <f t="shared" si="14"/>
        <v>100</v>
      </c>
      <c r="X42" s="1813"/>
      <c r="Y42" s="3176"/>
      <c r="Z42" s="1814" t="str">
        <f t="shared" si="15"/>
        <v>内部装修</v>
      </c>
      <c r="AA42" s="1811">
        <f t="shared" si="3"/>
        <v>1</v>
      </c>
      <c r="AB42" s="1811">
        <f t="shared" si="4"/>
        <v>1</v>
      </c>
      <c r="AC42" s="1811">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44"/>
      <c r="Q43" s="1810" t="str">
        <f t="shared" si="11"/>
        <v>内部装修维护情况</v>
      </c>
      <c r="R43" s="774" t="s">
        <v>17</v>
      </c>
      <c r="S43" s="775">
        <f t="shared" si="12"/>
        <v>100</v>
      </c>
      <c r="T43" s="774" t="s">
        <v>17</v>
      </c>
      <c r="U43" s="775">
        <f t="shared" si="13"/>
        <v>100</v>
      </c>
      <c r="V43" s="774" t="s">
        <v>17</v>
      </c>
      <c r="W43" s="775">
        <f t="shared" si="14"/>
        <v>100</v>
      </c>
      <c r="X43" s="1813"/>
      <c r="Y43" s="317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4"/>
      <c r="Q44" s="1795">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4"/>
      <c r="Q45" s="1810">
        <f t="shared" si="11"/>
        <v>111</v>
      </c>
      <c r="R45" s="774" t="s">
        <v>17</v>
      </c>
      <c r="S45" s="775">
        <f t="shared" si="12"/>
        <v>100</v>
      </c>
      <c r="T45" s="774" t="s">
        <v>17</v>
      </c>
      <c r="U45" s="775">
        <f t="shared" si="13"/>
        <v>100</v>
      </c>
      <c r="V45" s="774" t="s">
        <v>17</v>
      </c>
      <c r="W45" s="775">
        <f t="shared" si="14"/>
        <v>100</v>
      </c>
      <c r="X45" s="1813"/>
      <c r="Y45" s="3176"/>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5"/>
      <c r="Q46" s="1810">
        <f t="shared" si="11"/>
        <v>111</v>
      </c>
      <c r="R46" s="774" t="s">
        <v>17</v>
      </c>
      <c r="S46" s="775">
        <f t="shared" si="12"/>
        <v>100</v>
      </c>
      <c r="T46" s="774" t="s">
        <v>17</v>
      </c>
      <c r="U46" s="775">
        <f t="shared" si="13"/>
        <v>100</v>
      </c>
      <c r="V46" s="774" t="s">
        <v>17</v>
      </c>
      <c r="W46" s="775">
        <f t="shared" si="14"/>
        <v>100</v>
      </c>
      <c r="X46" s="1813"/>
      <c r="Y46" s="3246"/>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70" t="str">
        <f>A47</f>
        <v>成交单价（元/平方米）</v>
      </c>
      <c r="Q47" s="3170"/>
      <c r="R47" s="3172">
        <f>E47</f>
        <v>0</v>
      </c>
      <c r="S47" s="3172"/>
      <c r="T47" s="3172">
        <f>G47</f>
        <v>0</v>
      </c>
      <c r="U47" s="3172"/>
      <c r="V47" s="3172">
        <f>I47</f>
        <v>0</v>
      </c>
      <c r="W47" s="317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0" t="str">
        <f>A48</f>
        <v>比较价值（元/平方米）</v>
      </c>
      <c r="Q48" s="317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67" t="str">
        <f>A49</f>
        <v>估价对象XX用房的比较价值（楼面单价，元/平方米）</v>
      </c>
      <c r="Q49" s="3168"/>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2547</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2562</v>
      </c>
      <c r="B100" s="528" t="s">
        <v>2680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2685</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26688.410000000003</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255" t="s">
        <v>2650</v>
      </c>
      <c r="Q4" s="3256"/>
      <c r="R4" s="3250" t="s">
        <v>2646</v>
      </c>
      <c r="S4" s="3251"/>
      <c r="T4" s="3250" t="s">
        <v>2647</v>
      </c>
      <c r="U4" s="3251"/>
      <c r="V4" s="3259" t="s">
        <v>2648</v>
      </c>
      <c r="W4" s="3259"/>
      <c r="X4" s="2669"/>
      <c r="Y4" s="3250" t="s">
        <v>2650</v>
      </c>
      <c r="Z4" s="3251"/>
      <c r="AA4" s="3249" t="s">
        <v>2646</v>
      </c>
      <c r="AB4" s="3249" t="s">
        <v>2647</v>
      </c>
      <c r="AC4" s="3252" t="s">
        <v>2648</v>
      </c>
    </row>
    <row r="5" spans="1:29" ht="15">
      <c r="A5" s="404"/>
      <c r="B5" s="405"/>
      <c r="C5" s="3201" t="s">
        <v>2541</v>
      </c>
      <c r="D5" s="3202"/>
      <c r="E5" s="3190" t="s">
        <v>2542</v>
      </c>
      <c r="F5" s="3191"/>
      <c r="G5" s="3201" t="s">
        <v>2543</v>
      </c>
      <c r="H5" s="3202"/>
      <c r="I5" s="3201" t="s">
        <v>2544</v>
      </c>
      <c r="J5" s="3202"/>
      <c r="K5" s="610"/>
      <c r="L5" s="1130"/>
      <c r="M5" s="1131"/>
      <c r="N5" s="1131"/>
      <c r="O5" s="1131"/>
      <c r="P5" s="3257"/>
      <c r="Q5" s="3187"/>
      <c r="R5" s="3199"/>
      <c r="S5" s="3200"/>
      <c r="T5" s="3199"/>
      <c r="U5" s="3200"/>
      <c r="V5" s="3172"/>
      <c r="W5" s="3172"/>
      <c r="X5" s="1813"/>
      <c r="Y5" s="3199"/>
      <c r="Z5" s="3200"/>
      <c r="AA5" s="3178"/>
      <c r="AB5" s="3178"/>
      <c r="AC5" s="3253"/>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258"/>
      <c r="Q6" s="3189"/>
      <c r="R6" s="3199"/>
      <c r="S6" s="3200"/>
      <c r="T6" s="3208"/>
      <c r="U6" s="3209"/>
      <c r="V6" s="3172"/>
      <c r="W6" s="3172"/>
      <c r="X6" s="1813"/>
      <c r="Y6" s="3208"/>
      <c r="Z6" s="3209"/>
      <c r="AA6" s="3179"/>
      <c r="AB6" s="3179"/>
      <c r="AC6" s="3254"/>
    </row>
    <row r="7" spans="1:29" s="117" customFormat="1" ht="15.75" thickBot="1">
      <c r="A7" s="408" t="s">
        <v>2547</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0" t="s">
        <v>2548</v>
      </c>
      <c r="Q7" s="3205"/>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0" t="s">
        <v>2551</v>
      </c>
      <c r="Q8" s="3193"/>
      <c r="R8" s="770" t="s">
        <v>17</v>
      </c>
      <c r="S8" s="771">
        <f t="shared" si="0"/>
        <v>0</v>
      </c>
      <c r="T8" s="770" t="s">
        <v>17</v>
      </c>
      <c r="U8" s="771">
        <f t="shared" si="1"/>
        <v>0</v>
      </c>
      <c r="V8" s="770" t="s">
        <v>17</v>
      </c>
      <c r="W8" s="771">
        <f t="shared" si="2"/>
        <v>0</v>
      </c>
      <c r="X8" s="772"/>
      <c r="Y8" s="3192" t="s">
        <v>2551</v>
      </c>
      <c r="Z8" s="3193"/>
      <c r="AA8" s="773" t="e">
        <f t="shared" ref="AA8:AA47" si="3">D8/F8</f>
        <v>#DIV/0!</v>
      </c>
      <c r="AB8" s="773"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71.25">
      <c r="A15" s="440" t="s">
        <v>2558</v>
      </c>
      <c r="B15" s="629" t="s">
        <v>2686</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7" t="s">
        <v>2559</v>
      </c>
      <c r="Q15" s="1810" t="str">
        <f t="shared" si="6"/>
        <v>办公集聚程度</v>
      </c>
      <c r="R15" s="774" t="s">
        <v>17</v>
      </c>
      <c r="S15" s="775">
        <f t="shared" si="0"/>
        <v>100</v>
      </c>
      <c r="T15" s="774" t="s">
        <v>17</v>
      </c>
      <c r="U15" s="775">
        <f t="shared" si="1"/>
        <v>100</v>
      </c>
      <c r="V15" s="774" t="s">
        <v>17</v>
      </c>
      <c r="W15" s="775">
        <f t="shared" si="2"/>
        <v>100</v>
      </c>
      <c r="X15" s="1813"/>
      <c r="Y15" s="3173" t="s">
        <v>2559</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48"/>
      <c r="Q16" s="1810"/>
      <c r="R16" s="774"/>
      <c r="S16" s="775"/>
      <c r="T16" s="774"/>
      <c r="U16" s="775"/>
      <c r="V16" s="774"/>
      <c r="W16" s="775"/>
      <c r="X16" s="1813"/>
      <c r="Y16" s="3174"/>
      <c r="Z16" s="1814"/>
      <c r="AA16" s="1811">
        <v>1</v>
      </c>
      <c r="AB16" s="1811">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8"/>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48"/>
      <c r="Q18" s="1810"/>
      <c r="R18" s="774"/>
      <c r="S18" s="775"/>
      <c r="T18" s="774"/>
      <c r="U18" s="775"/>
      <c r="V18" s="774"/>
      <c r="W18" s="775"/>
      <c r="X18" s="1813"/>
      <c r="Y18" s="3174"/>
      <c r="Z18" s="1814"/>
      <c r="AA18" s="1811">
        <v>1</v>
      </c>
      <c r="AB18" s="1811">
        <v>1</v>
      </c>
      <c r="AC18" s="2673">
        <v>1</v>
      </c>
    </row>
    <row r="19" spans="1:29" ht="42.75">
      <c r="A19" s="428"/>
      <c r="B19" s="631" t="s">
        <v>2687</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8"/>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48"/>
      <c r="Q20" s="1810"/>
      <c r="R20" s="774"/>
      <c r="S20" s="775"/>
      <c r="T20" s="774"/>
      <c r="U20" s="775"/>
      <c r="V20" s="774"/>
      <c r="W20" s="775"/>
      <c r="X20" s="1813"/>
      <c r="Y20" s="3174"/>
      <c r="Z20" s="1814"/>
      <c r="AA20" s="1811">
        <v>1</v>
      </c>
      <c r="AB20" s="1811">
        <v>1</v>
      </c>
      <c r="AC20" s="2673">
        <v>1</v>
      </c>
    </row>
    <row r="21" spans="1:29" ht="28.5">
      <c r="A21" s="428"/>
      <c r="B21" s="633" t="s">
        <v>2688</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8"/>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48"/>
      <c r="Q22" s="1810"/>
      <c r="R22" s="774"/>
      <c r="S22" s="775"/>
      <c r="T22" s="774"/>
      <c r="U22" s="775"/>
      <c r="V22" s="774"/>
      <c r="W22" s="775"/>
      <c r="X22" s="1813"/>
      <c r="Y22" s="3174"/>
      <c r="Z22" s="1814"/>
      <c r="AA22" s="1811">
        <v>1</v>
      </c>
      <c r="AB22" s="1811">
        <v>1</v>
      </c>
      <c r="AC22" s="2673">
        <v>1</v>
      </c>
    </row>
    <row r="23" spans="1:29" ht="42.75">
      <c r="A23" s="428"/>
      <c r="B23" s="631" t="s">
        <v>2689</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8"/>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48"/>
      <c r="Q24" s="1810"/>
      <c r="R24" s="774"/>
      <c r="S24" s="775"/>
      <c r="T24" s="774"/>
      <c r="U24" s="775"/>
      <c r="V24" s="774"/>
      <c r="W24" s="775"/>
      <c r="X24" s="1813"/>
      <c r="Y24" s="3174"/>
      <c r="Z24" s="1814"/>
      <c r="AA24" s="1811">
        <v>1</v>
      </c>
      <c r="AB24" s="1811">
        <v>1</v>
      </c>
      <c r="AC24" s="2673">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48"/>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48"/>
      <c r="Q26" s="1810"/>
      <c r="R26" s="774"/>
      <c r="S26" s="775"/>
      <c r="T26" s="774"/>
      <c r="U26" s="775"/>
      <c r="V26" s="774"/>
      <c r="W26" s="775"/>
      <c r="X26" s="1813"/>
      <c r="Y26" s="3174"/>
      <c r="Z26" s="1814"/>
      <c r="AA26" s="1811">
        <v>1</v>
      </c>
      <c r="AB26" s="1811">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8"/>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48"/>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8"/>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8"/>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8"/>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8"/>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43" t="s">
        <v>2564</v>
      </c>
      <c r="Q33" s="1810" t="str">
        <f t="shared" si="11"/>
        <v>建筑类型</v>
      </c>
      <c r="R33" s="774" t="s">
        <v>17</v>
      </c>
      <c r="S33" s="775">
        <f t="shared" si="12"/>
        <v>100</v>
      </c>
      <c r="T33" s="774" t="s">
        <v>17</v>
      </c>
      <c r="U33" s="775">
        <f t="shared" si="13"/>
        <v>100</v>
      </c>
      <c r="V33" s="774" t="s">
        <v>17</v>
      </c>
      <c r="W33" s="775">
        <f t="shared" si="14"/>
        <v>100</v>
      </c>
      <c r="X33" s="1813"/>
      <c r="Y33" s="3176"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4"/>
      <c r="Q35" s="1810" t="str">
        <f t="shared" si="11"/>
        <v>建筑结构</v>
      </c>
      <c r="R35" s="774" t="s">
        <v>17</v>
      </c>
      <c r="S35" s="775">
        <f t="shared" si="12"/>
        <v>100</v>
      </c>
      <c r="T35" s="774" t="s">
        <v>17</v>
      </c>
      <c r="U35" s="775">
        <f t="shared" si="13"/>
        <v>100</v>
      </c>
      <c r="V35" s="774" t="s">
        <v>17</v>
      </c>
      <c r="W35" s="775">
        <f t="shared" si="14"/>
        <v>100</v>
      </c>
      <c r="X35" s="1813"/>
      <c r="Y35" s="3176"/>
      <c r="Z35" s="1814" t="str">
        <f t="shared" si="15"/>
        <v>建筑结构</v>
      </c>
      <c r="AA35" s="1811">
        <f t="shared" si="3"/>
        <v>1</v>
      </c>
      <c r="AB35" s="1811">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4"/>
      <c r="Q36" s="1810" t="str">
        <f t="shared" si="11"/>
        <v>公共部分装修</v>
      </c>
      <c r="R36" s="774" t="s">
        <v>17</v>
      </c>
      <c r="S36" s="775">
        <f t="shared" si="12"/>
        <v>100</v>
      </c>
      <c r="T36" s="774" t="s">
        <v>17</v>
      </c>
      <c r="U36" s="775">
        <f t="shared" si="13"/>
        <v>100</v>
      </c>
      <c r="V36" s="774" t="s">
        <v>17</v>
      </c>
      <c r="W36" s="775">
        <f t="shared" si="14"/>
        <v>100</v>
      </c>
      <c r="X36" s="1813"/>
      <c r="Y36" s="3176"/>
      <c r="Z36" s="1814" t="str">
        <f t="shared" si="15"/>
        <v>公共部分装修</v>
      </c>
      <c r="AA36" s="1811">
        <f t="shared" si="3"/>
        <v>1</v>
      </c>
      <c r="AB36" s="1811">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4"/>
      <c r="Q37" s="1810" t="str">
        <f t="shared" si="11"/>
        <v>成新度</v>
      </c>
      <c r="R37" s="774" t="s">
        <v>17</v>
      </c>
      <c r="S37" s="775" t="e">
        <f t="shared" si="12"/>
        <v>#N/A</v>
      </c>
      <c r="T37" s="774" t="s">
        <v>17</v>
      </c>
      <c r="U37" s="775" t="e">
        <f t="shared" si="13"/>
        <v>#N/A</v>
      </c>
      <c r="V37" s="774" t="s">
        <v>17</v>
      </c>
      <c r="W37" s="775" t="e">
        <f t="shared" si="14"/>
        <v>#N/A</v>
      </c>
      <c r="X37" s="1813"/>
      <c r="Y37" s="3176"/>
      <c r="Z37" s="1814" t="str">
        <f t="shared" si="15"/>
        <v>成新度</v>
      </c>
      <c r="AA37" s="1811" t="e">
        <f t="shared" si="3"/>
        <v>#N/A</v>
      </c>
      <c r="AB37" s="1811"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4"/>
      <c r="Q38" s="1795"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4" t="s">
        <v>2564</v>
      </c>
      <c r="Q39" s="1810" t="str">
        <f t="shared" si="11"/>
        <v>物业管理</v>
      </c>
      <c r="R39" s="774" t="s">
        <v>17</v>
      </c>
      <c r="S39" s="775">
        <f t="shared" si="12"/>
        <v>100</v>
      </c>
      <c r="T39" s="774" t="s">
        <v>17</v>
      </c>
      <c r="U39" s="775">
        <f t="shared" si="13"/>
        <v>100</v>
      </c>
      <c r="V39" s="774" t="s">
        <v>17</v>
      </c>
      <c r="W39" s="775">
        <f t="shared" si="14"/>
        <v>100</v>
      </c>
      <c r="X39" s="1813"/>
      <c r="Y39" s="3176" t="s">
        <v>2564</v>
      </c>
      <c r="Z39" s="1814" t="str">
        <f t="shared" si="15"/>
        <v>物业管理</v>
      </c>
      <c r="AA39" s="1811">
        <f t="shared" si="3"/>
        <v>1</v>
      </c>
      <c r="AB39" s="1811">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4"/>
      <c r="Q40" s="1810" t="str">
        <f t="shared" si="11"/>
        <v>市政基础设施</v>
      </c>
      <c r="R40" s="774" t="s">
        <v>17</v>
      </c>
      <c r="S40" s="775">
        <f t="shared" si="12"/>
        <v>100</v>
      </c>
      <c r="T40" s="774" t="s">
        <v>17</v>
      </c>
      <c r="U40" s="775">
        <f t="shared" si="13"/>
        <v>100</v>
      </c>
      <c r="V40" s="774" t="s">
        <v>17</v>
      </c>
      <c r="W40" s="775">
        <f t="shared" si="14"/>
        <v>100</v>
      </c>
      <c r="X40" s="1813"/>
      <c r="Y40" s="3176"/>
      <c r="Z40" s="1814" t="str">
        <f t="shared" si="15"/>
        <v>市政基础设施</v>
      </c>
      <c r="AA40" s="1811">
        <f t="shared" si="3"/>
        <v>1</v>
      </c>
      <c r="AB40" s="1811">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4"/>
      <c r="Q41" s="1810" t="str">
        <f t="shared" si="11"/>
        <v>层高</v>
      </c>
      <c r="R41" s="774" t="s">
        <v>17</v>
      </c>
      <c r="S41" s="775">
        <f t="shared" si="12"/>
        <v>100</v>
      </c>
      <c r="T41" s="774" t="s">
        <v>17</v>
      </c>
      <c r="U41" s="775">
        <f t="shared" si="13"/>
        <v>100</v>
      </c>
      <c r="V41" s="774" t="s">
        <v>17</v>
      </c>
      <c r="W41" s="775">
        <f t="shared" si="14"/>
        <v>100</v>
      </c>
      <c r="X41" s="1813"/>
      <c r="Y41" s="3176"/>
      <c r="Z41" s="1814" t="str">
        <f t="shared" si="15"/>
        <v>层高</v>
      </c>
      <c r="AA41" s="1811">
        <f t="shared" si="3"/>
        <v>1</v>
      </c>
      <c r="AB41" s="1811">
        <f t="shared" si="4"/>
        <v>1</v>
      </c>
      <c r="AC41" s="2673">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1">
        <f t="shared" si="3"/>
        <v>1</v>
      </c>
      <c r="AB42" s="1811">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4"/>
      <c r="Q43" s="1810" t="str">
        <f t="shared" si="11"/>
        <v>内部装修</v>
      </c>
      <c r="R43" s="774" t="s">
        <v>17</v>
      </c>
      <c r="S43" s="775">
        <f t="shared" si="12"/>
        <v>100</v>
      </c>
      <c r="T43" s="774" t="s">
        <v>17</v>
      </c>
      <c r="U43" s="775">
        <f t="shared" si="13"/>
        <v>100</v>
      </c>
      <c r="V43" s="774" t="s">
        <v>17</v>
      </c>
      <c r="W43" s="775">
        <f t="shared" si="14"/>
        <v>100</v>
      </c>
      <c r="X43" s="1813"/>
      <c r="Y43" s="3176"/>
      <c r="Z43" s="1814" t="str">
        <f t="shared" si="15"/>
        <v>内部装修</v>
      </c>
      <c r="AA43" s="1811">
        <f t="shared" si="3"/>
        <v>1</v>
      </c>
      <c r="AB43" s="1811">
        <f t="shared" si="4"/>
        <v>1</v>
      </c>
      <c r="AC43" s="2673">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44"/>
      <c r="Q44" s="1810" t="str">
        <f t="shared" si="11"/>
        <v>内部装修维护情况</v>
      </c>
      <c r="R44" s="774" t="s">
        <v>17</v>
      </c>
      <c r="S44" s="775">
        <f t="shared" si="12"/>
        <v>100</v>
      </c>
      <c r="T44" s="774" t="s">
        <v>17</v>
      </c>
      <c r="U44" s="775">
        <f t="shared" si="13"/>
        <v>100</v>
      </c>
      <c r="V44" s="774" t="s">
        <v>17</v>
      </c>
      <c r="W44" s="775">
        <f t="shared" si="14"/>
        <v>100</v>
      </c>
      <c r="X44" s="1813"/>
      <c r="Y44" s="3176"/>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4"/>
      <c r="Q45" s="1795">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4"/>
      <c r="Q46" s="1810">
        <f t="shared" si="11"/>
        <v>111</v>
      </c>
      <c r="R46" s="774" t="s">
        <v>17</v>
      </c>
      <c r="S46" s="775">
        <f t="shared" si="12"/>
        <v>100</v>
      </c>
      <c r="T46" s="774" t="s">
        <v>17</v>
      </c>
      <c r="U46" s="775">
        <f t="shared" si="13"/>
        <v>100</v>
      </c>
      <c r="V46" s="774" t="s">
        <v>17</v>
      </c>
      <c r="W46" s="775">
        <f t="shared" si="14"/>
        <v>100</v>
      </c>
      <c r="X46" s="1813"/>
      <c r="Y46" s="317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5"/>
      <c r="Q47" s="1810">
        <f t="shared" si="11"/>
        <v>111</v>
      </c>
      <c r="R47" s="774" t="s">
        <v>17</v>
      </c>
      <c r="S47" s="775">
        <f t="shared" si="12"/>
        <v>100</v>
      </c>
      <c r="T47" s="774" t="s">
        <v>17</v>
      </c>
      <c r="U47" s="775">
        <f t="shared" si="13"/>
        <v>100</v>
      </c>
      <c r="V47" s="774" t="s">
        <v>17</v>
      </c>
      <c r="W47" s="775">
        <f t="shared" si="14"/>
        <v>100</v>
      </c>
      <c r="X47" s="1813"/>
      <c r="Y47" s="3246"/>
      <c r="Z47" s="1814">
        <f t="shared" si="15"/>
        <v>111</v>
      </c>
      <c r="AA47" s="1811">
        <f t="shared" si="3"/>
        <v>1</v>
      </c>
      <c r="AB47" s="1811">
        <f t="shared" si="4"/>
        <v>1</v>
      </c>
      <c r="AC47" s="2673">
        <f t="shared" si="5"/>
        <v>1</v>
      </c>
    </row>
    <row r="48" spans="1:29" ht="15">
      <c r="A48" s="479" t="s">
        <v>2576</v>
      </c>
      <c r="B48" s="480"/>
      <c r="C48" s="1407" t="s">
        <v>1</v>
      </c>
      <c r="D48" s="1408"/>
      <c r="E48" s="1409"/>
      <c r="F48" s="1410"/>
      <c r="G48" s="1411"/>
      <c r="H48" s="1412"/>
      <c r="I48" s="1409"/>
      <c r="J48" s="485"/>
      <c r="K48" s="783"/>
      <c r="L48" s="1143"/>
      <c r="M48" s="1131"/>
      <c r="N48" s="1131"/>
      <c r="O48" s="1131"/>
      <c r="P48" s="3195" t="str">
        <f>A48</f>
        <v>成交单价（元/平方米）</v>
      </c>
      <c r="Q48" s="3170"/>
      <c r="R48" s="3242">
        <f>E48</f>
        <v>0</v>
      </c>
      <c r="S48" s="3242"/>
      <c r="T48" s="3242">
        <f>G48</f>
        <v>0</v>
      </c>
      <c r="U48" s="3242"/>
      <c r="V48" s="3242">
        <f>I48</f>
        <v>0</v>
      </c>
      <c r="W48" s="3242"/>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170"/>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61" t="str">
        <f>A50</f>
        <v>估价对象XX用房的比较价值（楼面单价，元/平方米）</v>
      </c>
      <c r="Q50" s="3262"/>
      <c r="R50" s="3263" t="e">
        <f>IF(F1="售价",ROUND(AVERAGE(R49:V49),0),ROUND(AVERAGE(R49:V49),1))</f>
        <v>#DIV/0!</v>
      </c>
      <c r="S50" s="3263"/>
      <c r="T50" s="3263"/>
      <c r="U50" s="3263"/>
      <c r="V50" s="3263"/>
      <c r="W50" s="326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0"/>
      <c r="Q58" s="504"/>
    </row>
    <row r="59" spans="1:29" s="508" customFormat="1" ht="15">
      <c r="A59" s="505" t="s">
        <v>2547</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国民信托有限公司：</v>
      </c>
    </row>
    <row r="4" spans="1:1" ht="36">
      <c r="A4" s="1948" t="str">
        <f>"受贵公司委托，我公司对"&amp;项目基本情况!S1&amp;"进行了预评估。"</f>
        <v>受贵公司委托，我公司对江苏省盐城市阜宁县澳洋工业园马河、王庄村房地产抵押价值进行了预评估。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估价对象为江苏省盐城市阜宁县澳洋工业园马河、王庄村房地产，为所有。根据，估价对象（分摊）出让国有建设用地使用权面积为142073.1平方米，建筑面积为26688.41平方米。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估价对象为江苏省盐城市阜宁县澳洋工业园马河、王庄村房地产,属开发建设的，该项目尚在开发建设中。根据，估价对象（分摊）出让国有建设用地使用权面积为142073.1平方米，规划建筑面积为26688.41平方米。</v>
      </c>
    </row>
    <row r="11" spans="1:1" ht="76.5">
      <c r="A11" s="1951" t="s">
        <v>1612</v>
      </c>
    </row>
    <row r="12" spans="1:1" ht="18.75">
      <c r="A12" s="1949" t="s">
        <v>1613</v>
      </c>
    </row>
    <row r="13" spans="1:1" ht="38.25" customHeight="1">
      <c r="A13" s="1952" t="str">
        <f>IF(项目基本情况!B8="抵押",IF(项目基本情况!B5=项目基本情况!B6,定义!C51,定义!B51),定义!D51)</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2701</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26688.410000000003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8" t="s">
        <v>2647</v>
      </c>
      <c r="AC4" s="3177" t="s">
        <v>2648</v>
      </c>
    </row>
    <row r="5" spans="1:29" ht="15">
      <c r="A5" s="404"/>
      <c r="B5" s="405"/>
      <c r="C5" s="3201" t="s">
        <v>2541</v>
      </c>
      <c r="D5" s="3202"/>
      <c r="E5" s="3190" t="s">
        <v>2542</v>
      </c>
      <c r="F5" s="3191"/>
      <c r="G5" s="3201" t="s">
        <v>2543</v>
      </c>
      <c r="H5" s="3202"/>
      <c r="I5" s="3201" t="s">
        <v>2544</v>
      </c>
      <c r="J5" s="3202"/>
      <c r="K5" s="610"/>
      <c r="L5" s="1130"/>
      <c r="M5" s="1131"/>
      <c r="N5" s="1131"/>
      <c r="O5" s="1131"/>
      <c r="P5" s="3186"/>
      <c r="Q5" s="3187"/>
      <c r="R5" s="3199"/>
      <c r="S5" s="3200"/>
      <c r="T5" s="3199"/>
      <c r="U5" s="3200"/>
      <c r="V5" s="3172"/>
      <c r="W5" s="3172"/>
      <c r="X5" s="1813"/>
      <c r="Y5" s="3199"/>
      <c r="Z5" s="3200"/>
      <c r="AA5" s="3178"/>
      <c r="AB5" s="3178"/>
      <c r="AC5" s="3178"/>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88"/>
      <c r="Q6" s="3189"/>
      <c r="R6" s="3199"/>
      <c r="S6" s="3200"/>
      <c r="T6" s="3208"/>
      <c r="U6" s="3209"/>
      <c r="V6" s="3172"/>
      <c r="W6" s="3172"/>
      <c r="X6" s="1813"/>
      <c r="Y6" s="3208"/>
      <c r="Z6" s="3209"/>
      <c r="AA6" s="3179"/>
      <c r="AB6" s="3179"/>
      <c r="AC6" s="3179"/>
    </row>
    <row r="7" spans="1:29" s="117" customFormat="1" ht="15.75" thickBot="1">
      <c r="A7" s="408" t="s">
        <v>2547</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2" t="s">
        <v>2548</v>
      </c>
      <c r="Q7" s="3205"/>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0"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0"/>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0"/>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2559</v>
      </c>
      <c r="Q15" s="1810" t="str">
        <f t="shared" si="6"/>
        <v>产业集聚程度</v>
      </c>
      <c r="R15" s="774" t="s">
        <v>17</v>
      </c>
      <c r="S15" s="775">
        <f t="shared" si="0"/>
        <v>100</v>
      </c>
      <c r="T15" s="774" t="s">
        <v>17</v>
      </c>
      <c r="U15" s="775">
        <f t="shared" si="1"/>
        <v>100</v>
      </c>
      <c r="V15" s="774" t="s">
        <v>17</v>
      </c>
      <c r="W15" s="775">
        <f t="shared" si="2"/>
        <v>100</v>
      </c>
      <c r="X15" s="1813"/>
      <c r="Y15" s="3173"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8.5">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75" t="s">
        <v>2564</v>
      </c>
      <c r="Q29" s="1810" t="str">
        <f t="shared" si="11"/>
        <v>建筑类型</v>
      </c>
      <c r="R29" s="774" t="s">
        <v>17</v>
      </c>
      <c r="S29" s="775">
        <f t="shared" si="12"/>
        <v>100</v>
      </c>
      <c r="T29" s="774" t="s">
        <v>17</v>
      </c>
      <c r="U29" s="775">
        <f t="shared" si="13"/>
        <v>100</v>
      </c>
      <c r="V29" s="774" t="s">
        <v>17</v>
      </c>
      <c r="W29" s="775">
        <f t="shared" si="14"/>
        <v>100</v>
      </c>
      <c r="X29" s="1813"/>
      <c r="Y29" s="3176"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6"/>
      <c r="Q31" s="1810" t="str">
        <f t="shared" si="11"/>
        <v>建筑结构</v>
      </c>
      <c r="R31" s="774" t="s">
        <v>17</v>
      </c>
      <c r="S31" s="775">
        <f t="shared" si="12"/>
        <v>100</v>
      </c>
      <c r="T31" s="774" t="s">
        <v>17</v>
      </c>
      <c r="U31" s="775">
        <f t="shared" si="13"/>
        <v>100</v>
      </c>
      <c r="V31" s="774" t="s">
        <v>17</v>
      </c>
      <c r="W31" s="775">
        <f t="shared" si="14"/>
        <v>100</v>
      </c>
      <c r="X31" s="1813"/>
      <c r="Y31" s="3176"/>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6"/>
      <c r="Q32" s="1810" t="str">
        <f t="shared" si="11"/>
        <v>公共部分装修</v>
      </c>
      <c r="R32" s="774" t="s">
        <v>17</v>
      </c>
      <c r="S32" s="775">
        <f t="shared" si="12"/>
        <v>100</v>
      </c>
      <c r="T32" s="774" t="s">
        <v>17</v>
      </c>
      <c r="U32" s="775">
        <f t="shared" si="13"/>
        <v>100</v>
      </c>
      <c r="V32" s="774" t="s">
        <v>17</v>
      </c>
      <c r="W32" s="775">
        <f t="shared" si="14"/>
        <v>100</v>
      </c>
      <c r="X32" s="1813"/>
      <c r="Y32" s="3176"/>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6"/>
      <c r="Q33" s="1810" t="str">
        <f t="shared" si="11"/>
        <v>成新度</v>
      </c>
      <c r="R33" s="774" t="s">
        <v>17</v>
      </c>
      <c r="S33" s="775" t="e">
        <f t="shared" si="12"/>
        <v>#N/A</v>
      </c>
      <c r="T33" s="774" t="s">
        <v>17</v>
      </c>
      <c r="U33" s="775" t="e">
        <f t="shared" si="13"/>
        <v>#N/A</v>
      </c>
      <c r="V33" s="774" t="s">
        <v>17</v>
      </c>
      <c r="W33" s="775" t="e">
        <f t="shared" si="14"/>
        <v>#N/A</v>
      </c>
      <c r="X33" s="1813"/>
      <c r="Y33" s="3176"/>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6"/>
      <c r="Q34" s="1795"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6" t="s">
        <v>2564</v>
      </c>
      <c r="Q35" s="1810" t="str">
        <f t="shared" si="11"/>
        <v>市政基础设施</v>
      </c>
      <c r="R35" s="774" t="s">
        <v>17</v>
      </c>
      <c r="S35" s="775">
        <f t="shared" si="12"/>
        <v>100</v>
      </c>
      <c r="T35" s="774" t="s">
        <v>17</v>
      </c>
      <c r="U35" s="775">
        <f t="shared" si="13"/>
        <v>100</v>
      </c>
      <c r="V35" s="774" t="s">
        <v>17</v>
      </c>
      <c r="W35" s="775">
        <f t="shared" si="14"/>
        <v>100</v>
      </c>
      <c r="X35" s="1813"/>
      <c r="Y35" s="3176"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6"/>
      <c r="Q36" s="1810" t="str">
        <f t="shared" si="11"/>
        <v>内部装修</v>
      </c>
      <c r="R36" s="774" t="s">
        <v>17</v>
      </c>
      <c r="S36" s="775">
        <f t="shared" si="12"/>
        <v>100</v>
      </c>
      <c r="T36" s="774" t="s">
        <v>17</v>
      </c>
      <c r="U36" s="775">
        <f t="shared" si="13"/>
        <v>100</v>
      </c>
      <c r="V36" s="774" t="s">
        <v>17</v>
      </c>
      <c r="W36" s="775">
        <f t="shared" si="14"/>
        <v>100</v>
      </c>
      <c r="X36" s="1813"/>
      <c r="Y36" s="3176"/>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6"/>
      <c r="Q37" s="1810" t="str">
        <f t="shared" si="11"/>
        <v>内部装修状况</v>
      </c>
      <c r="R37" s="774" t="s">
        <v>17</v>
      </c>
      <c r="S37" s="775">
        <f t="shared" si="12"/>
        <v>100</v>
      </c>
      <c r="T37" s="774" t="s">
        <v>17</v>
      </c>
      <c r="U37" s="775">
        <f t="shared" si="13"/>
        <v>100</v>
      </c>
      <c r="V37" s="774" t="s">
        <v>17</v>
      </c>
      <c r="W37" s="775">
        <f t="shared" si="14"/>
        <v>100</v>
      </c>
      <c r="X37" s="1813"/>
      <c r="Y37" s="317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6"/>
      <c r="Q39" s="1810">
        <f t="shared" si="11"/>
        <v>111</v>
      </c>
      <c r="R39" s="774" t="s">
        <v>17</v>
      </c>
      <c r="S39" s="775">
        <f t="shared" si="12"/>
        <v>100</v>
      </c>
      <c r="T39" s="774" t="s">
        <v>17</v>
      </c>
      <c r="U39" s="775">
        <f t="shared" si="13"/>
        <v>100</v>
      </c>
      <c r="V39" s="774" t="s">
        <v>17</v>
      </c>
      <c r="W39" s="775">
        <f t="shared" si="14"/>
        <v>100</v>
      </c>
      <c r="X39" s="1813"/>
      <c r="Y39" s="317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6"/>
      <c r="Q40" s="1810">
        <f t="shared" si="11"/>
        <v>111</v>
      </c>
      <c r="R40" s="774" t="s">
        <v>17</v>
      </c>
      <c r="S40" s="775">
        <f t="shared" si="12"/>
        <v>100</v>
      </c>
      <c r="T40" s="774" t="s">
        <v>17</v>
      </c>
      <c r="U40" s="775">
        <f t="shared" si="13"/>
        <v>100</v>
      </c>
      <c r="V40" s="774" t="s">
        <v>17</v>
      </c>
      <c r="W40" s="775">
        <f t="shared" si="14"/>
        <v>100</v>
      </c>
      <c r="X40" s="1813"/>
      <c r="Y40" s="3246"/>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70" t="str">
        <f>A41</f>
        <v>成交单价（元/平方米）</v>
      </c>
      <c r="Q41" s="3170"/>
      <c r="R41" s="3242">
        <f>E41</f>
        <v>0</v>
      </c>
      <c r="S41" s="3242"/>
      <c r="T41" s="3242">
        <f>G41</f>
        <v>0</v>
      </c>
      <c r="U41" s="3242"/>
      <c r="V41" s="3242">
        <f>I41</f>
        <v>0</v>
      </c>
      <c r="W41" s="3242"/>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0" t="str">
        <f>A42</f>
        <v>比较价值（元/平方米）</v>
      </c>
      <c r="Q42" s="3170"/>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67" t="str">
        <f>A43</f>
        <v>估价对象XX用房的比较价值（楼面单价，元/平方米）</v>
      </c>
      <c r="Q43" s="3168"/>
      <c r="R43" s="3241" t="e">
        <f>IF(F1="售价",ROUND(AVERAGE(R42:V42),0),ROUND(AVERAGE(R42:V42),1))</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3"/>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8" t="s">
        <v>2647</v>
      </c>
      <c r="AC4" s="3177" t="s">
        <v>2648</v>
      </c>
    </row>
    <row r="5" spans="1:29" ht="15">
      <c r="A5" s="404"/>
      <c r="B5" s="405"/>
      <c r="C5" s="3201" t="s">
        <v>2541</v>
      </c>
      <c r="D5" s="3202"/>
      <c r="E5" s="3190" t="s">
        <v>2542</v>
      </c>
      <c r="F5" s="3191"/>
      <c r="G5" s="3201" t="s">
        <v>2543</v>
      </c>
      <c r="H5" s="3202"/>
      <c r="I5" s="3201" t="s">
        <v>2544</v>
      </c>
      <c r="J5" s="3202"/>
      <c r="K5" s="610"/>
      <c r="L5" s="1130"/>
      <c r="M5" s="1131"/>
      <c r="N5" s="1131"/>
      <c r="O5" s="1131"/>
      <c r="P5" s="3186"/>
      <c r="Q5" s="3187"/>
      <c r="R5" s="3199"/>
      <c r="S5" s="3200"/>
      <c r="T5" s="3199"/>
      <c r="U5" s="3200"/>
      <c r="V5" s="3172"/>
      <c r="W5" s="3172"/>
      <c r="X5" s="1813"/>
      <c r="Y5" s="3199"/>
      <c r="Z5" s="3200"/>
      <c r="AA5" s="3178"/>
      <c r="AB5" s="3178"/>
      <c r="AC5" s="3178"/>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88"/>
      <c r="Q6" s="3189"/>
      <c r="R6" s="3199"/>
      <c r="S6" s="3200"/>
      <c r="T6" s="3208"/>
      <c r="U6" s="3209"/>
      <c r="V6" s="3172"/>
      <c r="W6" s="3172"/>
      <c r="X6" s="1813"/>
      <c r="Y6" s="3208"/>
      <c r="Z6" s="3209"/>
      <c r="AA6" s="3179"/>
      <c r="AB6" s="3179"/>
      <c r="AC6" s="3179"/>
    </row>
    <row r="7" spans="1:29" s="117" customFormat="1" ht="15.75" thickBot="1">
      <c r="A7" s="408" t="s">
        <v>2547</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2" t="s">
        <v>2548</v>
      </c>
      <c r="Q7" s="3205"/>
      <c r="R7" s="770" t="s">
        <v>17</v>
      </c>
      <c r="S7" s="771">
        <f t="shared" ref="S7:S14" si="0">F7</f>
        <v>0</v>
      </c>
      <c r="T7" s="770" t="s">
        <v>17</v>
      </c>
      <c r="U7" s="771">
        <f t="shared" ref="U7:U14" si="1">H7</f>
        <v>0</v>
      </c>
      <c r="V7" s="770" t="s">
        <v>17</v>
      </c>
      <c r="W7" s="771">
        <f t="shared" ref="W7:W14"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0" t="s">
        <v>2554</v>
      </c>
      <c r="Q9" s="1795" t="str">
        <f t="shared" ref="Q9:Q14" si="6">B9</f>
        <v>用途</v>
      </c>
      <c r="R9" s="770" t="s">
        <v>17</v>
      </c>
      <c r="S9" s="771">
        <f t="shared" si="0"/>
        <v>100</v>
      </c>
      <c r="T9" s="770" t="s">
        <v>17</v>
      </c>
      <c r="U9" s="771">
        <f t="shared" si="1"/>
        <v>100</v>
      </c>
      <c r="V9" s="770" t="s">
        <v>17</v>
      </c>
      <c r="W9" s="771">
        <f t="shared" si="2"/>
        <v>100</v>
      </c>
      <c r="X9" s="772"/>
      <c r="Y9" s="304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0"/>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2558</v>
      </c>
      <c r="B14" s="629" t="s">
        <v>2708</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2559</v>
      </c>
      <c r="Q14" s="1810" t="str">
        <f t="shared" si="6"/>
        <v>交通便捷度</v>
      </c>
      <c r="R14" s="774" t="s">
        <v>17</v>
      </c>
      <c r="S14" s="775">
        <f t="shared" si="0"/>
        <v>100</v>
      </c>
      <c r="T14" s="774" t="s">
        <v>17</v>
      </c>
      <c r="U14" s="775">
        <f t="shared" si="1"/>
        <v>100</v>
      </c>
      <c r="V14" s="774" t="s">
        <v>17</v>
      </c>
      <c r="W14" s="775">
        <f t="shared" si="2"/>
        <v>100</v>
      </c>
      <c r="X14" s="1813"/>
      <c r="Y14" s="3173"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2687</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2688</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2709</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5"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6"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6"/>
      <c r="Q28" s="1810" t="str">
        <f t="shared" si="11"/>
        <v>公共部分装修</v>
      </c>
      <c r="R28" s="774" t="s">
        <v>17</v>
      </c>
      <c r="S28" s="775">
        <f t="shared" si="12"/>
        <v>100</v>
      </c>
      <c r="T28" s="774" t="s">
        <v>17</v>
      </c>
      <c r="U28" s="775">
        <f t="shared" si="13"/>
        <v>100</v>
      </c>
      <c r="V28" s="774" t="s">
        <v>17</v>
      </c>
      <c r="W28" s="775">
        <f t="shared" si="14"/>
        <v>100</v>
      </c>
      <c r="X28" s="1813"/>
      <c r="Y28" s="3176"/>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6"/>
      <c r="Q29" s="1810" t="str">
        <f t="shared" si="11"/>
        <v>成新率</v>
      </c>
      <c r="R29" s="774" t="s">
        <v>17</v>
      </c>
      <c r="S29" s="775" t="e">
        <f t="shared" si="12"/>
        <v>#N/A</v>
      </c>
      <c r="T29" s="774" t="s">
        <v>17</v>
      </c>
      <c r="U29" s="775" t="e">
        <f t="shared" si="13"/>
        <v>#N/A</v>
      </c>
      <c r="V29" s="774" t="s">
        <v>17</v>
      </c>
      <c r="W29" s="775" t="e">
        <f t="shared" si="14"/>
        <v>#N/A</v>
      </c>
      <c r="X29" s="1813"/>
      <c r="Y29" s="3176"/>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6"/>
      <c r="Q30" s="1810" t="str">
        <f t="shared" si="11"/>
        <v>物业等级</v>
      </c>
      <c r="R30" s="774" t="s">
        <v>17</v>
      </c>
      <c r="S30" s="775">
        <f t="shared" si="12"/>
        <v>100</v>
      </c>
      <c r="T30" s="774" t="s">
        <v>17</v>
      </c>
      <c r="U30" s="775">
        <f t="shared" si="13"/>
        <v>100</v>
      </c>
      <c r="V30" s="774" t="s">
        <v>17</v>
      </c>
      <c r="W30" s="775">
        <f t="shared" si="14"/>
        <v>100</v>
      </c>
      <c r="X30" s="1813"/>
      <c r="Y30" s="3176"/>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6"/>
      <c r="Q31" s="1795"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6" t="s">
        <v>2564</v>
      </c>
      <c r="Q32" s="1810" t="str">
        <f t="shared" si="11"/>
        <v>车位类型</v>
      </c>
      <c r="R32" s="774" t="s">
        <v>17</v>
      </c>
      <c r="S32" s="775">
        <f t="shared" si="12"/>
        <v>100</v>
      </c>
      <c r="T32" s="774" t="s">
        <v>17</v>
      </c>
      <c r="U32" s="775">
        <f t="shared" si="13"/>
        <v>100</v>
      </c>
      <c r="V32" s="774" t="s">
        <v>17</v>
      </c>
      <c r="W32" s="775">
        <f t="shared" si="14"/>
        <v>100</v>
      </c>
      <c r="X32" s="1813"/>
      <c r="Y32" s="3176"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6"/>
      <c r="Q33" s="1810" t="str">
        <f t="shared" si="11"/>
        <v>是否直接入户</v>
      </c>
      <c r="R33" s="774" t="s">
        <v>17</v>
      </c>
      <c r="S33" s="775">
        <f t="shared" si="12"/>
        <v>100</v>
      </c>
      <c r="T33" s="774" t="s">
        <v>17</v>
      </c>
      <c r="U33" s="775">
        <f t="shared" si="13"/>
        <v>100</v>
      </c>
      <c r="V33" s="774" t="s">
        <v>17</v>
      </c>
      <c r="W33" s="775">
        <f t="shared" si="14"/>
        <v>100</v>
      </c>
      <c r="X33" s="1813"/>
      <c r="Y33" s="317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6"/>
      <c r="Q34" s="1810">
        <f t="shared" si="11"/>
        <v>111</v>
      </c>
      <c r="R34" s="774" t="s">
        <v>17</v>
      </c>
      <c r="S34" s="775">
        <f t="shared" si="12"/>
        <v>100</v>
      </c>
      <c r="T34" s="774" t="s">
        <v>17</v>
      </c>
      <c r="U34" s="775">
        <f t="shared" si="13"/>
        <v>100</v>
      </c>
      <c r="V34" s="774" t="s">
        <v>17</v>
      </c>
      <c r="W34" s="775">
        <f t="shared" si="14"/>
        <v>100</v>
      </c>
      <c r="X34" s="1813"/>
      <c r="Y34" s="317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6"/>
      <c r="Q36" s="1810">
        <f t="shared" si="11"/>
        <v>111</v>
      </c>
      <c r="R36" s="774" t="s">
        <v>17</v>
      </c>
      <c r="S36" s="775">
        <f t="shared" si="12"/>
        <v>100</v>
      </c>
      <c r="T36" s="774" t="s">
        <v>17</v>
      </c>
      <c r="U36" s="775">
        <f t="shared" si="13"/>
        <v>100</v>
      </c>
      <c r="V36" s="774" t="s">
        <v>17</v>
      </c>
      <c r="W36" s="775">
        <f t="shared" si="14"/>
        <v>100</v>
      </c>
      <c r="X36" s="1813"/>
      <c r="Y36" s="3176"/>
      <c r="Z36" s="1814">
        <f t="shared" si="15"/>
        <v>111</v>
      </c>
      <c r="AA36" s="1811">
        <f t="shared" si="3"/>
        <v>1</v>
      </c>
      <c r="AB36" s="1811">
        <f t="shared" si="4"/>
        <v>1</v>
      </c>
      <c r="AC36" s="1811">
        <f t="shared" si="5"/>
        <v>1</v>
      </c>
    </row>
    <row r="37" spans="1:29" ht="15">
      <c r="A37" s="479" t="s">
        <v>2719</v>
      </c>
      <c r="B37" s="2694" t="s">
        <v>2720</v>
      </c>
      <c r="C37" s="1407" t="s">
        <v>1</v>
      </c>
      <c r="D37" s="1408"/>
      <c r="E37" s="1409"/>
      <c r="F37" s="1410"/>
      <c r="G37" s="1411"/>
      <c r="H37" s="1412"/>
      <c r="I37" s="1409"/>
      <c r="J37" s="1412"/>
      <c r="K37" s="619"/>
      <c r="L37" s="1143"/>
      <c r="M37" s="1144"/>
      <c r="N37" s="1131"/>
      <c r="O37" s="1144"/>
      <c r="P37" s="3170" t="str">
        <f>A37</f>
        <v>成交单价</v>
      </c>
      <c r="Q37" s="3170"/>
      <c r="R37" s="3242">
        <f>E37</f>
        <v>0</v>
      </c>
      <c r="S37" s="3242"/>
      <c r="T37" s="3242">
        <f>G37</f>
        <v>0</v>
      </c>
      <c r="U37" s="3242"/>
      <c r="V37" s="3242">
        <f>I37</f>
        <v>0</v>
      </c>
      <c r="W37" s="3242"/>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0" t="str">
        <f>A38</f>
        <v>比较价值（元/平方米）</v>
      </c>
      <c r="Q38" s="3170"/>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67" t="str">
        <f>A39</f>
        <v>估价对象XX用房的比较价值（楼面单价，元/平方米）</v>
      </c>
      <c r="Q39" s="3168"/>
      <c r="R39" s="3241" t="e">
        <f>IF(F1="售价",ROUND(AVERAGE(R38:V38),0),ROUND(AVERAGE(R38:V38),1))</f>
        <v>#DIV/0!</v>
      </c>
      <c r="S39" s="3241"/>
      <c r="T39" s="3241"/>
      <c r="U39" s="3241"/>
      <c r="V39" s="3241"/>
      <c r="W39" s="324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8" t="s">
        <v>2647</v>
      </c>
      <c r="AC4" s="3177" t="s">
        <v>2648</v>
      </c>
    </row>
    <row r="5" spans="1:29" ht="15">
      <c r="A5" s="404"/>
      <c r="B5" s="405"/>
      <c r="C5" s="3201" t="s">
        <v>2541</v>
      </c>
      <c r="D5" s="3202"/>
      <c r="E5" s="3190" t="s">
        <v>2542</v>
      </c>
      <c r="F5" s="3191"/>
      <c r="G5" s="3201" t="s">
        <v>2543</v>
      </c>
      <c r="H5" s="3202"/>
      <c r="I5" s="3201" t="s">
        <v>2544</v>
      </c>
      <c r="J5" s="3202"/>
      <c r="K5" s="610"/>
      <c r="L5" s="1130"/>
      <c r="M5" s="1131"/>
      <c r="N5" s="1131"/>
      <c r="O5" s="1131"/>
      <c r="P5" s="3186"/>
      <c r="Q5" s="3187"/>
      <c r="R5" s="3199"/>
      <c r="S5" s="3200"/>
      <c r="T5" s="3199"/>
      <c r="U5" s="3200"/>
      <c r="V5" s="3172"/>
      <c r="W5" s="3172"/>
      <c r="X5" s="1813"/>
      <c r="Y5" s="3199"/>
      <c r="Z5" s="3200"/>
      <c r="AA5" s="3178"/>
      <c r="AB5" s="3178"/>
      <c r="AC5" s="3178"/>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88"/>
      <c r="Q6" s="3189"/>
      <c r="R6" s="3199"/>
      <c r="S6" s="3200"/>
      <c r="T6" s="3208"/>
      <c r="U6" s="3209"/>
      <c r="V6" s="3172"/>
      <c r="W6" s="3172"/>
      <c r="X6" s="1813"/>
      <c r="Y6" s="3208"/>
      <c r="Z6" s="3209"/>
      <c r="AA6" s="3179"/>
      <c r="AB6" s="3179"/>
      <c r="AC6" s="3179"/>
    </row>
    <row r="7" spans="1:29" s="117" customFormat="1" ht="15.75" thickBot="1">
      <c r="A7" s="408" t="s">
        <v>2547</v>
      </c>
      <c r="B7" s="409"/>
      <c r="C7" s="410">
        <f>'数据-取费表'!B2</f>
        <v>43595</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92" t="s">
        <v>2548</v>
      </c>
      <c r="Q7" s="3205"/>
      <c r="R7" s="770" t="s">
        <v>17</v>
      </c>
      <c r="S7" s="771">
        <f t="shared" ref="S7:S14" si="0">F7</f>
        <v>0</v>
      </c>
      <c r="T7" s="770" t="s">
        <v>17</v>
      </c>
      <c r="U7" s="771">
        <f t="shared" ref="U7:U14" si="1">H7</f>
        <v>0</v>
      </c>
      <c r="V7" s="770" t="s">
        <v>17</v>
      </c>
      <c r="W7" s="771">
        <f t="shared" ref="W7:W14"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0" t="s">
        <v>2554</v>
      </c>
      <c r="Q9" s="1795" t="str">
        <f t="shared" ref="Q9:Q14" si="6">B9</f>
        <v>用途</v>
      </c>
      <c r="R9" s="770" t="s">
        <v>17</v>
      </c>
      <c r="S9" s="771">
        <f t="shared" si="0"/>
        <v>100</v>
      </c>
      <c r="T9" s="770" t="s">
        <v>17</v>
      </c>
      <c r="U9" s="771">
        <f t="shared" si="1"/>
        <v>100</v>
      </c>
      <c r="V9" s="770" t="s">
        <v>17</v>
      </c>
      <c r="W9" s="771">
        <f t="shared" si="2"/>
        <v>100</v>
      </c>
      <c r="X9" s="772"/>
      <c r="Y9" s="304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0"/>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2558</v>
      </c>
      <c r="B14" s="69" t="s">
        <v>2708</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2559</v>
      </c>
      <c r="Q14" s="1810" t="str">
        <f t="shared" si="6"/>
        <v>交通便捷度</v>
      </c>
      <c r="R14" s="774" t="s">
        <v>17</v>
      </c>
      <c r="S14" s="775">
        <f t="shared" si="0"/>
        <v>100</v>
      </c>
      <c r="T14" s="774" t="s">
        <v>17</v>
      </c>
      <c r="U14" s="775">
        <f t="shared" si="1"/>
        <v>100</v>
      </c>
      <c r="V14" s="774" t="s">
        <v>17</v>
      </c>
      <c r="W14" s="775">
        <f t="shared" si="2"/>
        <v>100</v>
      </c>
      <c r="X14" s="1813"/>
      <c r="Y14" s="3173"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2687</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2688</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2709</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75"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6"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6"/>
      <c r="Q28" s="1810" t="str">
        <f t="shared" si="11"/>
        <v>物业等级</v>
      </c>
      <c r="R28" s="774" t="s">
        <v>17</v>
      </c>
      <c r="S28" s="775">
        <f t="shared" si="12"/>
        <v>100</v>
      </c>
      <c r="T28" s="774" t="s">
        <v>17</v>
      </c>
      <c r="U28" s="775">
        <f t="shared" si="13"/>
        <v>100</v>
      </c>
      <c r="V28" s="774" t="s">
        <v>17</v>
      </c>
      <c r="W28" s="775">
        <f t="shared" si="14"/>
        <v>100</v>
      </c>
      <c r="X28" s="1813"/>
      <c r="Y28" s="3176"/>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6"/>
      <c r="Q29" s="1810" t="str">
        <f t="shared" si="11"/>
        <v>有无电梯</v>
      </c>
      <c r="R29" s="774" t="s">
        <v>17</v>
      </c>
      <c r="S29" s="775">
        <f t="shared" si="12"/>
        <v>100</v>
      </c>
      <c r="T29" s="774" t="s">
        <v>17</v>
      </c>
      <c r="U29" s="775">
        <f t="shared" si="13"/>
        <v>100</v>
      </c>
      <c r="V29" s="774" t="s">
        <v>17</v>
      </c>
      <c r="W29" s="775">
        <f t="shared" si="14"/>
        <v>100</v>
      </c>
      <c r="X29" s="1813"/>
      <c r="Y29" s="3176"/>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6"/>
      <c r="Q30" s="1810" t="str">
        <f t="shared" si="11"/>
        <v>建筑面积</v>
      </c>
      <c r="R30" s="774" t="s">
        <v>17</v>
      </c>
      <c r="S30" s="775" t="e">
        <f t="shared" si="12"/>
        <v>#N/A</v>
      </c>
      <c r="T30" s="774" t="s">
        <v>17</v>
      </c>
      <c r="U30" s="775" t="e">
        <f t="shared" si="13"/>
        <v>#N/A</v>
      </c>
      <c r="V30" s="774" t="s">
        <v>17</v>
      </c>
      <c r="W30" s="775" t="e">
        <f t="shared" si="14"/>
        <v>#N/A</v>
      </c>
      <c r="X30" s="1813"/>
      <c r="Y30" s="3176"/>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6"/>
      <c r="Q31" s="1795"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6" t="s">
        <v>2564</v>
      </c>
      <c r="Q32" s="1810">
        <f t="shared" si="11"/>
        <v>111</v>
      </c>
      <c r="R32" s="774" t="s">
        <v>17</v>
      </c>
      <c r="S32" s="775">
        <f t="shared" si="12"/>
        <v>100</v>
      </c>
      <c r="T32" s="774" t="s">
        <v>17</v>
      </c>
      <c r="U32" s="775">
        <f t="shared" si="13"/>
        <v>100</v>
      </c>
      <c r="V32" s="774" t="s">
        <v>17</v>
      </c>
      <c r="W32" s="775">
        <f t="shared" si="14"/>
        <v>100</v>
      </c>
      <c r="X32" s="1813"/>
      <c r="Y32" s="3176"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6"/>
      <c r="Q33" s="1810">
        <f t="shared" si="11"/>
        <v>111</v>
      </c>
      <c r="R33" s="774" t="s">
        <v>17</v>
      </c>
      <c r="S33" s="775">
        <f t="shared" si="12"/>
        <v>100</v>
      </c>
      <c r="T33" s="774" t="s">
        <v>17</v>
      </c>
      <c r="U33" s="775">
        <f t="shared" si="13"/>
        <v>100</v>
      </c>
      <c r="V33" s="774" t="s">
        <v>17</v>
      </c>
      <c r="W33" s="775">
        <f t="shared" si="14"/>
        <v>100</v>
      </c>
      <c r="X33" s="1813"/>
      <c r="Y33" s="317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76"/>
      <c r="Q34" s="1810">
        <f t="shared" si="11"/>
        <v>111</v>
      </c>
      <c r="R34" s="774" t="s">
        <v>17</v>
      </c>
      <c r="S34" s="775">
        <f t="shared" si="12"/>
        <v>100</v>
      </c>
      <c r="T34" s="774" t="s">
        <v>17</v>
      </c>
      <c r="U34" s="775">
        <f t="shared" si="13"/>
        <v>100</v>
      </c>
      <c r="V34" s="774" t="s">
        <v>17</v>
      </c>
      <c r="W34" s="775">
        <f t="shared" si="14"/>
        <v>100</v>
      </c>
      <c r="X34" s="1813"/>
      <c r="Y34" s="3176"/>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70" t="str">
        <f>A35</f>
        <v>成交单价（元/平方米）</v>
      </c>
      <c r="Q35" s="3170"/>
      <c r="R35" s="3242">
        <f>E35</f>
        <v>0</v>
      </c>
      <c r="S35" s="3242"/>
      <c r="T35" s="3242">
        <f>G35</f>
        <v>0</v>
      </c>
      <c r="U35" s="3242"/>
      <c r="V35" s="3242">
        <f>I35</f>
        <v>0</v>
      </c>
      <c r="W35" s="3242"/>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0" t="str">
        <f>A36</f>
        <v>比较价值（元/平方米）</v>
      </c>
      <c r="Q36" s="3170"/>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67" t="str">
        <f>A37</f>
        <v>估价对象XX用房的比较价值（楼面单价，元/平方米）</v>
      </c>
      <c r="Q37" s="3168"/>
      <c r="R37" s="3241" t="e">
        <f>IF(F1="售价",ROUND(AVERAGE(R36:V36),0),ROUND(AVERAGE(R36:V36),1))</f>
        <v>#DIV/0!</v>
      </c>
      <c r="S37" s="3241"/>
      <c r="T37" s="3241"/>
      <c r="U37" s="3241"/>
      <c r="V37" s="3241"/>
      <c r="W37" s="324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49" activeCellId="1" sqref="H37 G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0" t="s">
        <v>2645</v>
      </c>
      <c r="D4" s="3181"/>
      <c r="E4" s="3182" t="s">
        <v>2646</v>
      </c>
      <c r="F4" s="3183"/>
      <c r="G4" s="3180" t="s">
        <v>2647</v>
      </c>
      <c r="H4" s="3181"/>
      <c r="I4" s="3180" t="s">
        <v>2648</v>
      </c>
      <c r="J4" s="3181"/>
      <c r="K4" s="610" t="s">
        <v>2649</v>
      </c>
      <c r="L4" s="1130"/>
      <c r="M4" s="1131"/>
      <c r="N4" s="1131"/>
      <c r="O4" s="1131"/>
      <c r="P4" s="3184" t="s">
        <v>2650</v>
      </c>
      <c r="Q4" s="3185"/>
      <c r="R4" s="3197" t="s">
        <v>2646</v>
      </c>
      <c r="S4" s="3198"/>
      <c r="T4" s="3197" t="s">
        <v>2647</v>
      </c>
      <c r="U4" s="3198"/>
      <c r="V4" s="3172" t="s">
        <v>2648</v>
      </c>
      <c r="W4" s="3172"/>
      <c r="X4" s="1813"/>
      <c r="Y4" s="3197" t="s">
        <v>2650</v>
      </c>
      <c r="Z4" s="3198"/>
      <c r="AA4" s="3177" t="s">
        <v>2646</v>
      </c>
      <c r="AB4" s="3178" t="s">
        <v>2647</v>
      </c>
      <c r="AC4" s="3177" t="s">
        <v>2648</v>
      </c>
    </row>
    <row r="5" spans="1:30" ht="15">
      <c r="A5" s="404"/>
      <c r="B5" s="405"/>
      <c r="C5" s="3201" t="s">
        <v>2541</v>
      </c>
      <c r="D5" s="3202"/>
      <c r="E5" s="3190" t="s">
        <v>2542</v>
      </c>
      <c r="F5" s="3191"/>
      <c r="G5" s="3201" t="s">
        <v>2543</v>
      </c>
      <c r="H5" s="3202"/>
      <c r="I5" s="3201" t="s">
        <v>2544</v>
      </c>
      <c r="J5" s="3202"/>
      <c r="K5" s="610"/>
      <c r="L5" s="1130"/>
      <c r="M5" s="1131"/>
      <c r="N5" s="1131"/>
      <c r="O5" s="1131"/>
      <c r="P5" s="3186"/>
      <c r="Q5" s="3187"/>
      <c r="R5" s="3199"/>
      <c r="S5" s="3200"/>
      <c r="T5" s="3199"/>
      <c r="U5" s="3200"/>
      <c r="V5" s="3172"/>
      <c r="W5" s="3172"/>
      <c r="X5" s="1813"/>
      <c r="Y5" s="3199"/>
      <c r="Z5" s="3200"/>
      <c r="AA5" s="3178"/>
      <c r="AB5" s="3178"/>
      <c r="AC5" s="3178"/>
    </row>
    <row r="6" spans="1:30" ht="15.75" thickBot="1">
      <c r="A6" s="406"/>
      <c r="B6" s="407"/>
      <c r="C6" s="3237" t="s">
        <v>2545</v>
      </c>
      <c r="D6" s="3238"/>
      <c r="E6" s="3239" t="s">
        <v>2545</v>
      </c>
      <c r="F6" s="3240"/>
      <c r="G6" s="3237" t="s">
        <v>2545</v>
      </c>
      <c r="H6" s="3238"/>
      <c r="I6" s="3237" t="s">
        <v>2545</v>
      </c>
      <c r="J6" s="3238"/>
      <c r="K6" s="610" t="s">
        <v>2546</v>
      </c>
      <c r="L6" s="1130"/>
      <c r="M6" s="1131"/>
      <c r="N6" s="1131"/>
      <c r="O6" s="1131"/>
      <c r="P6" s="3188"/>
      <c r="Q6" s="3189"/>
      <c r="R6" s="3199"/>
      <c r="S6" s="3200"/>
      <c r="T6" s="3208"/>
      <c r="U6" s="3209"/>
      <c r="V6" s="3172"/>
      <c r="W6" s="3172"/>
      <c r="X6" s="1813"/>
      <c r="Y6" s="3208"/>
      <c r="Z6" s="3209"/>
      <c r="AA6" s="3179"/>
      <c r="AB6" s="3179"/>
      <c r="AC6" s="3179"/>
    </row>
    <row r="7" spans="1:30" s="117" customFormat="1" ht="15.75" thickBot="1">
      <c r="A7" s="408" t="s">
        <v>2547</v>
      </c>
      <c r="B7" s="409"/>
      <c r="C7" s="410">
        <f>'数据-取费表'!B2</f>
        <v>43595</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92" t="s">
        <v>2548</v>
      </c>
      <c r="Q7" s="3205"/>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5" si="3">D8/F8</f>
        <v>#DIV/0!</v>
      </c>
      <c r="AB8" s="773" t="e">
        <f t="shared" ref="AB8:AB45" si="4">D8/H8</f>
        <v>#DIV/0!</v>
      </c>
      <c r="AC8" s="773"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0"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70"/>
      <c r="Q10" s="1795"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0"/>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0"/>
      <c r="Q12" s="1795"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0"/>
      <c r="Q13" s="1795">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0"/>
      <c r="Q14" s="1795">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2558</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3" t="s">
        <v>2559</v>
      </c>
      <c r="Q15" s="1810" t="str">
        <f t="shared" si="6"/>
        <v>居住社区成熟度</v>
      </c>
      <c r="R15" s="774" t="s">
        <v>17</v>
      </c>
      <c r="S15" s="775">
        <f t="shared" si="0"/>
        <v>100</v>
      </c>
      <c r="T15" s="774" t="s">
        <v>17</v>
      </c>
      <c r="U15" s="775">
        <f t="shared" si="1"/>
        <v>100</v>
      </c>
      <c r="V15" s="774" t="s">
        <v>17</v>
      </c>
      <c r="W15" s="775">
        <f t="shared" si="2"/>
        <v>100</v>
      </c>
      <c r="X15" s="1813"/>
      <c r="Y15" s="3173"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4"/>
      <c r="Q17" s="1810" t="str">
        <f>B17</f>
        <v>商业繁华度</v>
      </c>
      <c r="R17" s="774" t="s">
        <v>17</v>
      </c>
      <c r="S17" s="775">
        <f>F17</f>
        <v>100</v>
      </c>
      <c r="T17" s="774" t="s">
        <v>17</v>
      </c>
      <c r="U17" s="775">
        <f>H17</f>
        <v>100</v>
      </c>
      <c r="V17" s="774" t="s">
        <v>17</v>
      </c>
      <c r="W17" s="775">
        <f>J17</f>
        <v>100</v>
      </c>
      <c r="X17" s="1813"/>
      <c r="Y17" s="317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c r="A19" s="428"/>
      <c r="B19" s="451" t="s">
        <v>2686</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2708</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4"/>
      <c r="Q21" s="1810" t="str">
        <f>B21</f>
        <v>交通便捷度</v>
      </c>
      <c r="R21" s="774" t="s">
        <v>17</v>
      </c>
      <c r="S21" s="775">
        <f>F21</f>
        <v>100</v>
      </c>
      <c r="T21" s="774" t="s">
        <v>17</v>
      </c>
      <c r="U21" s="775">
        <f>H21</f>
        <v>100</v>
      </c>
      <c r="V21" s="774" t="s">
        <v>17</v>
      </c>
      <c r="W21" s="775">
        <f>J21</f>
        <v>100</v>
      </c>
      <c r="X21" s="1813"/>
      <c r="Y21" s="317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2748</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4"/>
      <c r="Q25" s="1810" t="str">
        <f t="shared" si="8"/>
        <v>自然及人文环境状况</v>
      </c>
      <c r="R25" s="774" t="s">
        <v>17</v>
      </c>
      <c r="S25" s="775">
        <f>F25</f>
        <v>100</v>
      </c>
      <c r="T25" s="774" t="s">
        <v>17</v>
      </c>
      <c r="U25" s="775">
        <f>H25</f>
        <v>100</v>
      </c>
      <c r="V25" s="774" t="s">
        <v>17</v>
      </c>
      <c r="W25" s="775">
        <f>J25</f>
        <v>100</v>
      </c>
      <c r="X25" s="1813"/>
      <c r="Y25" s="317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4"/>
      <c r="Q27" s="1795" t="str">
        <f t="shared" si="8"/>
        <v>公共配套设施</v>
      </c>
      <c r="R27" s="770" t="s">
        <v>17</v>
      </c>
      <c r="S27" s="771">
        <f>F27</f>
        <v>100</v>
      </c>
      <c r="T27" s="770" t="s">
        <v>17</v>
      </c>
      <c r="U27" s="771">
        <f>H27</f>
        <v>100</v>
      </c>
      <c r="V27" s="770" t="s">
        <v>17</v>
      </c>
      <c r="W27" s="771">
        <f>J27</f>
        <v>100</v>
      </c>
      <c r="X27" s="772"/>
      <c r="Y27" s="317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10" t="str">
        <f t="shared" si="8"/>
        <v>毗邻道路的类型与等级</v>
      </c>
      <c r="R32" s="774" t="s">
        <v>17</v>
      </c>
      <c r="S32" s="775">
        <f t="shared" si="10"/>
        <v>100</v>
      </c>
      <c r="T32" s="774" t="s">
        <v>17</v>
      </c>
      <c r="U32" s="775">
        <f t="shared" si="11"/>
        <v>100</v>
      </c>
      <c r="V32" s="774" t="s">
        <v>17</v>
      </c>
      <c r="W32" s="775">
        <f t="shared" si="12"/>
        <v>100</v>
      </c>
      <c r="X32" s="1813"/>
      <c r="Y32" s="317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5" t="s">
        <v>2564</v>
      </c>
      <c r="Q36" s="1810">
        <f t="shared" si="8"/>
        <v>111</v>
      </c>
      <c r="R36" s="774" t="s">
        <v>17</v>
      </c>
      <c r="S36" s="775">
        <f t="shared" si="10"/>
        <v>100</v>
      </c>
      <c r="T36" s="774" t="s">
        <v>17</v>
      </c>
      <c r="U36" s="775">
        <f t="shared" si="11"/>
        <v>100</v>
      </c>
      <c r="V36" s="774" t="s">
        <v>17</v>
      </c>
      <c r="W36" s="775">
        <f t="shared" si="12"/>
        <v>100</v>
      </c>
      <c r="X36" s="1813"/>
      <c r="Y36" s="3176"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6"/>
      <c r="Q37" s="1810">
        <f t="shared" si="8"/>
        <v>111</v>
      </c>
      <c r="R37" s="777" t="s">
        <v>17</v>
      </c>
      <c r="S37" s="778">
        <f t="shared" si="10"/>
        <v>100</v>
      </c>
      <c r="T37" s="777" t="s">
        <v>17</v>
      </c>
      <c r="U37" s="778">
        <f t="shared" si="11"/>
        <v>100</v>
      </c>
      <c r="V37" s="777" t="s">
        <v>17</v>
      </c>
      <c r="W37" s="778">
        <f t="shared" si="12"/>
        <v>100</v>
      </c>
      <c r="X37" s="779"/>
      <c r="Y37" s="3176"/>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6"/>
      <c r="Q38" s="1810" t="str">
        <f>B38</f>
        <v>宗地面积</v>
      </c>
      <c r="R38" s="774" t="s">
        <v>17</v>
      </c>
      <c r="S38" s="775" t="e">
        <f t="shared" si="10"/>
        <v>#N/A</v>
      </c>
      <c r="T38" s="774" t="s">
        <v>17</v>
      </c>
      <c r="U38" s="775" t="e">
        <f t="shared" si="11"/>
        <v>#N/A</v>
      </c>
      <c r="V38" s="774" t="s">
        <v>17</v>
      </c>
      <c r="W38" s="775" t="e">
        <f t="shared" si="12"/>
        <v>#N/A</v>
      </c>
      <c r="X38" s="1813"/>
      <c r="Y38" s="3176"/>
      <c r="Z38" s="1814" t="str">
        <f t="shared" si="13"/>
        <v>宗地面积</v>
      </c>
      <c r="AA38" s="1811" t="e">
        <f t="shared" si="3"/>
        <v>#N/A</v>
      </c>
      <c r="AB38" s="1811" t="e">
        <f t="shared" si="4"/>
        <v>#N/A</v>
      </c>
      <c r="AC38" s="1811" t="e">
        <f t="shared" si="5"/>
        <v>#N/A</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76"/>
      <c r="Q39" s="1810" t="str">
        <f t="shared" ref="Q39:Q45" si="14">B39</f>
        <v>宗地形状</v>
      </c>
      <c r="R39" s="774" t="s">
        <v>17</v>
      </c>
      <c r="S39" s="775">
        <f t="shared" si="10"/>
        <v>100</v>
      </c>
      <c r="T39" s="774" t="s">
        <v>17</v>
      </c>
      <c r="U39" s="775">
        <f t="shared" si="11"/>
        <v>100</v>
      </c>
      <c r="V39" s="774" t="s">
        <v>17</v>
      </c>
      <c r="W39" s="775">
        <f t="shared" si="12"/>
        <v>100</v>
      </c>
      <c r="X39" s="1813"/>
      <c r="Y39" s="3176"/>
      <c r="Z39" s="1814" t="str">
        <f t="shared" si="13"/>
        <v>宗地形状</v>
      </c>
      <c r="AA39" s="1811">
        <f t="shared" si="3"/>
        <v>1</v>
      </c>
      <c r="AB39" s="1811">
        <f t="shared" si="4"/>
        <v>1</v>
      </c>
      <c r="AC39" s="1811">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76"/>
      <c r="Q40" s="1810" t="str">
        <f t="shared" si="14"/>
        <v>临街宽度及深度</v>
      </c>
      <c r="R40" s="774" t="s">
        <v>17</v>
      </c>
      <c r="S40" s="775">
        <f t="shared" si="10"/>
        <v>100</v>
      </c>
      <c r="T40" s="774" t="s">
        <v>17</v>
      </c>
      <c r="U40" s="775">
        <f t="shared" si="11"/>
        <v>100</v>
      </c>
      <c r="V40" s="774" t="s">
        <v>17</v>
      </c>
      <c r="W40" s="775">
        <f t="shared" si="12"/>
        <v>100</v>
      </c>
      <c r="X40" s="1813"/>
      <c r="Y40" s="3176"/>
      <c r="Z40" s="1814" t="str">
        <f t="shared" si="13"/>
        <v>临街宽度及深度</v>
      </c>
      <c r="AA40" s="1811">
        <f t="shared" si="3"/>
        <v>1</v>
      </c>
      <c r="AB40" s="1811">
        <f t="shared" si="4"/>
        <v>1</v>
      </c>
      <c r="AC40" s="1811">
        <f t="shared" si="5"/>
        <v>1</v>
      </c>
    </row>
    <row r="41" spans="1:29" s="117" customFormat="1" ht="15">
      <c r="A41" s="473"/>
      <c r="B41" s="422" t="s">
        <v>2753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76"/>
      <c r="Q41" s="1810"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76" t="s">
        <v>2564</v>
      </c>
      <c r="Q42" s="1810" t="str">
        <f t="shared" si="14"/>
        <v>工程地质条件</v>
      </c>
      <c r="R42" s="774" t="s">
        <v>17</v>
      </c>
      <c r="S42" s="775">
        <f t="shared" si="10"/>
        <v>100</v>
      </c>
      <c r="T42" s="774" t="s">
        <v>17</v>
      </c>
      <c r="U42" s="775">
        <f t="shared" si="11"/>
        <v>100</v>
      </c>
      <c r="V42" s="774" t="s">
        <v>17</v>
      </c>
      <c r="W42" s="775">
        <f t="shared" si="12"/>
        <v>100</v>
      </c>
      <c r="X42" s="1813"/>
      <c r="Y42" s="3176"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6"/>
      <c r="Q43" s="1810">
        <f t="shared" si="14"/>
        <v>111</v>
      </c>
      <c r="R43" s="774" t="s">
        <v>17</v>
      </c>
      <c r="S43" s="775">
        <f t="shared" si="10"/>
        <v>100</v>
      </c>
      <c r="T43" s="774" t="s">
        <v>17</v>
      </c>
      <c r="U43" s="775">
        <f t="shared" si="11"/>
        <v>100</v>
      </c>
      <c r="V43" s="774" t="s">
        <v>17</v>
      </c>
      <c r="W43" s="775">
        <f t="shared" si="12"/>
        <v>100</v>
      </c>
      <c r="X43" s="1813"/>
      <c r="Y43" s="317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6"/>
      <c r="Q44" s="1810">
        <f t="shared" si="14"/>
        <v>111</v>
      </c>
      <c r="R44" s="774" t="s">
        <v>17</v>
      </c>
      <c r="S44" s="775">
        <f t="shared" si="10"/>
        <v>100</v>
      </c>
      <c r="T44" s="774" t="s">
        <v>17</v>
      </c>
      <c r="U44" s="775">
        <f t="shared" si="11"/>
        <v>100</v>
      </c>
      <c r="V44" s="774" t="s">
        <v>17</v>
      </c>
      <c r="W44" s="775">
        <f t="shared" si="12"/>
        <v>100</v>
      </c>
      <c r="X44" s="1813"/>
      <c r="Y44" s="3176"/>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6"/>
      <c r="Q45" s="1810">
        <f t="shared" si="14"/>
        <v>111</v>
      </c>
      <c r="R45" s="777" t="s">
        <v>17</v>
      </c>
      <c r="S45" s="778">
        <f t="shared" si="10"/>
        <v>100</v>
      </c>
      <c r="T45" s="777" t="s">
        <v>17</v>
      </c>
      <c r="U45" s="778">
        <f t="shared" si="11"/>
        <v>100</v>
      </c>
      <c r="V45" s="777" t="s">
        <v>17</v>
      </c>
      <c r="W45" s="778">
        <f t="shared" si="12"/>
        <v>100</v>
      </c>
      <c r="X45" s="779"/>
      <c r="Y45" s="3176"/>
      <c r="Z45" s="780">
        <f t="shared" si="13"/>
        <v>111</v>
      </c>
      <c r="AA45" s="1811">
        <f t="shared" si="3"/>
        <v>1</v>
      </c>
      <c r="AB45" s="1811">
        <f t="shared" si="4"/>
        <v>1</v>
      </c>
      <c r="AC45" s="1811">
        <f t="shared" si="5"/>
        <v>1</v>
      </c>
    </row>
    <row r="46" spans="1:29" ht="15">
      <c r="A46" s="479" t="s">
        <v>2719</v>
      </c>
      <c r="B46" s="2703" t="s">
        <v>2755</v>
      </c>
      <c r="C46" s="682" t="s">
        <v>1</v>
      </c>
      <c r="D46" s="481"/>
      <c r="E46" s="482"/>
      <c r="F46" s="483"/>
      <c r="G46" s="484"/>
      <c r="H46" s="485"/>
      <c r="I46" s="482"/>
      <c r="J46" s="485"/>
      <c r="K46" s="783"/>
      <c r="L46" s="1143"/>
      <c r="M46" s="1144"/>
      <c r="N46" s="1131"/>
      <c r="O46" s="1144"/>
      <c r="P46" s="3170" t="str">
        <f>A46</f>
        <v>成交单价</v>
      </c>
      <c r="Q46" s="3170"/>
      <c r="R46" s="3172">
        <f>E46</f>
        <v>0</v>
      </c>
      <c r="S46" s="3172"/>
      <c r="T46" s="3172">
        <f>G46</f>
        <v>0</v>
      </c>
      <c r="U46" s="3172"/>
      <c r="V46" s="3172">
        <f>I46</f>
        <v>0</v>
      </c>
      <c r="W46" s="317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0" t="str">
        <f>A47</f>
        <v>比较价值（元/平方米）</v>
      </c>
      <c r="Q47" s="3170"/>
      <c r="R47" s="3171" t="e">
        <f>ROUND(PRODUCT(R46,AA7:AA45),0)</f>
        <v>#DIV/0!</v>
      </c>
      <c r="S47" s="3171"/>
      <c r="T47" s="3171" t="e">
        <f>ROUND(PRODUCT(T46,AB7:AB45),0)</f>
        <v>#DIV/0!</v>
      </c>
      <c r="U47" s="3171"/>
      <c r="V47" s="3171" t="e">
        <f>ROUND(PRODUCT(V46,AC7:AC45),0)</f>
        <v>#DIV/0!</v>
      </c>
      <c r="W47" s="317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67" t="str">
        <f>A48</f>
        <v>估价对象XX用房的比较价值（楼面单价，元/平方米）</v>
      </c>
      <c r="Q48" s="3168"/>
      <c r="R48" s="3169" t="e">
        <f>ROUND(AVERAGE(R47:V47),0)</f>
        <v>#DIV/0!</v>
      </c>
      <c r="S48" s="3169"/>
      <c r="T48" s="3169"/>
      <c r="U48" s="3169"/>
      <c r="V48" s="3169"/>
      <c r="W48" s="316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4" t="s">
        <v>2759</v>
      </c>
      <c r="D55" s="2705" t="s">
        <v>2760</v>
      </c>
      <c r="E55" s="686" t="s">
        <v>2761</v>
      </c>
      <c r="F55" s="1107" t="s">
        <v>2762</v>
      </c>
      <c r="G55" s="3180" t="s">
        <v>2763</v>
      </c>
      <c r="H55" s="3194"/>
      <c r="I55" s="144" t="s">
        <v>2764</v>
      </c>
      <c r="J55" s="2706" t="str">
        <f>项目基本情况!F35</f>
        <v>江苏省盐城市</v>
      </c>
      <c r="K55" s="2707" t="s">
        <v>2765</v>
      </c>
      <c r="L55" s="1106"/>
      <c r="M55" s="1144"/>
      <c r="N55" s="1144"/>
      <c r="O55" s="1144"/>
    </row>
    <row r="56" spans="1:15" s="692" customFormat="1">
      <c r="A56" s="688" t="s">
        <v>2766</v>
      </c>
      <c r="B56" s="689" t="e">
        <f>C48</f>
        <v>#DIV/0!</v>
      </c>
      <c r="C56" s="690">
        <v>1</v>
      </c>
      <c r="D56" s="1163">
        <v>1</v>
      </c>
      <c r="E56" s="690">
        <f>'数据-汇总表'!E8+'数据-汇总表'!E9</f>
        <v>26688.410000000003</v>
      </c>
      <c r="F56" s="1103" t="e">
        <f t="shared" ref="F56:F65" si="15">ROUND(B56*E56/10000,0)</f>
        <v>#DIV/0!</v>
      </c>
      <c r="G56" s="3195"/>
      <c r="H56" s="317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19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19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19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19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8"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8"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9"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26688.410000000003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0"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9" activeCellId="1" sqref="H37 G4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0" t="s">
        <v>2817</v>
      </c>
      <c r="D3" s="2721" t="s">
        <v>2818</v>
      </c>
      <c r="E3" s="2726"/>
      <c r="F3" s="2727" t="s">
        <v>2819</v>
      </c>
      <c r="G3" s="916">
        <f>IF(F3="宗地容积率",'数据-汇总表'!I4,IF(F3="估价对象容积率",'数据-汇总表'!I6,'数据-汇总表'!I7))</f>
        <v>0.19</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0"/>
      <c r="B4" s="3281"/>
      <c r="C4" s="3281"/>
      <c r="D4" s="3282"/>
      <c r="E4" s="3282"/>
      <c r="F4" s="3282"/>
      <c r="G4" s="3282"/>
      <c r="H4" s="3282"/>
      <c r="I4" s="3282"/>
      <c r="J4" s="3283"/>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7" t="e">
        <f>ROUND(IF(E2="商业",C6*C7+C16,(IF(E2="住宅",C6*C12+C16,C6+C16))),0)</f>
        <v>#DIV/0!</v>
      </c>
      <c r="D5" s="1787" t="e">
        <f>ROUND(IF(F17="增加",C6+C16,C6-C16),0)</f>
        <v>#DIV/0!</v>
      </c>
      <c r="E5" s="1787"/>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2826</v>
      </c>
      <c r="B6" s="2739" t="s">
        <v>2827</v>
      </c>
      <c r="C6" s="918">
        <f>SUMIF(L1:L12,G2,M1:M12)</f>
        <v>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4" t="str">
        <f>IF(E2="商业",IF(C8="不临58条商业街","",2),"")</f>
        <v/>
      </c>
      <c r="B7" s="2744" t="s">
        <v>2830</v>
      </c>
      <c r="C7" s="919" t="e">
        <f>IF(C8="不临58条商业街",1,ROUND(1+(1.6*E8+1.2*E9+0.8*E10+0.4*E11)*C9,4))</f>
        <v>#DIV/0!</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0.19</v>
      </c>
      <c r="AA7" s="1606"/>
      <c r="AB7" s="1606"/>
      <c r="AC7" s="1607"/>
      <c r="AD7" s="1608"/>
      <c r="AE7" s="1608"/>
      <c r="AF7" s="1608"/>
      <c r="AG7" s="1608"/>
      <c r="AH7" s="1608"/>
      <c r="AI7" s="1608"/>
      <c r="AJ7" s="1609"/>
    </row>
    <row r="8" spans="1:36" ht="15">
      <c r="A8" s="3284"/>
      <c r="B8" s="198" t="s">
        <v>2835</v>
      </c>
      <c r="C8" s="2749"/>
      <c r="D8" s="920" t="s">
        <v>139</v>
      </c>
      <c r="E8" s="921"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7" t="s">
        <v>2838</v>
      </c>
      <c r="X8" s="327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4"/>
      <c r="B9" s="198" t="s">
        <v>2851</v>
      </c>
      <c r="C9" s="922">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4"/>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4"/>
      <c r="B11" s="2753" t="s">
        <v>2859</v>
      </c>
      <c r="C11" s="923">
        <f>C10/4</f>
        <v>0</v>
      </c>
      <c r="D11" s="923" t="s">
        <v>142</v>
      </c>
      <c r="E11" s="923"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9" t="s">
        <v>2862</v>
      </c>
      <c r="X11" s="1614" t="s">
        <v>2863</v>
      </c>
      <c r="Y11" s="1615">
        <f>$G$3</f>
        <v>0.19</v>
      </c>
      <c r="Z11" s="1615">
        <f t="shared" ref="Z11:AJ11" si="3">$G$3</f>
        <v>0.19</v>
      </c>
      <c r="AA11" s="1615">
        <f t="shared" si="3"/>
        <v>0.19</v>
      </c>
      <c r="AB11" s="1615">
        <f t="shared" si="3"/>
        <v>0.19</v>
      </c>
      <c r="AC11" s="1615">
        <f t="shared" si="3"/>
        <v>0.19</v>
      </c>
      <c r="AD11" s="1615">
        <f t="shared" si="3"/>
        <v>0.19</v>
      </c>
      <c r="AE11" s="1615">
        <f t="shared" si="3"/>
        <v>0.19</v>
      </c>
      <c r="AF11" s="1615">
        <f t="shared" si="3"/>
        <v>0.19</v>
      </c>
      <c r="AG11" s="1615">
        <f t="shared" si="3"/>
        <v>0.19</v>
      </c>
      <c r="AH11" s="1615">
        <f t="shared" si="3"/>
        <v>0.19</v>
      </c>
      <c r="AI11" s="1615">
        <f t="shared" si="3"/>
        <v>0.19</v>
      </c>
      <c r="AJ11" s="1615">
        <f t="shared" si="3"/>
        <v>0.19</v>
      </c>
    </row>
    <row r="12" spans="1:36" ht="25.5" thickBot="1">
      <c r="A12" s="3264" t="s">
        <v>2864</v>
      </c>
      <c r="B12" s="2757" t="s">
        <v>2865</v>
      </c>
      <c r="C12" s="919">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5"/>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t="e">
        <f t="shared" si="0"/>
        <v>#DIV/0!</v>
      </c>
      <c r="U13" s="1603"/>
      <c r="V13" s="1602" t="e">
        <f t="shared" si="1"/>
        <v>#DIV/0!</v>
      </c>
      <c r="W13" s="3279"/>
      <c r="X13" s="1616"/>
      <c r="Y13" s="1613">
        <f>(-0.163*(Y12^2)-0.59*Y12+7617)*(10^(-4))/Y11</f>
        <v>4.0089473684210528</v>
      </c>
      <c r="Z13" s="1613">
        <f t="shared" ref="Z13:AJ13" si="5">(-0.163*(Z12^2)-0.59*Z12+7617)*(10^(-4))/Z11</f>
        <v>4.0089473684210528</v>
      </c>
      <c r="AA13" s="1613">
        <f t="shared" si="5"/>
        <v>4.0089473684210528</v>
      </c>
      <c r="AB13" s="1613">
        <f t="shared" si="5"/>
        <v>4.0089473684210528</v>
      </c>
      <c r="AC13" s="1613">
        <f t="shared" si="5"/>
        <v>4.0089473684210528</v>
      </c>
      <c r="AD13" s="1613">
        <f t="shared" si="5"/>
        <v>4.0089473684210528</v>
      </c>
      <c r="AE13" s="1613">
        <f t="shared" si="5"/>
        <v>4.0089473684210528</v>
      </c>
      <c r="AF13" s="1613">
        <f t="shared" si="5"/>
        <v>4.0089473684210528</v>
      </c>
      <c r="AG13" s="1613">
        <f t="shared" si="5"/>
        <v>4.0089473684210528</v>
      </c>
      <c r="AH13" s="1613">
        <f t="shared" si="5"/>
        <v>4.0089473684210528</v>
      </c>
      <c r="AI13" s="1613">
        <f t="shared" si="5"/>
        <v>4.0089473684210528</v>
      </c>
      <c r="AJ13" s="1613">
        <f t="shared" si="5"/>
        <v>4.0089473684210528</v>
      </c>
    </row>
    <row r="14" spans="1:36" ht="15">
      <c r="A14" s="3285"/>
      <c r="B14" s="2767"/>
      <c r="C14" s="2768"/>
      <c r="D14" s="2769"/>
      <c r="E14" s="2769"/>
      <c r="F14" s="2770"/>
      <c r="G14" s="2771" t="s">
        <v>2875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6"/>
      <c r="B15" s="2775"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4" t="s">
        <v>2881</v>
      </c>
      <c r="B16" s="2744" t="s">
        <v>2882</v>
      </c>
      <c r="C16" s="2934" t="e">
        <f>ROUND(IF(F17="与级别开发程度一致",0,(G17-E17)/C17),0)</f>
        <v>#DIV/0!</v>
      </c>
      <c r="D16" s="3275" t="s">
        <v>2886</v>
      </c>
      <c r="E16" s="3276"/>
      <c r="F16" s="3275" t="s">
        <v>2883</v>
      </c>
      <c r="G16" s="3276"/>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5"/>
      <c r="B17" s="2945" t="s">
        <v>2885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2889</v>
      </c>
      <c r="C19" s="924" t="e">
        <f>ROUND(IF(H19="按公示增长率计算",SUMPRODUCT((地价!A3:A26=YEAR(G19)&amp;"-"&amp;ROUNDUP(MONTH(G19)/3,0))*(地价!X2:AB2=E2)*(地价!X3:AB26)),IF(H19="地价指数",M20/M19,(1+I19)^O19)),4)</f>
        <v>#DIV/0!</v>
      </c>
      <c r="D19" s="2788" t="s">
        <v>2890</v>
      </c>
      <c r="E19" s="925">
        <v>41640</v>
      </c>
      <c r="F19" s="2788" t="s">
        <v>2891</v>
      </c>
      <c r="G19" s="926">
        <f>'数据-取费表'!B2</f>
        <v>43595</v>
      </c>
      <c r="H19" s="2789" t="s">
        <v>2892</v>
      </c>
      <c r="I19" s="927" t="str">
        <f>IF(H19="季度增幅（自定义）",SUMIF(N21:N24,E2,O21:O24),"")</f>
        <v/>
      </c>
      <c r="J19" s="2786"/>
      <c r="K19" s="1377"/>
      <c r="L19" s="2790" t="s">
        <v>2893</v>
      </c>
      <c r="M19" s="1734">
        <f>ROUND(SUMIF(地价!B2:F2,E2,地价!B26:F26),0)</f>
        <v>0</v>
      </c>
      <c r="N19" s="2791"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2895</v>
      </c>
      <c r="C20" s="929" t="e">
        <f>ROUND(POWER(1+G20,J20-I20)*(POWER(1+G20,I20)-1)/(POWER(1+G20,J20)-1),4)</f>
        <v>#DIV/0!</v>
      </c>
      <c r="D20" s="2797" t="s">
        <v>2896</v>
      </c>
      <c r="E20" s="1768">
        <f ca="1">存贷款利率!D4/100</f>
        <v>4.3499999999999997E-2</v>
      </c>
      <c r="F20" s="2797" t="s">
        <v>2887</v>
      </c>
      <c r="G20" s="934">
        <f>SUMIF(M26:P26,E2,M28:P28)</f>
        <v>0</v>
      </c>
      <c r="H20" s="2797" t="s">
        <v>2897</v>
      </c>
      <c r="I20" s="935" t="e">
        <f>SUMIF('数据-取费表'!C6:C15,E2,'数据-取费表'!F6:F15)/COUNTIF('数据-取费表'!C6:C15,E2)</f>
        <v>#DIV/0!</v>
      </c>
      <c r="J20" s="936">
        <f>IF(E2="住宅",70,IF(E2="商业",40,50))</f>
        <v>50</v>
      </c>
      <c r="K20" s="1377"/>
      <c r="L20" s="2798" t="s">
        <v>2898</v>
      </c>
      <c r="M20" s="1735">
        <f>ROUND(SUMPRODUCT((地价!A4:A26=YEAR(G19)&amp;"-"&amp;ROUNDUP(MONTH(G19)/3,0))*(地价!B2:F2=E2)*(地价!B4:F26)),0)</f>
        <v>0</v>
      </c>
      <c r="N20" s="2799" t="s">
        <v>2899</v>
      </c>
      <c r="O20" s="2800" t="s">
        <v>2900</v>
      </c>
      <c r="P20" s="2801" t="s">
        <v>2901</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2902</v>
      </c>
      <c r="C21" s="937">
        <f>IF(B21="容积率修正",IF(G3&lt;=10,D22,J22),C23)</f>
        <v>0</v>
      </c>
      <c r="D21" s="2804"/>
      <c r="E21" s="2804"/>
      <c r="F21" s="2804"/>
      <c r="G21" s="2804"/>
      <c r="H21" s="2804"/>
      <c r="I21" s="2804"/>
      <c r="J21" s="2805"/>
      <c r="K21" s="1377"/>
      <c r="N21" s="2806"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2904</v>
      </c>
      <c r="B22" s="2807" t="s">
        <v>2905</v>
      </c>
      <c r="C22" s="1810" t="s">
        <v>2906</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2908</v>
      </c>
      <c r="B23" s="2808" t="s">
        <v>2909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2911</v>
      </c>
      <c r="C24" s="924">
        <f>SUMIF(A45:A88,E2,B45:B88)</f>
        <v>0</v>
      </c>
      <c r="D24" s="2785"/>
      <c r="E24" s="2814"/>
      <c r="F24" s="2814"/>
      <c r="G24" s="2814"/>
      <c r="H24" s="2814"/>
      <c r="I24" s="2814"/>
      <c r="J24" s="2815"/>
      <c r="K24" s="1377"/>
      <c r="N24" s="2816"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2913</v>
      </c>
      <c r="C25" s="930"/>
      <c r="D25" s="2747"/>
      <c r="E25" s="2747"/>
      <c r="F25" s="2818"/>
      <c r="G25" s="2747"/>
      <c r="H25" s="2747"/>
      <c r="I25" s="2747"/>
      <c r="J25" s="2748"/>
      <c r="K25" s="1370"/>
      <c r="N25" s="2819"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2915</v>
      </c>
      <c r="C26" s="206" t="e">
        <f>E29+SUM(E33:E39)</f>
        <v>#DIV/0!</v>
      </c>
      <c r="D26" s="2821"/>
      <c r="E26" s="2772"/>
      <c r="F26" s="2822"/>
      <c r="G26" s="2772"/>
      <c r="H26" s="2772"/>
      <c r="I26" s="2772"/>
      <c r="J26" s="2823"/>
      <c r="K26" s="1370"/>
      <c r="L26" s="2776" t="s">
        <v>2812</v>
      </c>
      <c r="M26" s="920" t="s">
        <v>2877</v>
      </c>
      <c r="N26" s="920" t="s">
        <v>2878</v>
      </c>
      <c r="O26" s="920" t="s">
        <v>2879</v>
      </c>
      <c r="P26" s="2777" t="s">
        <v>2880</v>
      </c>
      <c r="R26" s="1376"/>
      <c r="S26" s="1376"/>
      <c r="T26" s="1371"/>
      <c r="U26" s="1371"/>
      <c r="V26" s="1371"/>
      <c r="W26" s="1370"/>
      <c r="X26" s="1370"/>
      <c r="Y26" s="1370"/>
      <c r="Z26" s="1377"/>
      <c r="AA26" s="1378"/>
      <c r="AB26" s="1378"/>
      <c r="AC26" s="1378"/>
      <c r="AD26" s="1378"/>
    </row>
    <row r="27" spans="1:37" ht="15.75" thickBot="1">
      <c r="A27" s="2820"/>
      <c r="B27" s="2824" t="s">
        <v>2916</v>
      </c>
      <c r="C27" s="931" t="e">
        <f>E30+SUM(I33:I39)</f>
        <v>#DIV/0!</v>
      </c>
      <c r="D27" s="2825"/>
      <c r="E27" s="2826"/>
      <c r="F27" s="2827"/>
      <c r="G27" s="2826"/>
      <c r="H27" s="2826"/>
      <c r="I27" s="2826"/>
      <c r="J27" s="2828"/>
      <c r="K27" s="1370"/>
      <c r="L27" s="2780"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2917</v>
      </c>
      <c r="C28" s="2831" t="s">
        <v>2918</v>
      </c>
      <c r="D28" s="2831" t="s">
        <v>2919</v>
      </c>
      <c r="E28" s="2832" t="s">
        <v>2920</v>
      </c>
      <c r="F28" s="2833"/>
      <c r="G28" s="2760"/>
      <c r="H28" s="2760"/>
      <c r="I28" s="2760"/>
      <c r="J28" s="2761"/>
      <c r="K28" s="1370"/>
      <c r="L28" s="2781"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2921</v>
      </c>
      <c r="C29" s="206" t="e">
        <f>ROUND(C5*C18*C19*C20*C21*C24,0)</f>
        <v>#DIV/0!</v>
      </c>
      <c r="D29" s="2836"/>
      <c r="E29" s="942" t="e">
        <f>ROUND(C29*D29/10000,0)</f>
        <v>#DIV/0!</v>
      </c>
      <c r="F29" s="2837" t="s">
        <v>2922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2923</v>
      </c>
      <c r="C30" s="229" t="e">
        <f>ROUND(IF(E2="工业",C29*M39,C29*M38),0)</f>
        <v>#DIV/0!</v>
      </c>
      <c r="D30" s="2842"/>
      <c r="E30" s="942" t="e">
        <f>ROUND(C30*D30/10000,0)</f>
        <v>#DIV/0!</v>
      </c>
      <c r="F30" s="2843" t="s">
        <v>2924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2925</v>
      </c>
      <c r="C31" s="2848" t="s">
        <v>2926</v>
      </c>
      <c r="D31" s="2760"/>
      <c r="E31" s="2848"/>
      <c r="F31" s="2848"/>
      <c r="G31" s="2758" t="s">
        <v>2927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2918</v>
      </c>
      <c r="D32" s="498" t="s">
        <v>2919</v>
      </c>
      <c r="E32" s="498" t="s">
        <v>2920</v>
      </c>
      <c r="F32" s="388" t="s">
        <v>2928</v>
      </c>
      <c r="G32" s="2851" t="s">
        <v>2918</v>
      </c>
      <c r="H32" s="2851" t="s">
        <v>2919</v>
      </c>
      <c r="I32" s="2851"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2" t="s">
        <v>2929</v>
      </c>
      <c r="B33" s="2852" t="s">
        <v>2930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64" t="s">
        <v>2931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64" t="s">
        <v>2932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74"/>
      <c r="B36" s="2764" t="s">
        <v>2933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2935</v>
      </c>
      <c r="M37" s="2856"/>
      <c r="N37" s="1370"/>
      <c r="O37" s="1370"/>
      <c r="P37" s="1370"/>
      <c r="Q37" s="1370"/>
      <c r="R37" s="1370"/>
      <c r="S37" s="1370"/>
      <c r="T37" s="1370"/>
      <c r="U37" s="1370"/>
      <c r="V37" s="1370"/>
      <c r="W37" s="1370"/>
      <c r="X37" s="1370"/>
      <c r="Y37" s="1370"/>
      <c r="Z37" s="1371"/>
    </row>
    <row r="38" spans="1:37">
      <c r="A38" s="2854"/>
      <c r="B38" s="2764" t="s">
        <v>2936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2937</v>
      </c>
      <c r="M38" s="2857">
        <v>0.25</v>
      </c>
      <c r="N38" s="1370"/>
      <c r="O38" s="1370"/>
      <c r="P38" s="1370"/>
      <c r="Q38" s="1370"/>
      <c r="R38" s="1370"/>
      <c r="S38" s="1370"/>
      <c r="T38" s="1370"/>
      <c r="U38" s="1370"/>
      <c r="V38" s="1370"/>
      <c r="W38" s="1370"/>
      <c r="X38" s="1370"/>
      <c r="Y38" s="1370"/>
      <c r="Z38" s="1371"/>
    </row>
    <row r="39" spans="1:37" ht="13.5" thickBot="1">
      <c r="A39" s="2840"/>
      <c r="B39" s="2858" t="s">
        <v>2938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2880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3049</v>
      </c>
      <c r="C41" s="388" t="e">
        <f>ROUND(POWER(1+E41,H41-G41)*(POWER(1+E41,G41)-1)/(POWER(1+E41,H41)-1),4)</f>
        <v>#DIV/0!</v>
      </c>
      <c r="D41" s="200" t="s">
        <v>2887</v>
      </c>
      <c r="E41" s="2928">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2940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2941</v>
      </c>
      <c r="B47" s="1809" t="s">
        <v>2942</v>
      </c>
      <c r="C47" s="1809" t="s">
        <v>2943</v>
      </c>
      <c r="D47" s="1809" t="s">
        <v>2944</v>
      </c>
      <c r="E47" s="819" t="s">
        <v>2945</v>
      </c>
      <c r="F47" s="2870" t="s">
        <v>2946</v>
      </c>
      <c r="G47" s="1809" t="s">
        <v>754</v>
      </c>
      <c r="H47" s="2871"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9" t="s">
        <v>2949</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2950</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2951</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2952</v>
      </c>
      <c r="B51" s="2874" t="s">
        <v>2953</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2954</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2955</v>
      </c>
      <c r="B53" s="2875" t="s">
        <v>2956</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2957</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2958</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2959</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2960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2941</v>
      </c>
      <c r="B58" s="1809"/>
      <c r="C58" s="1809" t="s">
        <v>2943</v>
      </c>
      <c r="D58" s="1809" t="s">
        <v>2944</v>
      </c>
      <c r="E58" s="819" t="s">
        <v>2945</v>
      </c>
      <c r="F58" s="2870" t="s">
        <v>2961</v>
      </c>
      <c r="G58" s="1809" t="s">
        <v>754</v>
      </c>
      <c r="H58" s="2871"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9" t="s">
        <v>2962</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2950</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2951</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2952</v>
      </c>
      <c r="B62" s="2874" t="s">
        <v>2953</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2954</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2955</v>
      </c>
      <c r="B64" s="2875" t="s">
        <v>2956</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2957</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2958</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2959</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2941</v>
      </c>
      <c r="B69" s="1809"/>
      <c r="C69" s="1809" t="s">
        <v>2943</v>
      </c>
      <c r="D69" s="1809" t="s">
        <v>2944</v>
      </c>
      <c r="E69" s="819" t="s">
        <v>2945</v>
      </c>
      <c r="F69" s="2870" t="s">
        <v>2961</v>
      </c>
      <c r="G69" s="1809" t="s">
        <v>754</v>
      </c>
      <c r="H69" s="2871"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9" t="s">
        <v>2964</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2950</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2951</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2965</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2957</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2958</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2955</v>
      </c>
      <c r="B76" s="2875" t="s">
        <v>2956</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2959</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2966</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2967</v>
      </c>
      <c r="B79" s="2866">
        <f>1+E81</f>
        <v>1</v>
      </c>
      <c r="C79" s="814"/>
      <c r="D79" s="814"/>
      <c r="E79" s="815"/>
      <c r="F79" s="2868"/>
      <c r="G79" s="6"/>
      <c r="H79" s="6"/>
      <c r="I79" s="6"/>
      <c r="J79" s="7"/>
      <c r="K79" s="7"/>
      <c r="L79" s="7"/>
      <c r="M79" s="7"/>
      <c r="N79" s="7"/>
      <c r="Z79" s="2719"/>
      <c r="AA79" s="2787"/>
      <c r="AG79" s="1372"/>
      <c r="AK79" s="2787"/>
    </row>
    <row r="80" spans="1:37" ht="24.75">
      <c r="A80" s="2869" t="s">
        <v>2941</v>
      </c>
      <c r="B80" s="1809"/>
      <c r="C80" s="1809" t="s">
        <v>2943</v>
      </c>
      <c r="D80" s="1809" t="s">
        <v>2944</v>
      </c>
      <c r="E80" s="819" t="s">
        <v>2945</v>
      </c>
      <c r="F80" s="2870" t="s">
        <v>2961</v>
      </c>
      <c r="G80" s="1809" t="s">
        <v>754</v>
      </c>
      <c r="H80" s="2871" t="s">
        <v>2947</v>
      </c>
      <c r="I80" s="1809" t="s">
        <v>2948</v>
      </c>
      <c r="J80" s="603" t="s">
        <v>2596</v>
      </c>
      <c r="K80" s="603" t="s">
        <v>2597</v>
      </c>
      <c r="L80" s="603" t="s">
        <v>2598</v>
      </c>
      <c r="M80" s="603" t="s">
        <v>2599</v>
      </c>
      <c r="N80" s="603" t="s">
        <v>2600</v>
      </c>
      <c r="Z80" s="2719"/>
      <c r="AA80" s="2787"/>
      <c r="AG80" s="1372"/>
      <c r="AK80" s="2787"/>
    </row>
    <row r="81" spans="1:37" ht="38.25">
      <c r="A81" s="2869" t="s">
        <v>2968</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2950</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2951</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2965</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2957</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2958</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2955</v>
      </c>
      <c r="B87" s="2875" t="s">
        <v>2969</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2970</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6" t="s">
        <v>2971</v>
      </c>
      <c r="B90" s="3266"/>
      <c r="C90" s="3266"/>
      <c r="D90" s="3266"/>
      <c r="E90" s="3266"/>
      <c r="F90" s="3266"/>
      <c r="G90" s="3266"/>
      <c r="H90" s="3266"/>
      <c r="I90" s="3266"/>
      <c r="J90" s="3266"/>
      <c r="K90" s="2883"/>
      <c r="L90" s="2883"/>
      <c r="M90" s="2883"/>
      <c r="N90" s="2883"/>
    </row>
    <row r="91" spans="1:37">
      <c r="A91" s="3268" t="s">
        <v>2972</v>
      </c>
      <c r="B91" s="3268" t="s">
        <v>2973</v>
      </c>
      <c r="C91" s="2837" t="s">
        <v>2974</v>
      </c>
      <c r="D91" s="2838"/>
      <c r="E91" s="2838"/>
      <c r="F91" s="2838"/>
      <c r="G91" s="2838"/>
      <c r="H91" s="2838"/>
      <c r="I91" s="2838"/>
      <c r="J91" s="2884"/>
      <c r="K91" s="2885"/>
      <c r="L91" s="2885"/>
      <c r="M91" s="2885"/>
      <c r="N91" s="2885"/>
    </row>
    <row r="92" spans="1:37">
      <c r="A92" s="3268"/>
      <c r="B92" s="326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9"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0"/>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9" t="s">
        <v>2976</v>
      </c>
      <c r="B101" s="2890" t="s">
        <v>2977</v>
      </c>
      <c r="C101" s="2891">
        <f>$G$3</f>
        <v>0.19</v>
      </c>
      <c r="D101" s="2891">
        <f t="shared" ref="D101:N101" si="31">$G$3</f>
        <v>0.19</v>
      </c>
      <c r="E101" s="2891">
        <f t="shared" si="31"/>
        <v>0.19</v>
      </c>
      <c r="F101" s="2891">
        <f t="shared" si="31"/>
        <v>0.19</v>
      </c>
      <c r="G101" s="2891">
        <f t="shared" si="31"/>
        <v>0.19</v>
      </c>
      <c r="H101" s="2891">
        <f t="shared" si="31"/>
        <v>0.19</v>
      </c>
      <c r="I101" s="2891">
        <f t="shared" si="31"/>
        <v>0.19</v>
      </c>
      <c r="J101" s="2891">
        <f t="shared" si="31"/>
        <v>0.19</v>
      </c>
      <c r="K101" s="2891">
        <f t="shared" si="31"/>
        <v>0.19</v>
      </c>
      <c r="L101" s="2891">
        <f t="shared" si="31"/>
        <v>0.19</v>
      </c>
      <c r="M101" s="2891">
        <f t="shared" si="31"/>
        <v>0.19</v>
      </c>
      <c r="N101" s="2891">
        <f t="shared" si="31"/>
        <v>0.19</v>
      </c>
    </row>
    <row r="102" spans="1:14">
      <c r="A102" s="3270"/>
      <c r="B102" s="2886">
        <v>1</v>
      </c>
      <c r="C102" s="2887">
        <f>1.9362/C101</f>
        <v>10.190526315789473</v>
      </c>
      <c r="D102" s="2887">
        <f>1.9362/D101</f>
        <v>10.190526315789473</v>
      </c>
      <c r="E102" s="2887">
        <f>1.8629/E101</f>
        <v>9.8047368421052639</v>
      </c>
      <c r="F102" s="2887">
        <f>1.8629/F101</f>
        <v>9.8047368421052639</v>
      </c>
      <c r="G102" s="2887">
        <f>1.8629/G101</f>
        <v>9.8047368421052639</v>
      </c>
      <c r="H102" s="2887">
        <f>1.8629/H101</f>
        <v>9.8047368421052639</v>
      </c>
      <c r="I102" s="2887">
        <f>1.8629/I101</f>
        <v>9.8047368421052639</v>
      </c>
      <c r="J102" s="2887">
        <f>1.942/J101</f>
        <v>10.221052631578948</v>
      </c>
      <c r="K102" s="2887">
        <f>1.942/K101</f>
        <v>10.221052631578948</v>
      </c>
      <c r="L102" s="2887">
        <f>1.942/L101</f>
        <v>10.221052631578948</v>
      </c>
      <c r="M102" s="2887">
        <f>1.942/M101</f>
        <v>10.221052631578948</v>
      </c>
      <c r="N102" s="2887">
        <f>1.942/N101</f>
        <v>10.221052631578948</v>
      </c>
    </row>
    <row r="103" spans="1:14">
      <c r="A103" s="3270"/>
      <c r="B103" s="2886">
        <v>2</v>
      </c>
      <c r="C103" s="2887">
        <f>1.4198/C101</f>
        <v>7.4726315789473681</v>
      </c>
      <c r="D103" s="2887">
        <f>1.4198/D101</f>
        <v>7.4726315789473681</v>
      </c>
      <c r="E103" s="2887">
        <f>1.3372/E101</f>
        <v>7.0378947368421052</v>
      </c>
      <c r="F103" s="2887">
        <f>1.3372/F101</f>
        <v>7.0378947368421052</v>
      </c>
      <c r="G103" s="2887">
        <f>1.3372/G101</f>
        <v>7.0378947368421052</v>
      </c>
      <c r="H103" s="2887">
        <f>1.3372/H101</f>
        <v>7.0378947368421052</v>
      </c>
      <c r="I103" s="2887">
        <f>1.3372/I101</f>
        <v>7.0378947368421052</v>
      </c>
      <c r="J103" s="2887">
        <f>1.2799/J101</f>
        <v>6.736315789473684</v>
      </c>
      <c r="K103" s="2887">
        <f>1.2799/K101</f>
        <v>6.736315789473684</v>
      </c>
      <c r="L103" s="2887">
        <f>1.2799/L101</f>
        <v>6.736315789473684</v>
      </c>
      <c r="M103" s="2887">
        <f>1.2799/M101</f>
        <v>6.736315789473684</v>
      </c>
      <c r="N103" s="2887">
        <f>1.2799/N101</f>
        <v>6.736315789473684</v>
      </c>
    </row>
    <row r="104" spans="1:14">
      <c r="A104" s="3270"/>
      <c r="B104" s="2886">
        <v>3</v>
      </c>
      <c r="C104" s="2887">
        <f>1.1594/C101</f>
        <v>6.1021052631578945</v>
      </c>
      <c r="D104" s="2887">
        <f>1.1594/D101</f>
        <v>6.1021052631578945</v>
      </c>
      <c r="E104" s="2887">
        <f>1.0788/E101</f>
        <v>5.6778947368421049</v>
      </c>
      <c r="F104" s="2887">
        <f>1.0788/F101</f>
        <v>5.6778947368421049</v>
      </c>
      <c r="G104" s="2887">
        <f>1.0788/G101</f>
        <v>5.6778947368421049</v>
      </c>
      <c r="H104" s="2887">
        <f>1.0788/H101</f>
        <v>5.6778947368421049</v>
      </c>
      <c r="I104" s="2887">
        <f>1.0788/I101</f>
        <v>5.6778947368421049</v>
      </c>
      <c r="J104" s="2887">
        <f>1.0072/J101</f>
        <v>5.3010526315789477</v>
      </c>
      <c r="K104" s="2887">
        <f>1.0072/K101</f>
        <v>5.3010526315789477</v>
      </c>
      <c r="L104" s="2887">
        <f>1.0072/L101</f>
        <v>5.3010526315789477</v>
      </c>
      <c r="M104" s="2887">
        <f>1.0072/M101</f>
        <v>5.3010526315789477</v>
      </c>
      <c r="N104" s="2887">
        <f>1.0072/N101</f>
        <v>5.3010526315789477</v>
      </c>
    </row>
    <row r="105" spans="1:14">
      <c r="A105" s="3270"/>
      <c r="B105" s="2886">
        <v>4</v>
      </c>
      <c r="C105" s="2887">
        <f>0.9622/C101</f>
        <v>5.0642105263157893</v>
      </c>
      <c r="D105" s="2887">
        <f>0.9622/D101</f>
        <v>5.0642105263157893</v>
      </c>
      <c r="E105" s="2887">
        <f>0.8656/E101</f>
        <v>4.5557894736842108</v>
      </c>
      <c r="F105" s="2887">
        <f>0.8656/F101</f>
        <v>4.5557894736842108</v>
      </c>
      <c r="G105" s="2887">
        <f>0.8656/G101</f>
        <v>4.5557894736842108</v>
      </c>
      <c r="H105" s="2887">
        <f>0.8656/H101</f>
        <v>4.5557894736842108</v>
      </c>
      <c r="I105" s="2887">
        <f>0.8656/I101</f>
        <v>4.5557894736842108</v>
      </c>
      <c r="J105" s="2887">
        <f>0.7525/J101</f>
        <v>3.9605263157894735</v>
      </c>
      <c r="K105" s="2887">
        <f>0.7525/K101</f>
        <v>3.9605263157894735</v>
      </c>
      <c r="L105" s="2887">
        <f>0.7525/L101</f>
        <v>3.9605263157894735</v>
      </c>
      <c r="M105" s="2887">
        <f>0.7525/M101</f>
        <v>3.9605263157894735</v>
      </c>
      <c r="N105" s="2887">
        <f>0.7525/N101</f>
        <v>3.9605263157894735</v>
      </c>
    </row>
    <row r="106" spans="1:14">
      <c r="A106" s="3270"/>
      <c r="B106" s="2886">
        <v>5</v>
      </c>
      <c r="C106" s="2887">
        <f>0.8417/C101</f>
        <v>4.43</v>
      </c>
      <c r="D106" s="2887">
        <f>0.8417/D101</f>
        <v>4.43</v>
      </c>
      <c r="E106" s="2887">
        <f>0.7371/E101</f>
        <v>3.879473684210526</v>
      </c>
      <c r="F106" s="2887">
        <f>0.7371/F101</f>
        <v>3.879473684210526</v>
      </c>
      <c r="G106" s="2887">
        <f>0.7371/G101</f>
        <v>3.879473684210526</v>
      </c>
      <c r="H106" s="2887">
        <f>0.7371/H101</f>
        <v>3.879473684210526</v>
      </c>
      <c r="I106" s="2887">
        <f>0.7371/I101</f>
        <v>3.879473684210526</v>
      </c>
      <c r="J106" s="2887">
        <f>0.5659/J101</f>
        <v>2.9784210526315786</v>
      </c>
      <c r="K106" s="2887">
        <f>0.5659/K101</f>
        <v>2.9784210526315786</v>
      </c>
      <c r="L106" s="2887">
        <f>0.5659/L101</f>
        <v>2.9784210526315786</v>
      </c>
      <c r="M106" s="2887">
        <f>0.5659/M101</f>
        <v>2.9784210526315786</v>
      </c>
      <c r="N106" s="2887">
        <f>0.5659/N101</f>
        <v>2.9784210526315786</v>
      </c>
    </row>
    <row r="107" spans="1:14">
      <c r="A107" s="3270"/>
      <c r="B107" s="2886">
        <v>6</v>
      </c>
      <c r="C107" s="2887">
        <f>0.7608/C101</f>
        <v>4.0042105263157897</v>
      </c>
      <c r="D107" s="2887">
        <f>0.7608/D101</f>
        <v>4.0042105263157897</v>
      </c>
      <c r="E107" s="2887">
        <f>0.6482/E101</f>
        <v>3.411578947368421</v>
      </c>
      <c r="F107" s="2887">
        <f>0.6482/F101</f>
        <v>3.411578947368421</v>
      </c>
      <c r="G107" s="2887">
        <f>0.6482/G101</f>
        <v>3.411578947368421</v>
      </c>
      <c r="H107" s="2887">
        <f>0.6482/H101</f>
        <v>3.411578947368421</v>
      </c>
      <c r="I107" s="2887">
        <f>0.6482/I101</f>
        <v>3.411578947368421</v>
      </c>
      <c r="J107" s="2887">
        <f>0.4525/J101</f>
        <v>2.3815789473684212</v>
      </c>
      <c r="K107" s="2887">
        <f>0.4525/K101</f>
        <v>2.3815789473684212</v>
      </c>
      <c r="L107" s="2887">
        <f>0.4525/L101</f>
        <v>2.3815789473684212</v>
      </c>
      <c r="M107" s="2887">
        <f>0.4525/M101</f>
        <v>2.3815789473684212</v>
      </c>
      <c r="N107" s="2887">
        <f>0.4525/N101</f>
        <v>2.3815789473684212</v>
      </c>
    </row>
    <row r="108" spans="1:14">
      <c r="A108" s="3270"/>
      <c r="B108" s="3098"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1"/>
      <c r="B109" s="3099"/>
      <c r="C109" s="2889">
        <f>(-0.163*(C108^2)-0.59*C108+7617)*(10^(-4))/C101</f>
        <v>4.0089473684210528</v>
      </c>
      <c r="D109" s="2889">
        <f>(-0.163*(D108^2)-0.59*D108+7617)*(10^(-4))/D101</f>
        <v>4.0089473684210528</v>
      </c>
      <c r="E109" s="2889">
        <f>(-0.161*(E108^2)-7.509*E108+6533)*(10^(-4))/E101</f>
        <v>3.438421052631579</v>
      </c>
      <c r="F109" s="2889">
        <f>(-0.161*(F108^2)-7.509*F108+6533)*(10^(-4))/F101</f>
        <v>3.438421052631579</v>
      </c>
      <c r="G109" s="2889">
        <f>(-0.161*(G108^2)-7.509*G108+6533)*(10^(-4))/G101</f>
        <v>3.438421052631579</v>
      </c>
      <c r="H109" s="2889">
        <f>(-0.161*(H108^2)-7.509*H108+6533)*(10^(-4))/H101</f>
        <v>3.438421052631579</v>
      </c>
      <c r="I109" s="2889">
        <f>(-0.161*(I108^2)-7.509*I108+6533)*(10^(-4))/I101</f>
        <v>3.438421052631579</v>
      </c>
      <c r="J109" s="2889">
        <f>(-0.214*(J108^2)-21.991*J108+4665)*(10^(-4))/J101</f>
        <v>2.4552631578947368</v>
      </c>
      <c r="K109" s="2889">
        <f>(-0.214*(K108^2)-21.991*K108+4665)*(10^(-4))/K101</f>
        <v>2.4552631578947368</v>
      </c>
      <c r="L109" s="2889">
        <f>(-0.214*(L108^2)-21.991*L108+4665)*(10^(-4))/L101</f>
        <v>2.4552631578947368</v>
      </c>
      <c r="M109" s="2889">
        <f>(-0.214*(M108^2)-21.991*M108+4665)*(10^(-4))/M101</f>
        <v>2.4552631578947368</v>
      </c>
      <c r="N109" s="2889">
        <f>(-0.214*(N108^2)-21.991*N108+4665)*(10^(-4))/N101</f>
        <v>2.4552631578947368</v>
      </c>
    </row>
    <row r="110" spans="1:14">
      <c r="A110" s="3267" t="s">
        <v>2979</v>
      </c>
      <c r="B110" s="3267"/>
      <c r="C110" s="3267"/>
      <c r="D110" s="3267"/>
      <c r="E110" s="3267"/>
      <c r="F110" s="3267"/>
      <c r="G110" s="3267"/>
      <c r="H110" s="3267"/>
      <c r="I110" s="3267"/>
      <c r="J110" s="3267"/>
      <c r="K110" s="2892"/>
      <c r="L110" s="2892"/>
      <c r="M110" s="2892"/>
      <c r="N110" s="2892"/>
    </row>
    <row r="112" spans="1:14" ht="13.5" thickBot="1"/>
    <row r="113" spans="1:13" ht="25.5" thickBot="1">
      <c r="A113" s="903" t="s">
        <v>2980</v>
      </c>
      <c r="B113" s="1287">
        <f>G3</f>
        <v>0.19</v>
      </c>
      <c r="C113" s="904" t="s">
        <v>2981</v>
      </c>
      <c r="D113" s="905">
        <f>SUMPRODUCT((A115:A118=F113)*(B114:M114=H113)*B115:M118)</f>
        <v>0</v>
      </c>
      <c r="E113" s="2723" t="s">
        <v>2812</v>
      </c>
      <c r="F113" s="2894">
        <f>E2</f>
        <v>0</v>
      </c>
      <c r="G113" s="2723" t="s">
        <v>2813</v>
      </c>
      <c r="H113" s="2894">
        <f>G2</f>
        <v>0</v>
      </c>
      <c r="I113" s="2723"/>
      <c r="J113" s="2895"/>
      <c r="K113" s="2895"/>
      <c r="L113" s="2895"/>
      <c r="M113" s="2895"/>
    </row>
    <row r="114" spans="1:13">
      <c r="A114" s="908"/>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9" t="s">
        <v>2877</v>
      </c>
      <c r="B115" s="910">
        <f>ROUND(0.9335-0.0094*B113,4)</f>
        <v>0.93169999999999997</v>
      </c>
      <c r="C115" s="910">
        <f>B115</f>
        <v>0.93169999999999997</v>
      </c>
      <c r="D115" s="910">
        <f>ROUND(0.8331-0.0109*B113,4)</f>
        <v>0.83099999999999996</v>
      </c>
      <c r="E115" s="910">
        <f>D115</f>
        <v>0.83099999999999996</v>
      </c>
      <c r="F115" s="910">
        <f>E115</f>
        <v>0.83099999999999996</v>
      </c>
      <c r="G115" s="910">
        <f>F115</f>
        <v>0.83099999999999996</v>
      </c>
      <c r="H115" s="910">
        <f>G115</f>
        <v>0.83099999999999996</v>
      </c>
      <c r="I115" s="910">
        <f>ROUND(0.689-0.0155*B113,4)</f>
        <v>0.68610000000000004</v>
      </c>
      <c r="J115" s="910">
        <f t="shared" ref="J115:M118" si="33">I115</f>
        <v>0.68610000000000004</v>
      </c>
      <c r="K115" s="910">
        <f t="shared" si="33"/>
        <v>0.68610000000000004</v>
      </c>
      <c r="L115" s="910">
        <f t="shared" si="33"/>
        <v>0.68610000000000004</v>
      </c>
      <c r="M115" s="911">
        <f t="shared" si="33"/>
        <v>0.68610000000000004</v>
      </c>
    </row>
    <row r="116" spans="1:13">
      <c r="A116" s="909" t="s">
        <v>2878</v>
      </c>
      <c r="B116" s="910">
        <f>ROUND(0.949-0.012*B113,4)</f>
        <v>0.94669999999999999</v>
      </c>
      <c r="C116" s="910">
        <f>B116</f>
        <v>0.94669999999999999</v>
      </c>
      <c r="D116" s="910">
        <f>ROUND(0.8567-0.013*B113,4)</f>
        <v>0.85419999999999996</v>
      </c>
      <c r="E116" s="910">
        <f t="shared" ref="E116:H117" si="34">D116</f>
        <v>0.85419999999999996</v>
      </c>
      <c r="F116" s="910">
        <f t="shared" si="34"/>
        <v>0.85419999999999996</v>
      </c>
      <c r="G116" s="910">
        <f t="shared" si="34"/>
        <v>0.85419999999999996</v>
      </c>
      <c r="H116" s="910">
        <f t="shared" si="34"/>
        <v>0.85419999999999996</v>
      </c>
      <c r="I116" s="910">
        <f>ROUND(0.7694-0.014*B113,4)</f>
        <v>0.76670000000000005</v>
      </c>
      <c r="J116" s="910">
        <f t="shared" si="33"/>
        <v>0.76670000000000005</v>
      </c>
      <c r="K116" s="910">
        <f t="shared" si="33"/>
        <v>0.76670000000000005</v>
      </c>
      <c r="L116" s="910">
        <f t="shared" si="33"/>
        <v>0.76670000000000005</v>
      </c>
      <c r="M116" s="911">
        <f t="shared" si="33"/>
        <v>0.76670000000000005</v>
      </c>
    </row>
    <row r="117" spans="1:13">
      <c r="A117" s="909" t="s">
        <v>2879</v>
      </c>
      <c r="B117" s="910">
        <f>ROUND(0.8808-0.006*B113,4)</f>
        <v>0.87970000000000004</v>
      </c>
      <c r="C117" s="910">
        <f>B117</f>
        <v>0.87970000000000004</v>
      </c>
      <c r="D117" s="910">
        <f>ROUND(0.8748-0.008*B113,4)</f>
        <v>0.87329999999999997</v>
      </c>
      <c r="E117" s="910">
        <f t="shared" si="34"/>
        <v>0.87329999999999997</v>
      </c>
      <c r="F117" s="910">
        <f t="shared" si="34"/>
        <v>0.87329999999999997</v>
      </c>
      <c r="G117" s="910">
        <f t="shared" si="34"/>
        <v>0.87329999999999997</v>
      </c>
      <c r="H117" s="910">
        <f t="shared" si="34"/>
        <v>0.87329999999999997</v>
      </c>
      <c r="I117" s="910">
        <f>ROUND(0.7412-0.0095*B113,4)</f>
        <v>0.73939999999999995</v>
      </c>
      <c r="J117" s="910">
        <f t="shared" si="33"/>
        <v>0.73939999999999995</v>
      </c>
      <c r="K117" s="910">
        <f t="shared" si="33"/>
        <v>0.73939999999999995</v>
      </c>
      <c r="L117" s="910">
        <f t="shared" si="33"/>
        <v>0.73939999999999995</v>
      </c>
      <c r="M117" s="911">
        <f t="shared" si="33"/>
        <v>0.73939999999999995</v>
      </c>
    </row>
    <row r="118" spans="1:13" ht="13.5" thickBot="1">
      <c r="A118" s="714" t="s">
        <v>2880</v>
      </c>
      <c r="B118" s="912">
        <f>ROUND(0.7275-0.01*B113,4)</f>
        <v>0.72560000000000002</v>
      </c>
      <c r="C118" s="912">
        <f>B118</f>
        <v>0.72560000000000002</v>
      </c>
      <c r="D118" s="912">
        <f>ROUND(0.7043-0.012*B113,4)</f>
        <v>0.70199999999999996</v>
      </c>
      <c r="E118" s="912">
        <f>D118</f>
        <v>0.70199999999999996</v>
      </c>
      <c r="F118" s="912">
        <f>E118</f>
        <v>0.70199999999999996</v>
      </c>
      <c r="G118" s="912">
        <f>ROUND(0.6299-0.0122*B113,4)</f>
        <v>0.62760000000000005</v>
      </c>
      <c r="H118" s="912">
        <f>G118</f>
        <v>0.62760000000000005</v>
      </c>
      <c r="I118" s="912">
        <f>ROUND(0.5667-0.0136*B113,4)</f>
        <v>0.56410000000000005</v>
      </c>
      <c r="J118" s="912">
        <f t="shared" si="33"/>
        <v>0.56410000000000005</v>
      </c>
      <c r="K118" s="912">
        <f t="shared" si="33"/>
        <v>0.56410000000000005</v>
      </c>
      <c r="L118" s="912">
        <f t="shared" si="33"/>
        <v>0.56410000000000005</v>
      </c>
      <c r="M118" s="913">
        <f t="shared" si="33"/>
        <v>0.56410000000000005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49" activeCellId="1" sqref="H37 G49"/>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3002</v>
      </c>
    </row>
    <row r="2" spans="1:5" ht="15.75">
      <c r="A2" s="2901" t="s">
        <v>2994</v>
      </c>
      <c r="B2" s="2902" t="e">
        <f ca="1">SUMIF(B6:B13,"&lt;&gt;#ref!",B6:B13)</f>
        <v>#DIV/0!</v>
      </c>
      <c r="C2" s="2901" t="s">
        <v>2995</v>
      </c>
      <c r="D2" s="2901" t="s">
        <v>2996</v>
      </c>
      <c r="E2" s="2902">
        <f ca="1">SUMIF(E6:E13,"&lt;&gt;#ref!",E6:E13)</f>
        <v>0</v>
      </c>
    </row>
    <row r="3" spans="1:5" ht="15.75">
      <c r="A3" s="2901" t="s">
        <v>2997</v>
      </c>
      <c r="B3" s="2902" t="e">
        <f ca="1">ROUND(B2*10000/E2,0)</f>
        <v>#DIV/0!</v>
      </c>
      <c r="C3" s="2901" t="s">
        <v>3003</v>
      </c>
      <c r="D3" s="2903"/>
      <c r="E3" s="2903"/>
    </row>
    <row r="4" spans="1:5" ht="15.75">
      <c r="A4" s="2904"/>
      <c r="B4" s="2903"/>
      <c r="C4" s="2903"/>
      <c r="D4" s="2903"/>
      <c r="E4" s="2903"/>
    </row>
    <row r="5" spans="1:5" ht="28.5">
      <c r="A5" s="2905" t="s">
        <v>2998</v>
      </c>
      <c r="B5" s="2901" t="s">
        <v>2999</v>
      </c>
      <c r="C5" s="2902"/>
      <c r="D5" s="2903"/>
      <c r="E5" s="2901" t="s">
        <v>3000</v>
      </c>
    </row>
    <row r="6" spans="1:5" ht="15.75">
      <c r="A6" s="2906" t="s">
        <v>3001</v>
      </c>
      <c r="B6" s="2902" t="e">
        <f ca="1">SUMIF(INDIRECT("'"&amp;A6&amp;"'"&amp;"!A:A"),"总价",INDIRECT("'"&amp;A6&amp;"'"&amp;"!B:B"))</f>
        <v>#DIV/0!</v>
      </c>
      <c r="C6" s="2901" t="s">
        <v>2995</v>
      </c>
      <c r="D6" s="2903"/>
      <c r="E6" s="2574">
        <f ca="1">SUMIF(INDIRECT("'"&amp;A6&amp;"'"&amp;"!C:C"),"建筑面积",INDIRECT("'"&amp;A6&amp;"'"&amp;"!D:D"))</f>
        <v>0</v>
      </c>
    </row>
    <row r="7" spans="1:5" ht="15.75">
      <c r="A7" s="2906"/>
      <c r="B7" s="2902" t="e">
        <f ca="1">SUMIF(INDIRECT("'"&amp;A7&amp;"'"&amp;"!A:A"),"总价",INDIRECT("'"&amp;A7&amp;"'"&amp;"!B:B"))</f>
        <v>#REF!</v>
      </c>
      <c r="C7" s="2901" t="s">
        <v>2995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2995</v>
      </c>
      <c r="D8" s="2903"/>
      <c r="E8" s="2574" t="e">
        <f t="shared" ca="1" si="0"/>
        <v>#REF!</v>
      </c>
    </row>
    <row r="9" spans="1:5" ht="15.75">
      <c r="A9" s="2906"/>
      <c r="B9" s="2902" t="e">
        <f t="shared" ca="1" si="1"/>
        <v>#REF!</v>
      </c>
      <c r="C9" s="2901" t="s">
        <v>2995</v>
      </c>
      <c r="D9" s="2903"/>
      <c r="E9" s="2574" t="e">
        <f t="shared" ca="1" si="0"/>
        <v>#REF!</v>
      </c>
    </row>
    <row r="10" spans="1:5" ht="15.75">
      <c r="A10" s="2906"/>
      <c r="B10" s="2902" t="e">
        <f t="shared" ca="1" si="1"/>
        <v>#REF!</v>
      </c>
      <c r="C10" s="2901" t="s">
        <v>2995</v>
      </c>
      <c r="D10" s="2903"/>
      <c r="E10" s="2574" t="e">
        <f t="shared" ca="1" si="0"/>
        <v>#REF!</v>
      </c>
    </row>
    <row r="11" spans="1:5" ht="15.75">
      <c r="A11" s="2906"/>
      <c r="B11" s="2902" t="e">
        <f t="shared" ca="1" si="1"/>
        <v>#REF!</v>
      </c>
      <c r="C11" s="2901" t="s">
        <v>2995</v>
      </c>
      <c r="D11" s="2903"/>
      <c r="E11" s="2574" t="e">
        <f t="shared" ca="1" si="0"/>
        <v>#REF!</v>
      </c>
    </row>
    <row r="12" spans="1:5" ht="15.75">
      <c r="A12" s="2906"/>
      <c r="B12" s="2902" t="e">
        <f t="shared" ca="1" si="1"/>
        <v>#REF!</v>
      </c>
      <c r="C12" s="2901" t="s">
        <v>2995</v>
      </c>
      <c r="D12" s="2903"/>
      <c r="E12" s="2574" t="e">
        <f t="shared" ca="1" si="0"/>
        <v>#REF!</v>
      </c>
    </row>
    <row r="13" spans="1:5" ht="15.75">
      <c r="A13" s="2906"/>
      <c r="B13" s="2902" t="e">
        <f t="shared" ca="1" si="1"/>
        <v>#REF!</v>
      </c>
      <c r="C13" s="2901" t="s">
        <v>2995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1146</v>
      </c>
      <c r="C1" s="3293"/>
      <c r="D1" s="3293"/>
      <c r="E1" s="3293"/>
      <c r="F1" s="3293"/>
      <c r="G1" s="3289" t="s">
        <v>1147</v>
      </c>
      <c r="H1" s="3289"/>
      <c r="I1" s="3289"/>
      <c r="J1" s="3289"/>
      <c r="K1" s="3289"/>
      <c r="L1" s="3289"/>
      <c r="N1" s="3289" t="s">
        <v>1148</v>
      </c>
      <c r="O1" s="3289"/>
      <c r="P1" s="3289"/>
      <c r="Q1" s="3289"/>
      <c r="R1" s="1446"/>
      <c r="S1" s="3289" t="s">
        <v>1149</v>
      </c>
      <c r="T1" s="3289"/>
      <c r="U1" s="3289"/>
      <c r="V1" s="3289"/>
      <c r="X1" s="3288" t="s">
        <v>1150</v>
      </c>
      <c r="Y1" s="3289"/>
      <c r="Z1" s="3289"/>
      <c r="AA1" s="3289"/>
      <c r="AB1" s="3289"/>
      <c r="AD1" s="3288" t="s">
        <v>1151</v>
      </c>
      <c r="AE1" s="3289"/>
      <c r="AF1" s="3289"/>
      <c r="AG1" s="3289"/>
      <c r="AH1" s="328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3037</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1">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9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49" activeCellId="1" sqref="H37 G49"/>
      <selection pane="bottomLeft" activeCell="G49" activeCellId="1" sqref="H37 G4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0" t="s">
        <v>3005</v>
      </c>
      <c r="D1" s="3301"/>
      <c r="E1" s="3301"/>
      <c r="F1" s="3301"/>
      <c r="G1" s="3301"/>
      <c r="H1" s="3301"/>
      <c r="I1" s="3301"/>
      <c r="J1" s="3301"/>
      <c r="K1" s="3301"/>
      <c r="L1" s="3301"/>
      <c r="M1" s="3301"/>
      <c r="N1" s="3301"/>
      <c r="O1" s="3301"/>
      <c r="P1" s="3301"/>
      <c r="Q1" s="3301"/>
      <c r="R1" s="3301"/>
      <c r="S1" s="3302"/>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3014</v>
      </c>
      <c r="B17" s="2908"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0" t="s">
        <v>3018</v>
      </c>
      <c r="E20" s="1793"/>
      <c r="F20" s="1204" t="e">
        <f ca="1">SUMIF(INDIRECT("'"&amp;H20&amp;"'"&amp;"!A:A"),"承租人权益价值",INDIRECT("'"&amp;H20&amp;"'"&amp;"!c:c"))</f>
        <v>#REF!</v>
      </c>
      <c r="G20" s="1204" t="s">
        <v>3019</v>
      </c>
      <c r="H20" s="2911"/>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9" t="s">
        <v>33</v>
      </c>
      <c r="D22" s="3080"/>
      <c r="E22" s="3080"/>
      <c r="F22" s="3080"/>
      <c r="G22" s="3080"/>
      <c r="H22" s="3080"/>
      <c r="I22" s="3080"/>
      <c r="J22" s="3080"/>
      <c r="K22" s="3080"/>
      <c r="L22" s="3080"/>
      <c r="M22" s="3080"/>
      <c r="N22" s="3080"/>
      <c r="O22" s="3080"/>
      <c r="P22" s="3080"/>
      <c r="Q22" s="329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1"/>
      <c r="B4" s="2982" t="s">
        <v>1626</v>
      </c>
      <c r="C4" s="2982"/>
      <c r="D4" s="2982"/>
      <c r="E4" s="1961"/>
    </row>
    <row r="5" spans="1:5" ht="16.5" thickTop="1">
      <c r="A5" s="1959"/>
      <c r="B5" s="2980" t="s">
        <v>1618</v>
      </c>
      <c r="C5" s="1962" t="s">
        <v>1619</v>
      </c>
      <c r="D5" s="1040">
        <f ca="1">结果表!H101</f>
        <v>10787</v>
      </c>
      <c r="E5" s="1959"/>
    </row>
    <row r="6" spans="1:5" ht="15.75">
      <c r="A6" s="1959"/>
      <c r="B6" s="2980"/>
      <c r="C6" s="1962" t="s">
        <v>1620</v>
      </c>
      <c r="D6" s="1040" t="str">
        <f ca="1">NUMBERSTRING(INT(D5*10000),2)&amp;"元整"</f>
        <v>壹亿零柒佰捌拾柒万元整</v>
      </c>
      <c r="E6" s="1959"/>
    </row>
    <row r="7" spans="1:5" ht="15.75">
      <c r="A7" s="1959"/>
      <c r="B7" s="2985"/>
      <c r="C7" s="1963" t="s">
        <v>1621</v>
      </c>
      <c r="D7" s="1041">
        <f ca="1">结果表!H102</f>
        <v>4042</v>
      </c>
      <c r="E7" s="1959"/>
    </row>
    <row r="8" spans="1:5" ht="15.75">
      <c r="A8" s="1959"/>
      <c r="B8" s="2986" t="str">
        <f>结果表!E103</f>
        <v>2.估价师知悉的法定优先受偿款</v>
      </c>
      <c r="C8" s="1964" t="s">
        <v>1622</v>
      </c>
      <c r="D8" s="1041">
        <f>结果表!H103</f>
        <v>0</v>
      </c>
      <c r="E8" s="1959"/>
    </row>
    <row r="9" spans="1:5" ht="15.75">
      <c r="A9" s="1959"/>
      <c r="B9" s="298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9" t="str">
        <f>结果表!E107</f>
        <v>3.房地产抵押价值</v>
      </c>
      <c r="C13" s="1967" t="s">
        <v>1619</v>
      </c>
      <c r="D13" s="1043">
        <f ca="1">结果表!H107</f>
        <v>10787</v>
      </c>
      <c r="E13" s="1959"/>
    </row>
    <row r="14" spans="1:5" ht="15.75">
      <c r="A14" s="1959"/>
      <c r="B14" s="2980"/>
      <c r="C14" s="1962" t="s">
        <v>1620</v>
      </c>
      <c r="D14" s="1040" t="str">
        <f ca="1">NUMBERSTRING(INT(D13*10000),2)&amp;"元整"</f>
        <v>壹亿零柒佰捌拾柒万元整</v>
      </c>
      <c r="E14" s="1959"/>
    </row>
    <row r="15" spans="1:5" ht="15">
      <c r="A15" s="1959"/>
      <c r="B15" s="2985"/>
      <c r="C15" s="1963" t="s">
        <v>1630</v>
      </c>
      <c r="D15" s="1052">
        <f ca="1">结果表!H108</f>
        <v>4042</v>
      </c>
      <c r="E15" s="1959"/>
    </row>
    <row r="16" spans="1:5" ht="15">
      <c r="A16" s="1959"/>
      <c r="B16" s="2986" t="str">
        <f>结果表!E109</f>
        <v>——</v>
      </c>
      <c r="C16" s="1967" t="s">
        <v>1631</v>
      </c>
      <c r="D16" s="1968" t="str">
        <f>结果表!H109</f>
        <v>——</v>
      </c>
      <c r="E16" s="1959"/>
    </row>
    <row r="17" spans="1:5" ht="15.75">
      <c r="A17" s="1959"/>
      <c r="B17" s="2987"/>
      <c r="C17" s="1962" t="s">
        <v>1632</v>
      </c>
      <c r="D17" s="1040" t="e">
        <f>NUMBERSTRING(INT(D16*10000),2)&amp;"元整"</f>
        <v>#VALUE!</v>
      </c>
      <c r="E17" s="1959"/>
    </row>
    <row r="18" spans="1:5" ht="15">
      <c r="A18" s="1959"/>
      <c r="B18" s="2988"/>
      <c r="C18" s="1963" t="s">
        <v>1621</v>
      </c>
      <c r="D18" s="1052" t="str">
        <f>结果表!H110</f>
        <v>——</v>
      </c>
      <c r="E18" s="1959"/>
    </row>
    <row r="19" spans="1:5" ht="15.75">
      <c r="A19" s="1959"/>
      <c r="B19" s="2979" t="str">
        <f>结果表!E111</f>
        <v>——</v>
      </c>
      <c r="C19" s="1967" t="s">
        <v>1619</v>
      </c>
      <c r="D19" s="1041" t="str">
        <f>结果表!H111</f>
        <v>——</v>
      </c>
      <c r="E19" s="1959"/>
    </row>
    <row r="20" spans="1:5" ht="15.75">
      <c r="A20" s="1959"/>
      <c r="B20" s="2980"/>
      <c r="C20" s="1962" t="s">
        <v>1632</v>
      </c>
      <c r="D20" s="1040" t="e">
        <f>NUMBERSTRING(INT(D19*10000),2)&amp;"元整"</f>
        <v>#VALUE!</v>
      </c>
      <c r="E20" s="1959"/>
    </row>
    <row r="21" spans="1:5" ht="15.75" thickBot="1">
      <c r="A21" s="1959"/>
      <c r="B21" s="298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34280</v>
      </c>
      <c r="C2" s="2" t="s">
        <v>133</v>
      </c>
      <c r="D2" s="243"/>
      <c r="E2" s="243"/>
      <c r="F2" s="243"/>
      <c r="G2" s="243"/>
    </row>
    <row r="3" spans="1:7" s="244" customFormat="1" ht="18" customHeight="1" thickBot="1">
      <c r="A3" s="247" t="s">
        <v>85</v>
      </c>
      <c r="B3" s="248">
        <f ca="1">ROUND(B2*10000/'数据-汇总表'!E3,0)</f>
        <v>12845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75</v>
      </c>
      <c r="F9" s="265"/>
      <c r="G9" s="270"/>
    </row>
    <row r="10" spans="1:7" s="258" customFormat="1" ht="13.5" customHeight="1">
      <c r="A10" s="950" t="s">
        <v>801</v>
      </c>
      <c r="B10" s="268" t="s">
        <v>94</v>
      </c>
      <c r="C10" s="269">
        <f>ROUND(D10*E10/10000,0)</f>
        <v>200</v>
      </c>
      <c r="D10" s="1032">
        <f>'数据-汇总表'!E6</f>
        <v>26688.410000000003</v>
      </c>
      <c r="E10" s="269">
        <f>'数据-取费表'!B28</f>
        <v>75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534</v>
      </c>
      <c r="D19" s="1036">
        <f>'数据-汇总表'!E3</f>
        <v>26688.410000000003</v>
      </c>
      <c r="E19" s="255">
        <f>'数据-取费表'!B31</f>
        <v>200</v>
      </c>
      <c r="F19" s="275"/>
      <c r="G19" s="1" t="s">
        <v>1071</v>
      </c>
    </row>
    <row r="20" spans="1:7" s="258" customFormat="1" ht="13.5" customHeight="1">
      <c r="A20" s="948" t="s">
        <v>1054</v>
      </c>
      <c r="B20" s="254" t="s">
        <v>104</v>
      </c>
      <c r="C20" s="276">
        <f>ROUND((C5+C19)*F20,0)</f>
        <v>529</v>
      </c>
      <c r="D20" s="276"/>
      <c r="E20" s="276"/>
      <c r="F20" s="277">
        <f>'数据-取费表'!B37</f>
        <v>2.5000000000000001E-2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1543</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38</v>
      </c>
      <c r="D24" s="282"/>
      <c r="E24" s="282"/>
      <c r="F24" s="283"/>
      <c r="G24" s="284" t="s">
        <v>109</v>
      </c>
    </row>
    <row r="25" spans="1:7" s="258" customFormat="1" ht="24">
      <c r="A25" s="951" t="s">
        <v>793</v>
      </c>
      <c r="B25" s="259" t="s">
        <v>1055</v>
      </c>
      <c r="C25" s="1355">
        <f ca="1">ROUND(IF('数据-取费表'!B22&lt;=1,C20*F22*'数据-取费表'!B23/2,C20*(POWER((1+F22),'数据-取费表'!B23/2)-1)),0)</f>
        <v>19</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2167</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2167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5792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4937</v>
      </c>
      <c r="D34" s="261"/>
      <c r="E34" s="264"/>
      <c r="F34" s="301">
        <f>IF('数据-取费表'!B24=0,1,'数据-取费表'!N16)</f>
        <v>1</v>
      </c>
      <c r="G34" s="263" t="s">
        <v>116</v>
      </c>
    </row>
    <row r="35" spans="1:7" ht="13.5" customHeight="1">
      <c r="A35" s="951" t="s">
        <v>796</v>
      </c>
      <c r="B35" s="259" t="s">
        <v>60</v>
      </c>
      <c r="C35" s="264">
        <f>ROUND(C34*F35,0)</f>
        <v>247</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534</v>
      </c>
      <c r="D37" s="261">
        <f>'数据-汇总表'!E3</f>
        <v>26688.410000000003</v>
      </c>
      <c r="E37" s="293">
        <f>'数据-取费表'!B35</f>
        <v>200</v>
      </c>
      <c r="F37" s="303"/>
      <c r="G37" s="305" t="s">
        <v>119</v>
      </c>
    </row>
    <row r="38" spans="1:7" ht="13.5" customHeight="1">
      <c r="A38" s="951" t="s">
        <v>799</v>
      </c>
      <c r="B38" s="259" t="s">
        <v>63</v>
      </c>
      <c r="C38" s="264">
        <f>ROUND(C34*F38,0)</f>
        <v>74</v>
      </c>
      <c r="D38" s="264"/>
      <c r="E38" s="264"/>
      <c r="F38" s="303">
        <f>'数据-取费表'!B36</f>
        <v>1.4999999999999999E-2</v>
      </c>
      <c r="G38" s="263" t="s">
        <v>117</v>
      </c>
    </row>
    <row r="39" spans="1:7" s="258" customFormat="1" ht="13.5" customHeight="1">
      <c r="A39" s="948" t="s">
        <v>783</v>
      </c>
      <c r="B39" s="254" t="s">
        <v>104</v>
      </c>
      <c r="C39" s="276">
        <f>ROUND(C33*F20,0)</f>
        <v>145</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210</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205</v>
      </c>
      <c r="D42" s="282"/>
      <c r="E42" s="282"/>
      <c r="F42" s="283"/>
      <c r="G42" s="3164" t="s">
        <v>121</v>
      </c>
    </row>
    <row r="43" spans="1:7" ht="13.5" customHeight="1">
      <c r="A43" s="951" t="s">
        <v>792</v>
      </c>
      <c r="B43" s="259" t="s">
        <v>1061</v>
      </c>
      <c r="C43" s="282">
        <f ca="1">ROUND(IF('数据-取费表'!B22&lt;=1,C39*F22*'数据-取费表'!B21/2,C39*(POWER((1+F22),'数据-取费表'!B21/2)-1)),0)</f>
        <v>5</v>
      </c>
      <c r="D43" s="282"/>
      <c r="E43" s="282"/>
      <c r="F43" s="283"/>
      <c r="G43" s="3165"/>
    </row>
    <row r="44" spans="1:7" ht="13.5" customHeight="1">
      <c r="A44" s="951" t="s">
        <v>793</v>
      </c>
      <c r="B44" s="259" t="s">
        <v>1063</v>
      </c>
      <c r="C44" s="282">
        <f ca="1">ROUND(IF('数据-取费表'!B22&lt;=1,C40*F22*'数据-取费表'!B21/2,C40*(POWER((1+F22),'数据-取费表'!B21/2)-1)),4)</f>
        <v>1.1000000000000001E-3</v>
      </c>
      <c r="D44" s="282"/>
      <c r="E44" s="282"/>
      <c r="F44" s="283"/>
      <c r="G44" s="3166"/>
    </row>
    <row r="45" spans="1:7" s="258" customFormat="1" ht="13.5" customHeight="1">
      <c r="A45" s="948" t="s">
        <v>786</v>
      </c>
      <c r="B45" s="288" t="s">
        <v>112</v>
      </c>
      <c r="C45" s="289">
        <f>C46</f>
        <v>594</v>
      </c>
      <c r="D45" s="279">
        <f>C47</f>
        <v>3.0000000000000001E-3</v>
      </c>
      <c r="E45" s="280" t="s">
        <v>129</v>
      </c>
      <c r="F45" s="290"/>
      <c r="G45" s="291" t="s">
        <v>1069</v>
      </c>
    </row>
    <row r="46" spans="1:7" s="258" customFormat="1" ht="13.5" customHeight="1">
      <c r="A46" s="951" t="s">
        <v>794</v>
      </c>
      <c r="B46" s="292" t="s">
        <v>1062</v>
      </c>
      <c r="C46" s="293">
        <f>ROUND((C33+C39)*F27,0)</f>
        <v>594</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7379</v>
      </c>
      <c r="D49" s="276"/>
      <c r="E49" s="276"/>
      <c r="F49" s="308"/>
      <c r="G49" s="278" t="s">
        <v>1070</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6494</v>
      </c>
      <c r="D51" s="276"/>
      <c r="E51" s="276"/>
      <c r="F51" s="308"/>
      <c r="G51" s="278" t="s">
        <v>64</v>
      </c>
    </row>
    <row r="52" spans="1:7" s="252" customFormat="1" ht="16.5" thickBot="1">
      <c r="A52" s="309" t="s">
        <v>65</v>
      </c>
      <c r="B52" s="310"/>
      <c r="C52" s="311">
        <f ca="1">C31+C51</f>
        <v>34280</v>
      </c>
      <c r="D52" s="310"/>
      <c r="E52" s="310"/>
      <c r="F52" s="310"/>
      <c r="G52" s="312"/>
    </row>
    <row r="55" spans="1:7" ht="15">
      <c r="B55" s="314" t="s">
        <v>66</v>
      </c>
      <c r="C55" s="315"/>
    </row>
    <row r="56" spans="1:7">
      <c r="B56" s="317" t="s">
        <v>67</v>
      </c>
      <c r="C56" s="318">
        <f ca="1">ROUND(C51/C52,3)</f>
        <v>0.189</v>
      </c>
    </row>
    <row r="57" spans="1:7">
      <c r="B57" s="317" t="s">
        <v>68</v>
      </c>
      <c r="C57" s="319">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43595</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O29"/>
  <sheetViews>
    <sheetView topLeftCell="C4" workbookViewId="0">
      <selection activeCell="D12" sqref="D12:H29"/>
    </sheetView>
  </sheetViews>
  <sheetFormatPr defaultRowHeight="13.5"/>
  <cols>
    <col min="5" max="5" width="13.625" customWidth="1"/>
    <col min="8" max="8" width="19" customWidth="1"/>
    <col min="11" max="11" width="12.875" customWidth="1"/>
    <col min="12" max="12" width="14.625" bestFit="1" customWidth="1"/>
  </cols>
  <sheetData>
    <row r="7" spans="4:15" ht="28.5">
      <c r="D7" s="2957" t="s">
        <v>3054</v>
      </c>
      <c r="E7" s="2957" t="s">
        <v>3055</v>
      </c>
      <c r="F7" s="2957" t="s">
        <v>3056</v>
      </c>
      <c r="G7" s="2957" t="s">
        <v>3058</v>
      </c>
      <c r="H7" s="2957" t="s">
        <v>3059</v>
      </c>
      <c r="I7" s="2957" t="s">
        <v>3061</v>
      </c>
      <c r="J7" s="2957" t="s">
        <v>3062</v>
      </c>
      <c r="K7" s="2957" t="s">
        <v>3063</v>
      </c>
      <c r="L7" s="2957" t="s">
        <v>3064</v>
      </c>
      <c r="M7" s="2957" t="s">
        <v>3066</v>
      </c>
      <c r="N7" s="2957" t="s">
        <v>3067</v>
      </c>
    </row>
    <row r="8" spans="4:15" ht="75.75" customHeight="1">
      <c r="D8" s="2950" t="s">
        <v>3079</v>
      </c>
      <c r="E8" s="2950" t="s">
        <v>3057</v>
      </c>
      <c r="F8" s="2950" t="s">
        <v>3247</v>
      </c>
      <c r="G8" s="2950" t="s">
        <v>3248</v>
      </c>
      <c r="H8" s="2950" t="s">
        <v>3060</v>
      </c>
      <c r="I8" s="2950">
        <v>142073.1</v>
      </c>
      <c r="J8" s="2950">
        <v>26688.41</v>
      </c>
      <c r="K8" s="2951">
        <v>59560</v>
      </c>
      <c r="L8" s="2950" t="s">
        <v>3080</v>
      </c>
      <c r="M8" s="2950" t="s">
        <v>3065</v>
      </c>
      <c r="N8" s="2950" t="s">
        <v>3081</v>
      </c>
    </row>
    <row r="9" spans="4:15" ht="71.25" customHeight="1">
      <c r="D9" s="2950" t="s">
        <v>3072</v>
      </c>
      <c r="E9" s="2950" t="s">
        <v>3073</v>
      </c>
      <c r="F9" s="2950" t="s">
        <v>3249</v>
      </c>
      <c r="G9" s="2950" t="s">
        <v>3074</v>
      </c>
      <c r="H9" s="2950" t="s">
        <v>3075</v>
      </c>
      <c r="I9" s="2950">
        <v>31004.3</v>
      </c>
      <c r="J9" s="2950">
        <v>7538.41</v>
      </c>
      <c r="K9" s="2951">
        <v>56926</v>
      </c>
      <c r="L9" s="2950"/>
      <c r="M9" s="2950"/>
      <c r="N9" s="2950"/>
    </row>
    <row r="10" spans="4:15" ht="14.25">
      <c r="D10" s="2949"/>
      <c r="E10" s="2950"/>
      <c r="F10" s="2950"/>
      <c r="G10" s="2950"/>
      <c r="H10" s="2950"/>
      <c r="I10" s="2950"/>
      <c r="J10" s="2950"/>
      <c r="K10" s="2950"/>
      <c r="L10" s="2950"/>
      <c r="M10" s="2950"/>
      <c r="N10" s="2950"/>
      <c r="O10" s="2950"/>
    </row>
    <row r="11" spans="4:15" ht="15" thickBot="1">
      <c r="D11" s="2949"/>
      <c r="E11" s="2950"/>
      <c r="F11" s="2950"/>
      <c r="G11" s="2950"/>
      <c r="H11" s="2950"/>
      <c r="I11" s="2950"/>
      <c r="J11" s="2950"/>
      <c r="K11" s="2950"/>
      <c r="L11" s="2950"/>
      <c r="M11" s="2950"/>
      <c r="N11" s="2950"/>
      <c r="O11" s="2950"/>
    </row>
    <row r="12" spans="4:15" ht="14.25">
      <c r="D12" s="3310" t="s">
        <v>3076</v>
      </c>
      <c r="E12" s="2952" t="s">
        <v>3071</v>
      </c>
      <c r="F12" s="2952" t="s">
        <v>3070</v>
      </c>
      <c r="G12" s="2952" t="s">
        <v>3069</v>
      </c>
      <c r="H12" s="2952" t="s">
        <v>3068</v>
      </c>
      <c r="I12" s="3307" t="s">
        <v>3078</v>
      </c>
      <c r="J12" s="2952" t="s">
        <v>3071</v>
      </c>
      <c r="K12" s="2952" t="s">
        <v>3070</v>
      </c>
      <c r="L12" s="2952" t="s">
        <v>3062</v>
      </c>
      <c r="M12" s="2953" t="s">
        <v>3068</v>
      </c>
      <c r="N12" s="2950"/>
      <c r="O12" s="2950"/>
    </row>
    <row r="13" spans="4:15" ht="14.25">
      <c r="D13" s="3311"/>
      <c r="E13" s="2954">
        <v>1</v>
      </c>
      <c r="F13" s="2954" t="s">
        <v>3060</v>
      </c>
      <c r="G13" s="2954">
        <v>2669.58</v>
      </c>
      <c r="H13" s="2954">
        <v>3</v>
      </c>
      <c r="I13" s="3308"/>
      <c r="J13" s="2954">
        <v>1</v>
      </c>
      <c r="K13" s="2954" t="s">
        <v>3060</v>
      </c>
      <c r="L13" s="2954">
        <v>661.55</v>
      </c>
      <c r="M13" s="2955">
        <v>1</v>
      </c>
      <c r="N13" s="2950"/>
      <c r="O13" s="2950"/>
    </row>
    <row r="14" spans="4:15" ht="14.25">
      <c r="D14" s="3311"/>
      <c r="E14" s="2954">
        <v>2</v>
      </c>
      <c r="F14" s="2954" t="s">
        <v>3060</v>
      </c>
      <c r="G14" s="2954">
        <v>2795.24</v>
      </c>
      <c r="H14" s="2954">
        <v>4</v>
      </c>
      <c r="I14" s="3308"/>
      <c r="J14" s="2954">
        <v>2</v>
      </c>
      <c r="K14" s="2954" t="s">
        <v>3060</v>
      </c>
      <c r="L14" s="2954">
        <v>613.26</v>
      </c>
      <c r="M14" s="2955">
        <v>1</v>
      </c>
      <c r="N14" s="2950"/>
      <c r="O14" s="2950"/>
    </row>
    <row r="15" spans="4:15" ht="14.25">
      <c r="D15" s="3311"/>
      <c r="E15" s="2954">
        <v>3</v>
      </c>
      <c r="F15" s="2954" t="s">
        <v>3060</v>
      </c>
      <c r="G15" s="2954">
        <v>2896.66</v>
      </c>
      <c r="H15" s="2954">
        <v>3</v>
      </c>
      <c r="I15" s="3308"/>
      <c r="J15" s="2954">
        <v>3</v>
      </c>
      <c r="K15" s="2954" t="s">
        <v>3060</v>
      </c>
      <c r="L15" s="2954">
        <v>613.26</v>
      </c>
      <c r="M15" s="2955">
        <v>1</v>
      </c>
      <c r="N15" s="2950"/>
      <c r="O15" s="2950"/>
    </row>
    <row r="16" spans="4:15" ht="14.25">
      <c r="D16" s="3311"/>
      <c r="E16" s="2954">
        <v>4</v>
      </c>
      <c r="F16" s="2954" t="s">
        <v>3060</v>
      </c>
      <c r="G16" s="2954">
        <v>1819.54</v>
      </c>
      <c r="H16" s="2954">
        <v>2</v>
      </c>
      <c r="I16" s="3308"/>
      <c r="J16" s="2954">
        <v>4</v>
      </c>
      <c r="K16" s="2954" t="s">
        <v>3060</v>
      </c>
      <c r="L16" s="2954">
        <v>613.26</v>
      </c>
      <c r="M16" s="2955">
        <v>1</v>
      </c>
      <c r="N16" s="2950"/>
      <c r="O16" s="2950"/>
    </row>
    <row r="17" spans="4:15" ht="14.25">
      <c r="D17" s="3311"/>
      <c r="E17" s="2954">
        <v>5</v>
      </c>
      <c r="F17" s="2954" t="s">
        <v>3060</v>
      </c>
      <c r="G17" s="2954">
        <v>1741.44</v>
      </c>
      <c r="H17" s="2954">
        <v>1</v>
      </c>
      <c r="I17" s="3308"/>
      <c r="J17" s="2954">
        <v>5</v>
      </c>
      <c r="K17" s="2954" t="s">
        <v>3060</v>
      </c>
      <c r="L17" s="2954">
        <v>423</v>
      </c>
      <c r="M17" s="2955">
        <v>1</v>
      </c>
      <c r="N17" s="2950"/>
      <c r="O17" s="2950"/>
    </row>
    <row r="18" spans="4:15" ht="14.25">
      <c r="D18" s="3311"/>
      <c r="E18" s="2954">
        <v>6</v>
      </c>
      <c r="F18" s="2954" t="s">
        <v>3060</v>
      </c>
      <c r="G18" s="2954">
        <v>1694.87</v>
      </c>
      <c r="H18" s="2954">
        <v>3</v>
      </c>
      <c r="I18" s="3308"/>
      <c r="J18" s="2954">
        <v>6</v>
      </c>
      <c r="K18" s="2954" t="s">
        <v>3060</v>
      </c>
      <c r="L18" s="2954">
        <v>623.79999999999995</v>
      </c>
      <c r="M18" s="2955">
        <v>1</v>
      </c>
      <c r="N18" s="2950"/>
      <c r="O18" s="2950"/>
    </row>
    <row r="19" spans="4:15" ht="14.25">
      <c r="D19" s="3311"/>
      <c r="E19" s="2954">
        <v>7</v>
      </c>
      <c r="F19" s="2954" t="s">
        <v>3060</v>
      </c>
      <c r="G19" s="2954">
        <v>738.07</v>
      </c>
      <c r="H19" s="2954">
        <v>1</v>
      </c>
      <c r="I19" s="3308"/>
      <c r="J19" s="2954">
        <v>7</v>
      </c>
      <c r="K19" s="2954" t="s">
        <v>3060</v>
      </c>
      <c r="L19" s="2954">
        <v>627.44000000000005</v>
      </c>
      <c r="M19" s="2955">
        <v>1</v>
      </c>
      <c r="N19" s="2950"/>
      <c r="O19" s="2950"/>
    </row>
    <row r="20" spans="4:15" ht="14.25">
      <c r="D20" s="3311"/>
      <c r="E20" s="2954">
        <v>8</v>
      </c>
      <c r="F20" s="2954" t="s">
        <v>3060</v>
      </c>
      <c r="G20" s="2954">
        <v>507.46</v>
      </c>
      <c r="H20" s="2954">
        <v>1</v>
      </c>
      <c r="I20" s="3308"/>
      <c r="J20" s="2954">
        <v>8</v>
      </c>
      <c r="K20" s="2954" t="s">
        <v>3060</v>
      </c>
      <c r="L20" s="2954">
        <v>597.89</v>
      </c>
      <c r="M20" s="2955">
        <v>1</v>
      </c>
      <c r="N20" s="2950"/>
      <c r="O20" s="2950"/>
    </row>
    <row r="21" spans="4:15" ht="14.25">
      <c r="D21" s="3311"/>
      <c r="E21" s="2954">
        <v>9</v>
      </c>
      <c r="F21" s="2954" t="s">
        <v>3060</v>
      </c>
      <c r="G21" s="2954">
        <v>296.7</v>
      </c>
      <c r="H21" s="2954">
        <v>1</v>
      </c>
      <c r="I21" s="3308"/>
      <c r="J21" s="2954">
        <v>9</v>
      </c>
      <c r="K21" s="2954" t="s">
        <v>3060</v>
      </c>
      <c r="L21" s="2954">
        <v>697.9</v>
      </c>
      <c r="M21" s="2955">
        <v>2</v>
      </c>
      <c r="N21" s="2950"/>
      <c r="O21" s="2950"/>
    </row>
    <row r="22" spans="4:15" ht="14.25">
      <c r="D22" s="3311"/>
      <c r="E22" s="2954">
        <v>10</v>
      </c>
      <c r="F22" s="2954" t="s">
        <v>3060</v>
      </c>
      <c r="G22" s="2954">
        <v>1748.22</v>
      </c>
      <c r="H22" s="2954">
        <v>1</v>
      </c>
      <c r="I22" s="3308"/>
      <c r="J22" s="2954">
        <v>10</v>
      </c>
      <c r="K22" s="2954" t="s">
        <v>3060</v>
      </c>
      <c r="L22" s="2954">
        <v>578.36</v>
      </c>
      <c r="M22" s="2955">
        <v>2</v>
      </c>
      <c r="N22" s="2950"/>
      <c r="O22" s="2950"/>
    </row>
    <row r="23" spans="4:15" ht="14.25">
      <c r="D23" s="3311"/>
      <c r="E23" s="2954">
        <v>11</v>
      </c>
      <c r="F23" s="2954" t="s">
        <v>3060</v>
      </c>
      <c r="G23" s="2954">
        <v>1748.22</v>
      </c>
      <c r="H23" s="2954">
        <v>1</v>
      </c>
      <c r="I23" s="3308"/>
      <c r="J23" s="2954">
        <v>11</v>
      </c>
      <c r="K23" s="2954" t="s">
        <v>3060</v>
      </c>
      <c r="L23" s="2954">
        <v>430.38</v>
      </c>
      <c r="M23" s="2955">
        <v>1</v>
      </c>
      <c r="N23" s="2950"/>
      <c r="O23" s="2950"/>
    </row>
    <row r="24" spans="4:15" ht="14.25">
      <c r="D24" s="3311"/>
      <c r="E24" s="2954">
        <v>12</v>
      </c>
      <c r="F24" s="2954" t="s">
        <v>3060</v>
      </c>
      <c r="G24" s="2954">
        <v>601.5</v>
      </c>
      <c r="H24" s="2954">
        <v>1</v>
      </c>
      <c r="I24" s="3308"/>
      <c r="J24" s="2954">
        <v>12</v>
      </c>
      <c r="K24" s="2954" t="s">
        <v>3060</v>
      </c>
      <c r="L24" s="2954">
        <v>430.38</v>
      </c>
      <c r="M24" s="2955">
        <v>1</v>
      </c>
      <c r="N24" s="2950"/>
      <c r="O24" s="2950"/>
    </row>
    <row r="25" spans="4:15" ht="14.25">
      <c r="D25" s="3311"/>
      <c r="E25" s="2954">
        <v>13</v>
      </c>
      <c r="F25" s="2954" t="s">
        <v>3060</v>
      </c>
      <c r="G25" s="2954">
        <v>2893.89</v>
      </c>
      <c r="H25" s="2954">
        <v>3</v>
      </c>
      <c r="I25" s="3308"/>
      <c r="J25" s="2954">
        <v>13</v>
      </c>
      <c r="K25" s="2954" t="s">
        <v>3060</v>
      </c>
      <c r="L25" s="2954">
        <v>369.42</v>
      </c>
      <c r="M25" s="2955">
        <v>1</v>
      </c>
      <c r="N25" s="2950"/>
      <c r="O25" s="2950"/>
    </row>
    <row r="26" spans="4:15" ht="14.25">
      <c r="D26" s="3311"/>
      <c r="E26" s="2954">
        <v>14</v>
      </c>
      <c r="F26" s="2954" t="s">
        <v>3060</v>
      </c>
      <c r="G26" s="2954">
        <v>2403.94</v>
      </c>
      <c r="H26" s="2954">
        <v>3</v>
      </c>
      <c r="I26" s="3308"/>
      <c r="J26" s="2954">
        <v>14</v>
      </c>
      <c r="K26" s="2954" t="s">
        <v>3060</v>
      </c>
      <c r="L26" s="2954">
        <v>198.13</v>
      </c>
      <c r="M26" s="2955">
        <v>1</v>
      </c>
      <c r="N26" s="2950"/>
      <c r="O26" s="2950"/>
    </row>
    <row r="27" spans="4:15" ht="14.25">
      <c r="D27" s="3311"/>
      <c r="E27" s="2954">
        <v>15</v>
      </c>
      <c r="F27" s="2954" t="s">
        <v>3060</v>
      </c>
      <c r="G27" s="2954">
        <v>1748.22</v>
      </c>
      <c r="H27" s="2954">
        <v>1</v>
      </c>
      <c r="I27" s="3308"/>
      <c r="J27" s="2954">
        <v>15</v>
      </c>
      <c r="K27" s="2954" t="s">
        <v>3060</v>
      </c>
      <c r="L27" s="2954">
        <v>60.38</v>
      </c>
      <c r="M27" s="2955">
        <v>1</v>
      </c>
      <c r="N27" s="2950"/>
      <c r="O27" s="2950"/>
    </row>
    <row r="28" spans="4:15" ht="14.25">
      <c r="D28" s="3311"/>
      <c r="E28" s="2954">
        <v>16</v>
      </c>
      <c r="F28" s="2954" t="s">
        <v>3060</v>
      </c>
      <c r="G28" s="2954">
        <v>384.86</v>
      </c>
      <c r="H28" s="2954">
        <v>1</v>
      </c>
      <c r="I28" s="3308"/>
      <c r="J28" s="3313" t="s">
        <v>3077</v>
      </c>
      <c r="K28" s="3317">
        <f>SUM(L13:L27)</f>
        <v>7538.41</v>
      </c>
      <c r="L28" s="3318"/>
      <c r="M28" s="3319"/>
      <c r="N28" s="2950"/>
      <c r="O28" s="2950"/>
    </row>
    <row r="29" spans="4:15" ht="15" thickBot="1">
      <c r="D29" s="3312"/>
      <c r="E29" s="2956" t="s">
        <v>3077</v>
      </c>
      <c r="F29" s="3314">
        <f>SUM(G13:G28)</f>
        <v>26688.410000000003</v>
      </c>
      <c r="G29" s="3315"/>
      <c r="H29" s="3316"/>
      <c r="I29" s="3309"/>
      <c r="J29" s="3309"/>
      <c r="K29" s="3320"/>
      <c r="L29" s="3321"/>
      <c r="M29" s="3322"/>
      <c r="N29" s="2949"/>
      <c r="O29" s="2949"/>
    </row>
  </sheetData>
  <mergeCells count="5">
    <mergeCell ref="I12:I29"/>
    <mergeCell ref="D12:D29"/>
    <mergeCell ref="J28:J29"/>
    <mergeCell ref="F29:H29"/>
    <mergeCell ref="K28:M29"/>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61" workbookViewId="0">
      <selection activeCell="I116" sqref="I116"/>
    </sheetView>
  </sheetViews>
  <sheetFormatPr defaultRowHeight="15.75"/>
  <cols>
    <col min="1" max="1" width="25.75" style="2958" bestFit="1" customWidth="1"/>
    <col min="2" max="2" width="6.375" style="2958" bestFit="1" customWidth="1"/>
    <col min="3" max="4" width="8" style="2958" bestFit="1" customWidth="1"/>
    <col min="5" max="6" width="14.625" style="2958" bestFit="1" customWidth="1"/>
    <col min="7" max="7" width="27.25" style="2958" bestFit="1" customWidth="1"/>
    <col min="8" max="8" width="9.5" style="2958" bestFit="1" customWidth="1"/>
    <col min="9" max="9" width="38.375" style="2958" bestFit="1" customWidth="1"/>
    <col min="10" max="10" width="11" style="2958" bestFit="1" customWidth="1"/>
    <col min="11" max="11" width="17.25" style="2958" bestFit="1" customWidth="1"/>
    <col min="12" max="12" width="15.375" style="2958" bestFit="1" customWidth="1"/>
    <col min="13" max="13" width="6.375" style="2958" bestFit="1" customWidth="1"/>
    <col min="14" max="14" width="8" style="2958" bestFit="1" customWidth="1"/>
    <col min="15" max="16384" width="9" style="2958"/>
  </cols>
  <sheetData>
    <row r="1" spans="1:15">
      <c r="A1" s="2962" t="s">
        <v>3082</v>
      </c>
      <c r="B1" s="2962" t="s">
        <v>3083</v>
      </c>
      <c r="C1" s="2962" t="s">
        <v>3084</v>
      </c>
      <c r="D1" s="2962" t="s">
        <v>3085</v>
      </c>
      <c r="E1" s="2962" t="s">
        <v>3086</v>
      </c>
      <c r="F1" s="2962" t="s">
        <v>3087</v>
      </c>
      <c r="G1" s="2962" t="s">
        <v>3088</v>
      </c>
      <c r="H1" s="2962" t="s">
        <v>3089</v>
      </c>
      <c r="I1" s="2962" t="s">
        <v>3090</v>
      </c>
      <c r="J1" s="2962" t="s">
        <v>3091</v>
      </c>
      <c r="K1" s="2962" t="s">
        <v>3092</v>
      </c>
      <c r="L1" s="2962" t="s">
        <v>3093</v>
      </c>
      <c r="M1" s="2962" t="s">
        <v>3094</v>
      </c>
      <c r="N1" s="2962" t="s">
        <v>3095</v>
      </c>
    </row>
    <row r="2" spans="1:15">
      <c r="A2" s="2959" t="s">
        <v>3096</v>
      </c>
      <c r="B2" s="2962" t="s">
        <v>3097</v>
      </c>
      <c r="C2" s="2962" t="s">
        <v>3098</v>
      </c>
      <c r="D2" s="2962" t="s">
        <v>3099</v>
      </c>
      <c r="E2" s="2962">
        <v>5515.3</v>
      </c>
      <c r="F2" s="2962">
        <v>6618.36</v>
      </c>
      <c r="G2" s="2962" t="s">
        <v>3100</v>
      </c>
      <c r="H2" s="2962" t="s">
        <v>3101</v>
      </c>
      <c r="I2" s="2962" t="s">
        <v>3102</v>
      </c>
      <c r="J2" s="2962">
        <v>114</v>
      </c>
      <c r="K2" s="2962">
        <v>13.78</v>
      </c>
      <c r="L2" s="2962">
        <v>172.25</v>
      </c>
      <c r="M2" s="2962">
        <v>0</v>
      </c>
      <c r="N2" s="2962" t="s">
        <v>3103</v>
      </c>
    </row>
    <row r="3" spans="1:15">
      <c r="A3" s="2959" t="s">
        <v>3104</v>
      </c>
      <c r="B3" s="2962" t="s">
        <v>3097</v>
      </c>
      <c r="C3" s="2962" t="s">
        <v>3098</v>
      </c>
      <c r="D3" s="2962" t="s">
        <v>3099</v>
      </c>
      <c r="E3" s="2962">
        <v>18095.669999999998</v>
      </c>
      <c r="F3" s="2962">
        <v>21714.799999999999</v>
      </c>
      <c r="G3" s="2962" t="s">
        <v>3100</v>
      </c>
      <c r="H3" s="2962" t="s">
        <v>3105</v>
      </c>
      <c r="I3" s="2962" t="s">
        <v>3106</v>
      </c>
      <c r="J3" s="2962">
        <v>378</v>
      </c>
      <c r="K3" s="2962">
        <v>13.93</v>
      </c>
      <c r="L3" s="2962">
        <v>174.06</v>
      </c>
      <c r="M3" s="2962">
        <v>0</v>
      </c>
      <c r="N3" s="2962" t="s">
        <v>3103</v>
      </c>
    </row>
    <row r="4" spans="1:15">
      <c r="A4" s="2960" t="s">
        <v>3107</v>
      </c>
      <c r="B4" s="2963" t="s">
        <v>3097</v>
      </c>
      <c r="C4" s="2963" t="s">
        <v>3098</v>
      </c>
      <c r="D4" s="2963" t="s">
        <v>3099</v>
      </c>
      <c r="E4" s="2963">
        <v>6678</v>
      </c>
      <c r="F4" s="2963">
        <v>13356</v>
      </c>
      <c r="G4" s="2963" t="s">
        <v>3108</v>
      </c>
      <c r="H4" s="2963" t="s">
        <v>3105</v>
      </c>
      <c r="I4" s="2963" t="s">
        <v>3109</v>
      </c>
      <c r="J4" s="2963">
        <v>144</v>
      </c>
      <c r="K4" s="2963">
        <v>14.38</v>
      </c>
      <c r="L4" s="2963">
        <v>107.81</v>
      </c>
      <c r="M4" s="2963">
        <v>0</v>
      </c>
      <c r="N4" s="2963" t="s">
        <v>3103</v>
      </c>
    </row>
    <row r="5" spans="1:15">
      <c r="A5" s="2959" t="s">
        <v>3110</v>
      </c>
      <c r="B5" s="2962" t="s">
        <v>3097</v>
      </c>
      <c r="C5" s="2962" t="s">
        <v>3098</v>
      </c>
      <c r="D5" s="2962" t="s">
        <v>3099</v>
      </c>
      <c r="E5" s="2962">
        <v>7051.17</v>
      </c>
      <c r="F5" s="2962">
        <v>14102.34</v>
      </c>
      <c r="G5" s="2962" t="s">
        <v>3111</v>
      </c>
      <c r="H5" s="2962" t="s">
        <v>3112</v>
      </c>
      <c r="I5" s="2962" t="s">
        <v>3113</v>
      </c>
      <c r="J5" s="2962">
        <v>149</v>
      </c>
      <c r="K5" s="2962">
        <v>14.09</v>
      </c>
      <c r="L5" s="2962">
        <v>105.65</v>
      </c>
      <c r="M5" s="2962">
        <v>0</v>
      </c>
      <c r="N5" s="2962" t="s">
        <v>3103</v>
      </c>
    </row>
    <row r="6" spans="1:15">
      <c r="A6" s="2962" t="s">
        <v>3114</v>
      </c>
      <c r="B6" s="2962" t="s">
        <v>3097</v>
      </c>
      <c r="C6" s="2962" t="s">
        <v>3098</v>
      </c>
      <c r="D6" s="2962" t="s">
        <v>3099</v>
      </c>
      <c r="E6" s="2962">
        <v>5968.17</v>
      </c>
      <c r="F6" s="2962">
        <v>11936.34</v>
      </c>
      <c r="G6" s="2962" t="s">
        <v>3111</v>
      </c>
      <c r="H6" s="2962" t="s">
        <v>3112</v>
      </c>
      <c r="I6" s="2962" t="s">
        <v>3115</v>
      </c>
      <c r="J6" s="2962">
        <v>126</v>
      </c>
      <c r="K6" s="2962">
        <v>14.07</v>
      </c>
      <c r="L6" s="2962">
        <v>105.56</v>
      </c>
      <c r="M6" s="2962">
        <v>0</v>
      </c>
      <c r="N6" s="2962" t="s">
        <v>3103</v>
      </c>
    </row>
    <row r="7" spans="1:15">
      <c r="A7" s="2959" t="s">
        <v>3116</v>
      </c>
      <c r="B7" s="2962" t="s">
        <v>3097</v>
      </c>
      <c r="C7" s="2962" t="s">
        <v>3098</v>
      </c>
      <c r="D7" s="2962" t="s">
        <v>3099</v>
      </c>
      <c r="E7" s="2962">
        <v>25215.77</v>
      </c>
      <c r="F7" s="2962">
        <v>30258.92</v>
      </c>
      <c r="G7" s="2962" t="s">
        <v>3100</v>
      </c>
      <c r="H7" s="2962" t="s">
        <v>3112</v>
      </c>
      <c r="I7" s="2962" t="s">
        <v>3117</v>
      </c>
      <c r="J7" s="2962">
        <v>532</v>
      </c>
      <c r="K7" s="2962">
        <v>14.07</v>
      </c>
      <c r="L7" s="2962">
        <v>175.81</v>
      </c>
      <c r="M7" s="2962">
        <v>0</v>
      </c>
      <c r="N7" s="2962" t="s">
        <v>3103</v>
      </c>
    </row>
    <row r="8" spans="1:15">
      <c r="A8" s="2960" t="s">
        <v>3118</v>
      </c>
      <c r="B8" s="2963" t="s">
        <v>3097</v>
      </c>
      <c r="C8" s="2963" t="s">
        <v>3098</v>
      </c>
      <c r="D8" s="2963" t="s">
        <v>3099</v>
      </c>
      <c r="E8" s="2963">
        <v>25018.81</v>
      </c>
      <c r="F8" s="2963">
        <v>30022.57</v>
      </c>
      <c r="G8" s="2963" t="s">
        <v>3100</v>
      </c>
      <c r="H8" s="2963" t="s">
        <v>3119</v>
      </c>
      <c r="I8" s="2963" t="s">
        <v>3120</v>
      </c>
      <c r="J8" s="2963">
        <v>528</v>
      </c>
      <c r="K8" s="2963">
        <v>14.07</v>
      </c>
      <c r="L8" s="2963">
        <v>175.87</v>
      </c>
      <c r="M8" s="2963">
        <v>0</v>
      </c>
      <c r="N8" s="2963" t="s">
        <v>3103</v>
      </c>
    </row>
    <row r="9" spans="1:15">
      <c r="A9" s="2959" t="s">
        <v>3121</v>
      </c>
      <c r="B9" s="2962" t="s">
        <v>3097</v>
      </c>
      <c r="C9" s="2962" t="s">
        <v>3098</v>
      </c>
      <c r="D9" s="2962" t="s">
        <v>3099</v>
      </c>
      <c r="E9" s="2962">
        <v>6000</v>
      </c>
      <c r="F9" s="2962">
        <v>12000</v>
      </c>
      <c r="G9" s="2962" t="s">
        <v>3108</v>
      </c>
      <c r="H9" s="2962" t="s">
        <v>3119</v>
      </c>
      <c r="I9" s="2962" t="s">
        <v>3122</v>
      </c>
      <c r="J9" s="2962">
        <v>127</v>
      </c>
      <c r="K9" s="2962">
        <v>14.11</v>
      </c>
      <c r="L9" s="2962">
        <v>105.82</v>
      </c>
      <c r="M9" s="2962">
        <v>0</v>
      </c>
      <c r="N9" s="2962" t="s">
        <v>3103</v>
      </c>
    </row>
    <row r="10" spans="1:15">
      <c r="A10" s="2961" t="s">
        <v>3123</v>
      </c>
      <c r="B10" s="2964" t="s">
        <v>3097</v>
      </c>
      <c r="C10" s="2964" t="s">
        <v>3098</v>
      </c>
      <c r="D10" s="2964" t="s">
        <v>3099</v>
      </c>
      <c r="E10" s="2964">
        <v>12889.79</v>
      </c>
      <c r="F10" s="2964">
        <v>25779.58</v>
      </c>
      <c r="G10" s="2964" t="s">
        <v>3108</v>
      </c>
      <c r="H10" s="2965">
        <v>43521</v>
      </c>
      <c r="I10" s="2961" t="s">
        <v>3124</v>
      </c>
      <c r="J10" s="2964">
        <v>277</v>
      </c>
      <c r="K10" s="2964">
        <v>14.33</v>
      </c>
      <c r="L10" s="2964">
        <v>107.45</v>
      </c>
      <c r="M10" s="2964">
        <v>0</v>
      </c>
      <c r="N10" s="2964" t="s">
        <v>3103</v>
      </c>
      <c r="O10" s="2958">
        <f>ROUNDDOWN(K10/666.67*10000,0)</f>
        <v>214</v>
      </c>
    </row>
    <row r="11" spans="1:15">
      <c r="A11" s="2959" t="s">
        <v>3125</v>
      </c>
      <c r="B11" s="2962" t="s">
        <v>3097</v>
      </c>
      <c r="C11" s="2962" t="s">
        <v>3098</v>
      </c>
      <c r="D11" s="2962" t="s">
        <v>3099</v>
      </c>
      <c r="E11" s="2962">
        <v>6000.02</v>
      </c>
      <c r="F11" s="2962">
        <v>12000.04</v>
      </c>
      <c r="G11" s="2962" t="s">
        <v>3108</v>
      </c>
      <c r="H11" s="2962" t="s">
        <v>3126</v>
      </c>
      <c r="I11" s="2962" t="s">
        <v>3127</v>
      </c>
      <c r="J11" s="2962">
        <v>128</v>
      </c>
      <c r="K11" s="2962">
        <v>14.22</v>
      </c>
      <c r="L11" s="2962">
        <v>106.67</v>
      </c>
      <c r="M11" s="2962">
        <v>0</v>
      </c>
      <c r="N11" s="2962" t="s">
        <v>3103</v>
      </c>
    </row>
    <row r="12" spans="1:15">
      <c r="A12" s="2962" t="s">
        <v>3128</v>
      </c>
      <c r="B12" s="2962" t="s">
        <v>3097</v>
      </c>
      <c r="C12" s="2962" t="s">
        <v>3098</v>
      </c>
      <c r="D12" s="2962" t="s">
        <v>3099</v>
      </c>
      <c r="E12" s="2962">
        <v>11589.59</v>
      </c>
      <c r="F12" s="2962">
        <v>13907.51</v>
      </c>
      <c r="G12" s="2962" t="s">
        <v>3129</v>
      </c>
      <c r="H12" s="2962" t="s">
        <v>3130</v>
      </c>
      <c r="I12" s="2962" t="s">
        <v>3131</v>
      </c>
      <c r="J12" s="2962">
        <v>249</v>
      </c>
      <c r="K12" s="2962">
        <v>14.32</v>
      </c>
      <c r="L12" s="2962">
        <v>179.03</v>
      </c>
      <c r="M12" s="2962">
        <v>0</v>
      </c>
      <c r="N12" s="2962" t="s">
        <v>3103</v>
      </c>
    </row>
    <row r="13" spans="1:15">
      <c r="A13" s="2962" t="s">
        <v>3132</v>
      </c>
      <c r="B13" s="2962" t="s">
        <v>3097</v>
      </c>
      <c r="C13" s="2962" t="s">
        <v>3098</v>
      </c>
      <c r="D13" s="2962" t="s">
        <v>3099</v>
      </c>
      <c r="E13" s="2962">
        <v>11849.87</v>
      </c>
      <c r="F13" s="2962">
        <v>23699.74</v>
      </c>
      <c r="G13" s="2962" t="s">
        <v>3111</v>
      </c>
      <c r="H13" s="2962" t="s">
        <v>3130</v>
      </c>
      <c r="I13" s="2962" t="s">
        <v>3133</v>
      </c>
      <c r="J13" s="2962">
        <v>255</v>
      </c>
      <c r="K13" s="2962">
        <v>14.35</v>
      </c>
      <c r="L13" s="2962">
        <v>107.59</v>
      </c>
      <c r="M13" s="2962">
        <v>0</v>
      </c>
      <c r="N13" s="2962" t="s">
        <v>3103</v>
      </c>
    </row>
    <row r="14" spans="1:15">
      <c r="A14" s="2959" t="s">
        <v>3134</v>
      </c>
      <c r="B14" s="2962" t="s">
        <v>3097</v>
      </c>
      <c r="C14" s="2962" t="s">
        <v>3098</v>
      </c>
      <c r="D14" s="2962" t="s">
        <v>3099</v>
      </c>
      <c r="E14" s="2962">
        <v>17857.43</v>
      </c>
      <c r="F14" s="2962">
        <v>35714.86</v>
      </c>
      <c r="G14" s="2962" t="s">
        <v>3108</v>
      </c>
      <c r="H14" s="2962" t="s">
        <v>3130</v>
      </c>
      <c r="I14" s="2962" t="s">
        <v>3135</v>
      </c>
      <c r="J14" s="2962">
        <v>314</v>
      </c>
      <c r="K14" s="2962">
        <v>11.72</v>
      </c>
      <c r="L14" s="2962">
        <v>87.92</v>
      </c>
      <c r="M14" s="2962">
        <v>0</v>
      </c>
      <c r="N14" s="2962" t="s">
        <v>3103</v>
      </c>
    </row>
    <row r="15" spans="1:15">
      <c r="A15" s="2962" t="s">
        <v>3136</v>
      </c>
      <c r="B15" s="2962" t="s">
        <v>3097</v>
      </c>
      <c r="C15" s="2962" t="s">
        <v>3098</v>
      </c>
      <c r="D15" s="2962" t="s">
        <v>3099</v>
      </c>
      <c r="E15" s="2962">
        <v>21333.41</v>
      </c>
      <c r="F15" s="2962">
        <v>25600.09</v>
      </c>
      <c r="G15" s="2962" t="s">
        <v>3100</v>
      </c>
      <c r="H15" s="2962" t="s">
        <v>3130</v>
      </c>
      <c r="I15" s="2962" t="s">
        <v>3137</v>
      </c>
      <c r="J15" s="2962">
        <v>448</v>
      </c>
      <c r="K15" s="2962">
        <v>14</v>
      </c>
      <c r="L15" s="2962">
        <v>175</v>
      </c>
      <c r="M15" s="2962">
        <v>0</v>
      </c>
      <c r="N15" s="2962" t="s">
        <v>3103</v>
      </c>
    </row>
    <row r="16" spans="1:15">
      <c r="A16" s="2962" t="s">
        <v>3136</v>
      </c>
      <c r="B16" s="2962" t="s">
        <v>3097</v>
      </c>
      <c r="C16" s="2962" t="s">
        <v>3098</v>
      </c>
      <c r="D16" s="2962" t="s">
        <v>3099</v>
      </c>
      <c r="E16" s="2962">
        <v>7763.36</v>
      </c>
      <c r="F16" s="2962">
        <v>15526.72</v>
      </c>
      <c r="G16" s="2962" t="s">
        <v>3111</v>
      </c>
      <c r="H16" s="2962" t="s">
        <v>3130</v>
      </c>
      <c r="I16" s="2962" t="s">
        <v>3138</v>
      </c>
      <c r="J16" s="2962">
        <v>163</v>
      </c>
      <c r="K16" s="2962">
        <v>14</v>
      </c>
      <c r="L16" s="2962">
        <v>104.98</v>
      </c>
      <c r="M16" s="2962">
        <v>0</v>
      </c>
      <c r="N16" s="2962" t="s">
        <v>3103</v>
      </c>
    </row>
    <row r="17" spans="1:15">
      <c r="A17" s="2959" t="s">
        <v>3139</v>
      </c>
      <c r="B17" s="2962" t="s">
        <v>3097</v>
      </c>
      <c r="C17" s="2962" t="s">
        <v>3098</v>
      </c>
      <c r="D17" s="2962" t="s">
        <v>3099</v>
      </c>
      <c r="E17" s="2962">
        <v>33333.42</v>
      </c>
      <c r="F17" s="2962">
        <v>66666.84</v>
      </c>
      <c r="G17" s="2962" t="s">
        <v>3108</v>
      </c>
      <c r="H17" s="2962" t="s">
        <v>3140</v>
      </c>
      <c r="I17" s="2962" t="s">
        <v>3141</v>
      </c>
      <c r="J17" s="2962">
        <v>710</v>
      </c>
      <c r="K17" s="2962">
        <v>14.2</v>
      </c>
      <c r="L17" s="2962">
        <v>106.5</v>
      </c>
      <c r="M17" s="2962">
        <v>0</v>
      </c>
      <c r="N17" s="2962" t="s">
        <v>3103</v>
      </c>
    </row>
    <row r="18" spans="1:15">
      <c r="A18" s="2959" t="s">
        <v>3142</v>
      </c>
      <c r="B18" s="2962" t="s">
        <v>3097</v>
      </c>
      <c r="C18" s="2962" t="s">
        <v>3098</v>
      </c>
      <c r="D18" s="2962" t="s">
        <v>3099</v>
      </c>
      <c r="E18" s="2962">
        <v>38439.54</v>
      </c>
      <c r="F18" s="2962">
        <v>61503.26</v>
      </c>
      <c r="G18" s="2962" t="s">
        <v>3143</v>
      </c>
      <c r="H18" s="2962" t="s">
        <v>3140</v>
      </c>
      <c r="I18" s="2962" t="s">
        <v>3144</v>
      </c>
      <c r="J18" s="2962">
        <v>819</v>
      </c>
      <c r="K18" s="2962">
        <v>14.2</v>
      </c>
      <c r="L18" s="2962">
        <v>133.15</v>
      </c>
      <c r="M18" s="2962">
        <v>0</v>
      </c>
      <c r="N18" s="2962" t="s">
        <v>3103</v>
      </c>
    </row>
    <row r="19" spans="1:15">
      <c r="A19" s="2962" t="s">
        <v>3145</v>
      </c>
      <c r="B19" s="2962" t="s">
        <v>3097</v>
      </c>
      <c r="C19" s="2962" t="s">
        <v>3098</v>
      </c>
      <c r="D19" s="2962" t="s">
        <v>3099</v>
      </c>
      <c r="E19" s="2962">
        <v>87141.53</v>
      </c>
      <c r="F19" s="2962">
        <v>174283.06</v>
      </c>
      <c r="G19" s="2962" t="s">
        <v>3108</v>
      </c>
      <c r="H19" s="2962" t="s">
        <v>3140</v>
      </c>
      <c r="I19" s="2962" t="s">
        <v>3141</v>
      </c>
      <c r="J19" s="2962">
        <v>1856</v>
      </c>
      <c r="K19" s="2962">
        <v>14.2</v>
      </c>
      <c r="L19" s="2962">
        <v>106.48</v>
      </c>
      <c r="M19" s="2962">
        <v>0</v>
      </c>
      <c r="N19" s="2962" t="s">
        <v>3103</v>
      </c>
    </row>
    <row r="20" spans="1:15">
      <c r="A20" s="2962" t="s">
        <v>3146</v>
      </c>
      <c r="B20" s="2962" t="s">
        <v>3097</v>
      </c>
      <c r="C20" s="2962" t="s">
        <v>3098</v>
      </c>
      <c r="D20" s="2962" t="s">
        <v>3099</v>
      </c>
      <c r="E20" s="2962">
        <v>16464.55</v>
      </c>
      <c r="F20" s="2962">
        <v>19757.46</v>
      </c>
      <c r="G20" s="2962" t="s">
        <v>3129</v>
      </c>
      <c r="H20" s="2962" t="s">
        <v>3147</v>
      </c>
      <c r="I20" s="2962" t="s">
        <v>3148</v>
      </c>
      <c r="J20" s="2962">
        <v>349</v>
      </c>
      <c r="K20" s="2962">
        <v>14.13</v>
      </c>
      <c r="L20" s="2962">
        <v>176.63</v>
      </c>
      <c r="M20" s="2962">
        <v>0</v>
      </c>
      <c r="N20" s="2962" t="s">
        <v>3103</v>
      </c>
    </row>
    <row r="21" spans="1:15">
      <c r="A21" s="2962" t="s">
        <v>3149</v>
      </c>
      <c r="B21" s="2962" t="s">
        <v>3097</v>
      </c>
      <c r="C21" s="2962" t="s">
        <v>3098</v>
      </c>
      <c r="D21" s="2962" t="s">
        <v>3099</v>
      </c>
      <c r="E21" s="2962">
        <v>8095.42</v>
      </c>
      <c r="F21" s="2962">
        <v>16190.84</v>
      </c>
      <c r="G21" s="2962" t="s">
        <v>3111</v>
      </c>
      <c r="H21" s="2962" t="s">
        <v>3147</v>
      </c>
      <c r="I21" s="2962" t="s">
        <v>3150</v>
      </c>
      <c r="J21" s="2962">
        <v>171</v>
      </c>
      <c r="K21" s="2962">
        <v>14.08</v>
      </c>
      <c r="L21" s="2962">
        <v>105.62</v>
      </c>
      <c r="M21" s="2962">
        <v>0</v>
      </c>
      <c r="N21" s="2962" t="s">
        <v>3103</v>
      </c>
    </row>
    <row r="22" spans="1:15">
      <c r="A22" s="2962" t="s">
        <v>3151</v>
      </c>
      <c r="B22" s="2962" t="s">
        <v>3097</v>
      </c>
      <c r="C22" s="2962" t="s">
        <v>3098</v>
      </c>
      <c r="D22" s="2962" t="s">
        <v>3099</v>
      </c>
      <c r="E22" s="2962">
        <v>13313.33</v>
      </c>
      <c r="F22" s="2962">
        <v>15976</v>
      </c>
      <c r="G22" s="2962" t="s">
        <v>3100</v>
      </c>
      <c r="H22" s="2962" t="s">
        <v>3147</v>
      </c>
      <c r="I22" s="2962" t="s">
        <v>3152</v>
      </c>
      <c r="J22" s="2962">
        <v>224</v>
      </c>
      <c r="K22" s="2962">
        <v>11.22</v>
      </c>
      <c r="L22" s="2962">
        <v>140.21</v>
      </c>
      <c r="M22" s="2962">
        <v>0</v>
      </c>
      <c r="N22" s="2962" t="s">
        <v>3103</v>
      </c>
    </row>
    <row r="23" spans="1:15">
      <c r="A23" s="2962" t="s">
        <v>3153</v>
      </c>
      <c r="B23" s="2962" t="s">
        <v>3097</v>
      </c>
      <c r="C23" s="2962" t="s">
        <v>3098</v>
      </c>
      <c r="D23" s="2962" t="s">
        <v>3099</v>
      </c>
      <c r="E23" s="2962">
        <v>9242.64</v>
      </c>
      <c r="F23" s="2962">
        <v>11091.17</v>
      </c>
      <c r="G23" s="2962" t="s">
        <v>3100</v>
      </c>
      <c r="H23" s="2962" t="s">
        <v>3154</v>
      </c>
      <c r="I23" s="2962" t="s">
        <v>3155</v>
      </c>
      <c r="J23" s="2962">
        <v>195</v>
      </c>
      <c r="K23" s="2962">
        <v>14.07</v>
      </c>
      <c r="L23" s="2962">
        <v>175.81</v>
      </c>
      <c r="M23" s="2962">
        <v>0</v>
      </c>
      <c r="N23" s="2962" t="s">
        <v>3103</v>
      </c>
    </row>
    <row r="24" spans="1:15">
      <c r="A24" s="2962" t="s">
        <v>3149</v>
      </c>
      <c r="B24" s="2962" t="s">
        <v>3097</v>
      </c>
      <c r="C24" s="2962" t="s">
        <v>3098</v>
      </c>
      <c r="D24" s="2962" t="s">
        <v>3099</v>
      </c>
      <c r="E24" s="2962">
        <v>58497.599999999999</v>
      </c>
      <c r="F24" s="2962">
        <v>116995.2</v>
      </c>
      <c r="G24" s="2962" t="s">
        <v>3111</v>
      </c>
      <c r="H24" s="2962" t="s">
        <v>3156</v>
      </c>
      <c r="I24" s="2962" t="s">
        <v>3157</v>
      </c>
      <c r="J24" s="2962">
        <v>1234</v>
      </c>
      <c r="K24" s="2962">
        <v>14.06</v>
      </c>
      <c r="L24" s="2962">
        <v>105.46</v>
      </c>
      <c r="M24" s="2962">
        <v>0</v>
      </c>
      <c r="N24" s="2962" t="s">
        <v>3103</v>
      </c>
    </row>
    <row r="25" spans="1:15">
      <c r="A25" s="2962" t="s">
        <v>3158</v>
      </c>
      <c r="B25" s="2962" t="s">
        <v>3097</v>
      </c>
      <c r="C25" s="2962" t="s">
        <v>3098</v>
      </c>
      <c r="D25" s="2962" t="s">
        <v>3099</v>
      </c>
      <c r="E25" s="2962">
        <v>26669.97</v>
      </c>
      <c r="F25" s="2962">
        <v>53339.94</v>
      </c>
      <c r="G25" s="2962" t="s">
        <v>3111</v>
      </c>
      <c r="H25" s="2962" t="s">
        <v>3156</v>
      </c>
      <c r="I25" s="2962" t="s">
        <v>3159</v>
      </c>
      <c r="J25" s="2962">
        <v>563</v>
      </c>
      <c r="K25" s="2962">
        <v>14.07</v>
      </c>
      <c r="L25" s="2962">
        <v>105.54</v>
      </c>
      <c r="M25" s="2962">
        <v>0</v>
      </c>
      <c r="N25" s="2962" t="s">
        <v>3103</v>
      </c>
    </row>
    <row r="26" spans="1:15">
      <c r="A26" s="2961" t="s">
        <v>3160</v>
      </c>
      <c r="B26" s="2964" t="s">
        <v>3097</v>
      </c>
      <c r="C26" s="2964" t="s">
        <v>3098</v>
      </c>
      <c r="D26" s="2964" t="s">
        <v>3099</v>
      </c>
      <c r="E26" s="2964">
        <v>27172.3</v>
      </c>
      <c r="F26" s="2964">
        <v>54344.6</v>
      </c>
      <c r="G26" s="2964" t="s">
        <v>3108</v>
      </c>
      <c r="H26" s="2965">
        <v>43418</v>
      </c>
      <c r="I26" s="2961" t="s">
        <v>3161</v>
      </c>
      <c r="J26" s="2964">
        <v>576</v>
      </c>
      <c r="K26" s="2964">
        <v>14.13</v>
      </c>
      <c r="L26" s="2964">
        <v>105.98</v>
      </c>
      <c r="M26" s="2964">
        <v>0</v>
      </c>
      <c r="N26" s="2964" t="s">
        <v>3103</v>
      </c>
      <c r="O26" s="2958">
        <f t="shared" ref="O26:O44" si="0">ROUNDDOWN(K26/666.67*10000,0)</f>
        <v>211</v>
      </c>
    </row>
    <row r="27" spans="1:15">
      <c r="A27" s="2962" t="s">
        <v>3162</v>
      </c>
      <c r="B27" s="2962" t="s">
        <v>3097</v>
      </c>
      <c r="C27" s="2962" t="s">
        <v>3098</v>
      </c>
      <c r="D27" s="2962" t="s">
        <v>3099</v>
      </c>
      <c r="E27" s="2962">
        <v>16341.68</v>
      </c>
      <c r="F27" s="2962">
        <v>19610.02</v>
      </c>
      <c r="G27" s="2962" t="s">
        <v>3100</v>
      </c>
      <c r="H27" s="2962" t="s">
        <v>3156</v>
      </c>
      <c r="I27" s="2962" t="s">
        <v>3163</v>
      </c>
      <c r="J27" s="2962">
        <v>345</v>
      </c>
      <c r="K27" s="2962">
        <v>14.07</v>
      </c>
      <c r="L27" s="2962">
        <v>175.93</v>
      </c>
      <c r="M27" s="2962">
        <v>0</v>
      </c>
      <c r="N27" s="2962" t="s">
        <v>3103</v>
      </c>
    </row>
    <row r="28" spans="1:15">
      <c r="A28" s="2962" t="s">
        <v>3164</v>
      </c>
      <c r="B28" s="2962" t="s">
        <v>3097</v>
      </c>
      <c r="C28" s="2962" t="s">
        <v>3098</v>
      </c>
      <c r="D28" s="2962" t="s">
        <v>3099</v>
      </c>
      <c r="E28" s="2962">
        <v>13332.89</v>
      </c>
      <c r="F28" s="2962">
        <v>26665.78</v>
      </c>
      <c r="G28" s="2962" t="s">
        <v>3165</v>
      </c>
      <c r="H28" s="2962" t="s">
        <v>3166</v>
      </c>
      <c r="I28" s="2962" t="s">
        <v>3167</v>
      </c>
      <c r="J28" s="2962">
        <v>281</v>
      </c>
      <c r="K28" s="2962">
        <v>14.05</v>
      </c>
      <c r="L28" s="2962">
        <v>105.37</v>
      </c>
      <c r="M28" s="2962">
        <v>0</v>
      </c>
      <c r="N28" s="2962" t="s">
        <v>3103</v>
      </c>
    </row>
    <row r="29" spans="1:15">
      <c r="A29" s="2962" t="s">
        <v>3168</v>
      </c>
      <c r="B29" s="2962" t="s">
        <v>3097</v>
      </c>
      <c r="C29" s="2962" t="s">
        <v>3098</v>
      </c>
      <c r="D29" s="2962" t="s">
        <v>3099</v>
      </c>
      <c r="E29" s="2962">
        <v>88668.22</v>
      </c>
      <c r="F29" s="2962">
        <v>177336.44</v>
      </c>
      <c r="G29" s="2962" t="s">
        <v>3111</v>
      </c>
      <c r="H29" s="2962" t="s">
        <v>3166</v>
      </c>
      <c r="I29" s="2962" t="s">
        <v>3169</v>
      </c>
      <c r="J29" s="2962">
        <v>1853</v>
      </c>
      <c r="K29" s="2962">
        <v>13.93</v>
      </c>
      <c r="L29" s="2962">
        <v>104.48</v>
      </c>
      <c r="M29" s="2962">
        <v>0</v>
      </c>
      <c r="N29" s="2962" t="s">
        <v>3103</v>
      </c>
    </row>
    <row r="30" spans="1:15">
      <c r="A30" s="2962" t="s">
        <v>3164</v>
      </c>
      <c r="B30" s="2962" t="s">
        <v>3097</v>
      </c>
      <c r="C30" s="2962" t="s">
        <v>3098</v>
      </c>
      <c r="D30" s="2962" t="s">
        <v>3099</v>
      </c>
      <c r="E30" s="2962">
        <v>13347.59</v>
      </c>
      <c r="F30" s="2962">
        <v>26695.18</v>
      </c>
      <c r="G30" s="2962" t="s">
        <v>3111</v>
      </c>
      <c r="H30" s="2962" t="s">
        <v>3166</v>
      </c>
      <c r="I30" s="2962" t="s">
        <v>3170</v>
      </c>
      <c r="J30" s="2962">
        <v>282</v>
      </c>
      <c r="K30" s="2962">
        <v>14.08</v>
      </c>
      <c r="L30" s="2962">
        <v>105.64</v>
      </c>
      <c r="M30" s="2962">
        <v>0</v>
      </c>
      <c r="N30" s="2962" t="s">
        <v>3103</v>
      </c>
    </row>
    <row r="31" spans="1:15">
      <c r="A31" s="2962" t="s">
        <v>3164</v>
      </c>
      <c r="B31" s="2962" t="s">
        <v>3097</v>
      </c>
      <c r="C31" s="2962" t="s">
        <v>3098</v>
      </c>
      <c r="D31" s="2962" t="s">
        <v>3099</v>
      </c>
      <c r="E31" s="2962">
        <v>8519.49</v>
      </c>
      <c r="F31" s="2962">
        <v>17038.98</v>
      </c>
      <c r="G31" s="2962" t="s">
        <v>3111</v>
      </c>
      <c r="H31" s="2962" t="s">
        <v>3166</v>
      </c>
      <c r="I31" s="2962" t="s">
        <v>3171</v>
      </c>
      <c r="J31" s="2962">
        <v>180</v>
      </c>
      <c r="K31" s="2962">
        <v>14.09</v>
      </c>
      <c r="L31" s="2962">
        <v>105.64</v>
      </c>
      <c r="M31" s="2962">
        <v>0</v>
      </c>
      <c r="N31" s="2962" t="s">
        <v>3103</v>
      </c>
    </row>
    <row r="32" spans="1:15">
      <c r="A32" s="2962" t="s">
        <v>3164</v>
      </c>
      <c r="B32" s="2962" t="s">
        <v>3097</v>
      </c>
      <c r="C32" s="2962" t="s">
        <v>3098</v>
      </c>
      <c r="D32" s="2962" t="s">
        <v>3099</v>
      </c>
      <c r="E32" s="2962">
        <v>10000</v>
      </c>
      <c r="F32" s="2962">
        <v>20000</v>
      </c>
      <c r="G32" s="2962" t="s">
        <v>3108</v>
      </c>
      <c r="H32" s="2962" t="s">
        <v>3166</v>
      </c>
      <c r="I32" s="2962" t="s">
        <v>3172</v>
      </c>
      <c r="J32" s="2962">
        <v>211</v>
      </c>
      <c r="K32" s="2962">
        <v>14.07</v>
      </c>
      <c r="L32" s="2962">
        <v>105.5</v>
      </c>
      <c r="M32" s="2962">
        <v>0</v>
      </c>
      <c r="N32" s="2962" t="s">
        <v>3103</v>
      </c>
    </row>
    <row r="33" spans="1:15">
      <c r="A33" s="2962" t="s">
        <v>3164</v>
      </c>
      <c r="B33" s="2962" t="s">
        <v>3097</v>
      </c>
      <c r="C33" s="2962" t="s">
        <v>3098</v>
      </c>
      <c r="D33" s="2962" t="s">
        <v>3099</v>
      </c>
      <c r="E33" s="2962">
        <v>13263.85</v>
      </c>
      <c r="F33" s="2962">
        <v>26527.7</v>
      </c>
      <c r="G33" s="2962" t="s">
        <v>3173</v>
      </c>
      <c r="H33" s="2962" t="s">
        <v>3166</v>
      </c>
      <c r="I33" s="2962" t="s">
        <v>3174</v>
      </c>
      <c r="J33" s="2962">
        <v>280</v>
      </c>
      <c r="K33" s="2962">
        <v>14.07</v>
      </c>
      <c r="L33" s="2962">
        <v>105.54</v>
      </c>
      <c r="M33" s="2962">
        <v>0</v>
      </c>
      <c r="N33" s="2962" t="s">
        <v>3103</v>
      </c>
    </row>
    <row r="34" spans="1:15">
      <c r="A34" s="2962" t="s">
        <v>3164</v>
      </c>
      <c r="B34" s="2962" t="s">
        <v>3097</v>
      </c>
      <c r="C34" s="2962" t="s">
        <v>3098</v>
      </c>
      <c r="D34" s="2962" t="s">
        <v>3099</v>
      </c>
      <c r="E34" s="2962">
        <v>6657.92</v>
      </c>
      <c r="F34" s="2962">
        <v>13315.84</v>
      </c>
      <c r="G34" s="2962" t="s">
        <v>3108</v>
      </c>
      <c r="H34" s="2962" t="s">
        <v>3166</v>
      </c>
      <c r="I34" s="2962" t="s">
        <v>3175</v>
      </c>
      <c r="J34" s="2962">
        <v>140</v>
      </c>
      <c r="K34" s="2962">
        <v>14.02</v>
      </c>
      <c r="L34" s="2962">
        <v>105.14</v>
      </c>
      <c r="M34" s="2962">
        <v>0</v>
      </c>
      <c r="N34" s="2962" t="s">
        <v>3103</v>
      </c>
    </row>
    <row r="35" spans="1:15">
      <c r="A35" s="2962" t="s">
        <v>3176</v>
      </c>
      <c r="B35" s="2962" t="s">
        <v>3097</v>
      </c>
      <c r="C35" s="2962" t="s">
        <v>3098</v>
      </c>
      <c r="D35" s="2962" t="s">
        <v>3099</v>
      </c>
      <c r="E35" s="2962">
        <v>20000</v>
      </c>
      <c r="F35" s="2962">
        <v>40000</v>
      </c>
      <c r="G35" s="2962" t="s">
        <v>3177</v>
      </c>
      <c r="H35" s="2962" t="s">
        <v>3178</v>
      </c>
      <c r="I35" s="2962" t="s">
        <v>3179</v>
      </c>
      <c r="J35" s="2962">
        <v>418</v>
      </c>
      <c r="K35" s="2962">
        <v>13.93</v>
      </c>
      <c r="L35" s="2962">
        <v>104.5</v>
      </c>
      <c r="M35" s="2962">
        <v>0</v>
      </c>
      <c r="N35" s="2962" t="s">
        <v>3103</v>
      </c>
    </row>
    <row r="36" spans="1:15">
      <c r="A36" s="2962" t="s">
        <v>3180</v>
      </c>
      <c r="B36" s="2962" t="s">
        <v>3097</v>
      </c>
      <c r="C36" s="2962" t="s">
        <v>3098</v>
      </c>
      <c r="D36" s="2962" t="s">
        <v>3099</v>
      </c>
      <c r="E36" s="2962">
        <v>2072.92</v>
      </c>
      <c r="F36" s="2962">
        <v>2487.5</v>
      </c>
      <c r="G36" s="2962" t="s">
        <v>3100</v>
      </c>
      <c r="H36" s="2962" t="s">
        <v>3178</v>
      </c>
      <c r="I36" s="2962" t="s">
        <v>3181</v>
      </c>
      <c r="J36" s="2962">
        <v>44</v>
      </c>
      <c r="K36" s="2962">
        <v>14.15</v>
      </c>
      <c r="L36" s="2962">
        <v>176.87</v>
      </c>
      <c r="M36" s="2962">
        <v>0</v>
      </c>
      <c r="N36" s="2962" t="s">
        <v>3103</v>
      </c>
    </row>
    <row r="37" spans="1:15">
      <c r="A37" s="2962" t="s">
        <v>3182</v>
      </c>
      <c r="B37" s="2962" t="s">
        <v>3097</v>
      </c>
      <c r="C37" s="2962" t="s">
        <v>3098</v>
      </c>
      <c r="D37" s="2962" t="s">
        <v>3099</v>
      </c>
      <c r="E37" s="2962">
        <v>30023.99</v>
      </c>
      <c r="F37" s="2962">
        <v>36028.79</v>
      </c>
      <c r="G37" s="2962" t="s">
        <v>3100</v>
      </c>
      <c r="H37" s="2962" t="s">
        <v>3178</v>
      </c>
      <c r="I37" s="2962" t="s">
        <v>3183</v>
      </c>
      <c r="J37" s="2962">
        <v>634</v>
      </c>
      <c r="K37" s="2962">
        <v>14.08</v>
      </c>
      <c r="L37" s="2962">
        <v>175.96</v>
      </c>
      <c r="M37" s="2962">
        <v>0</v>
      </c>
      <c r="N37" s="2962" t="s">
        <v>3103</v>
      </c>
    </row>
    <row r="38" spans="1:15">
      <c r="A38" s="2962" t="s">
        <v>3184</v>
      </c>
      <c r="B38" s="2962" t="s">
        <v>3097</v>
      </c>
      <c r="C38" s="2962" t="s">
        <v>3098</v>
      </c>
      <c r="D38" s="2962" t="s">
        <v>3099</v>
      </c>
      <c r="E38" s="2962">
        <v>10000</v>
      </c>
      <c r="F38" s="2962">
        <v>12000</v>
      </c>
      <c r="G38" s="2962" t="s">
        <v>3100</v>
      </c>
      <c r="H38" s="2962" t="s">
        <v>3178</v>
      </c>
      <c r="I38" s="2962" t="s">
        <v>3120</v>
      </c>
      <c r="J38" s="2962">
        <v>167</v>
      </c>
      <c r="K38" s="2962">
        <v>11.13</v>
      </c>
      <c r="L38" s="2962">
        <v>139.16</v>
      </c>
      <c r="M38" s="2962">
        <v>0</v>
      </c>
      <c r="N38" s="2962" t="s">
        <v>3103</v>
      </c>
    </row>
    <row r="39" spans="1:15">
      <c r="A39" s="2962" t="s">
        <v>3162</v>
      </c>
      <c r="B39" s="2962" t="s">
        <v>3097</v>
      </c>
      <c r="C39" s="2962" t="s">
        <v>3098</v>
      </c>
      <c r="D39" s="2962" t="s">
        <v>3099</v>
      </c>
      <c r="E39" s="2962">
        <v>27625.94</v>
      </c>
      <c r="F39" s="2962">
        <v>33151.129999999997</v>
      </c>
      <c r="G39" s="2962" t="s">
        <v>3100</v>
      </c>
      <c r="H39" s="2962" t="s">
        <v>3178</v>
      </c>
      <c r="I39" s="2962" t="s">
        <v>3185</v>
      </c>
      <c r="J39" s="2962">
        <v>583</v>
      </c>
      <c r="K39" s="2962">
        <v>14.07</v>
      </c>
      <c r="L39" s="2962">
        <v>175.86</v>
      </c>
      <c r="M39" s="2962">
        <v>0</v>
      </c>
      <c r="N39" s="2962" t="s">
        <v>3103</v>
      </c>
    </row>
    <row r="40" spans="1:15">
      <c r="A40" s="2962" t="s">
        <v>3182</v>
      </c>
      <c r="B40" s="2962" t="s">
        <v>3097</v>
      </c>
      <c r="C40" s="2962" t="s">
        <v>3098</v>
      </c>
      <c r="D40" s="2962" t="s">
        <v>3099</v>
      </c>
      <c r="E40" s="2962">
        <v>17853.98</v>
      </c>
      <c r="F40" s="2962">
        <v>21424.78</v>
      </c>
      <c r="G40" s="2962" t="s">
        <v>3100</v>
      </c>
      <c r="H40" s="2962" t="s">
        <v>3178</v>
      </c>
      <c r="I40" s="2962" t="s">
        <v>3186</v>
      </c>
      <c r="J40" s="2962">
        <v>377</v>
      </c>
      <c r="K40" s="2962">
        <v>14.08</v>
      </c>
      <c r="L40" s="2962">
        <v>175.96</v>
      </c>
      <c r="M40" s="2962">
        <v>0</v>
      </c>
      <c r="N40" s="2962" t="s">
        <v>3103</v>
      </c>
    </row>
    <row r="41" spans="1:15">
      <c r="A41" s="2962" t="s">
        <v>3176</v>
      </c>
      <c r="B41" s="2962" t="s">
        <v>3097</v>
      </c>
      <c r="C41" s="2962" t="s">
        <v>3098</v>
      </c>
      <c r="D41" s="2962" t="s">
        <v>3099</v>
      </c>
      <c r="E41" s="2962">
        <v>33333.29</v>
      </c>
      <c r="F41" s="2962">
        <v>66666.58</v>
      </c>
      <c r="G41" s="2962" t="s">
        <v>3111</v>
      </c>
      <c r="H41" s="2962" t="s">
        <v>3178</v>
      </c>
      <c r="I41" s="2962" t="s">
        <v>3187</v>
      </c>
      <c r="J41" s="2962">
        <v>697</v>
      </c>
      <c r="K41" s="2962">
        <v>13.94</v>
      </c>
      <c r="L41" s="2962">
        <v>104.54</v>
      </c>
      <c r="M41" s="2962">
        <v>0</v>
      </c>
      <c r="N41" s="2962" t="s">
        <v>3103</v>
      </c>
    </row>
    <row r="42" spans="1:15">
      <c r="A42" s="2962" t="s">
        <v>3146</v>
      </c>
      <c r="B42" s="2962" t="s">
        <v>3097</v>
      </c>
      <c r="C42" s="2962" t="s">
        <v>3098</v>
      </c>
      <c r="D42" s="2962" t="s">
        <v>3099</v>
      </c>
      <c r="E42" s="2962">
        <v>6569</v>
      </c>
      <c r="F42" s="2962">
        <v>13138</v>
      </c>
      <c r="G42" s="2962" t="s">
        <v>3108</v>
      </c>
      <c r="H42" s="2962" t="s">
        <v>3188</v>
      </c>
      <c r="I42" s="2962" t="s">
        <v>3189</v>
      </c>
      <c r="J42" s="2962">
        <v>116</v>
      </c>
      <c r="K42" s="2962">
        <v>11.77</v>
      </c>
      <c r="L42" s="2962">
        <v>88.29</v>
      </c>
      <c r="M42" s="2962">
        <v>0</v>
      </c>
      <c r="N42" s="2962" t="s">
        <v>3103</v>
      </c>
    </row>
    <row r="43" spans="1:15">
      <c r="A43" s="2962" t="s">
        <v>3146</v>
      </c>
      <c r="B43" s="2962" t="s">
        <v>3097</v>
      </c>
      <c r="C43" s="2962" t="s">
        <v>3098</v>
      </c>
      <c r="D43" s="2962" t="s">
        <v>3099</v>
      </c>
      <c r="E43" s="2962">
        <v>5409.27</v>
      </c>
      <c r="F43" s="2962">
        <v>10818.54</v>
      </c>
      <c r="G43" s="2962" t="s">
        <v>3111</v>
      </c>
      <c r="H43" s="2962" t="s">
        <v>3188</v>
      </c>
      <c r="I43" s="2962" t="s">
        <v>3190</v>
      </c>
      <c r="J43" s="2962">
        <v>95</v>
      </c>
      <c r="K43" s="2962">
        <v>11.71</v>
      </c>
      <c r="L43" s="2962">
        <v>87.81</v>
      </c>
      <c r="M43" s="2962">
        <v>0</v>
      </c>
      <c r="N43" s="2962" t="s">
        <v>3103</v>
      </c>
    </row>
    <row r="44" spans="1:15">
      <c r="A44" s="2961" t="s">
        <v>3191</v>
      </c>
      <c r="B44" s="2964" t="s">
        <v>3097</v>
      </c>
      <c r="C44" s="2964" t="s">
        <v>3098</v>
      </c>
      <c r="D44" s="2964" t="s">
        <v>3099</v>
      </c>
      <c r="E44" s="2964">
        <v>20384.7</v>
      </c>
      <c r="F44" s="2964">
        <v>40769.4</v>
      </c>
      <c r="G44" s="2964" t="s">
        <v>3111</v>
      </c>
      <c r="H44" s="2965">
        <v>43391</v>
      </c>
      <c r="I44" s="2964" t="s">
        <v>3192</v>
      </c>
      <c r="J44" s="2964">
        <v>432</v>
      </c>
      <c r="K44" s="2964">
        <v>14.13</v>
      </c>
      <c r="L44" s="2964">
        <v>105.95</v>
      </c>
      <c r="M44" s="2964">
        <v>0</v>
      </c>
      <c r="N44" s="2964" t="s">
        <v>3103</v>
      </c>
      <c r="O44" s="2958">
        <f t="shared" si="0"/>
        <v>211</v>
      </c>
    </row>
    <row r="45" spans="1:15">
      <c r="A45" s="2962" t="s">
        <v>3146</v>
      </c>
      <c r="B45" s="2962" t="s">
        <v>3097</v>
      </c>
      <c r="C45" s="2962" t="s">
        <v>3098</v>
      </c>
      <c r="D45" s="2962" t="s">
        <v>3099</v>
      </c>
      <c r="E45" s="2962">
        <v>5058.18</v>
      </c>
      <c r="F45" s="2962">
        <v>10116.36</v>
      </c>
      <c r="G45" s="2962" t="s">
        <v>3111</v>
      </c>
      <c r="H45" s="2962" t="s">
        <v>3188</v>
      </c>
      <c r="I45" s="2962" t="s">
        <v>3193</v>
      </c>
      <c r="J45" s="2962">
        <v>107</v>
      </c>
      <c r="K45" s="2962">
        <v>14.1</v>
      </c>
      <c r="L45" s="2962">
        <v>105.76</v>
      </c>
      <c r="M45" s="2962">
        <v>0</v>
      </c>
      <c r="N45" s="2962" t="s">
        <v>3103</v>
      </c>
    </row>
    <row r="46" spans="1:15">
      <c r="A46" s="2959" t="s">
        <v>3194</v>
      </c>
      <c r="B46" s="2962" t="s">
        <v>3097</v>
      </c>
      <c r="C46" s="2962" t="s">
        <v>3098</v>
      </c>
      <c r="D46" s="2962" t="s">
        <v>3099</v>
      </c>
      <c r="E46" s="2962">
        <v>16809.72</v>
      </c>
      <c r="F46" s="2962">
        <v>33619.440000000002</v>
      </c>
      <c r="G46" s="2962" t="s">
        <v>3111</v>
      </c>
      <c r="H46" s="2962" t="s">
        <v>3188</v>
      </c>
      <c r="I46" s="2962" t="s">
        <v>3195</v>
      </c>
      <c r="J46" s="2962">
        <v>356</v>
      </c>
      <c r="K46" s="2962">
        <v>14.12</v>
      </c>
      <c r="L46" s="2962">
        <v>105.89</v>
      </c>
      <c r="M46" s="2962">
        <v>0</v>
      </c>
      <c r="N46" s="2962" t="s">
        <v>3103</v>
      </c>
    </row>
    <row r="47" spans="1:15">
      <c r="A47" s="2962" t="s">
        <v>3146</v>
      </c>
      <c r="B47" s="2962" t="s">
        <v>3097</v>
      </c>
      <c r="C47" s="2962" t="s">
        <v>3098</v>
      </c>
      <c r="D47" s="2962" t="s">
        <v>3099</v>
      </c>
      <c r="E47" s="2962">
        <v>6005.4</v>
      </c>
      <c r="F47" s="2962">
        <v>12010.8</v>
      </c>
      <c r="G47" s="2962" t="s">
        <v>3108</v>
      </c>
      <c r="H47" s="2962" t="s">
        <v>3188</v>
      </c>
      <c r="I47" s="2962" t="s">
        <v>3196</v>
      </c>
      <c r="J47" s="2962">
        <v>127</v>
      </c>
      <c r="K47" s="2962">
        <v>14.1</v>
      </c>
      <c r="L47" s="2962">
        <v>105.73</v>
      </c>
      <c r="M47" s="2962">
        <v>0</v>
      </c>
      <c r="N47" s="2962" t="s">
        <v>3103</v>
      </c>
    </row>
    <row r="48" spans="1:15">
      <c r="A48" s="2962" t="s">
        <v>3146</v>
      </c>
      <c r="B48" s="2962" t="s">
        <v>3097</v>
      </c>
      <c r="C48" s="2962" t="s">
        <v>3098</v>
      </c>
      <c r="D48" s="2962" t="s">
        <v>3099</v>
      </c>
      <c r="E48" s="2962">
        <v>8158.38</v>
      </c>
      <c r="F48" s="2962">
        <v>16316.76</v>
      </c>
      <c r="G48" s="2962" t="s">
        <v>3108</v>
      </c>
      <c r="H48" s="2962" t="s">
        <v>3188</v>
      </c>
      <c r="I48" s="2962" t="s">
        <v>3197</v>
      </c>
      <c r="J48" s="2962">
        <v>173</v>
      </c>
      <c r="K48" s="2962">
        <v>14.14</v>
      </c>
      <c r="L48" s="2962">
        <v>106.03</v>
      </c>
      <c r="M48" s="2962">
        <v>0</v>
      </c>
      <c r="N48" s="2962" t="s">
        <v>3103</v>
      </c>
    </row>
    <row r="49" spans="1:14">
      <c r="A49" s="2962" t="s">
        <v>3198</v>
      </c>
      <c r="B49" s="2962" t="s">
        <v>3097</v>
      </c>
      <c r="C49" s="2962" t="s">
        <v>3098</v>
      </c>
      <c r="D49" s="2962" t="s">
        <v>3099</v>
      </c>
      <c r="E49" s="2962">
        <v>11127.26</v>
      </c>
      <c r="F49" s="2962">
        <v>27818.15</v>
      </c>
      <c r="G49" s="2962" t="s">
        <v>3199</v>
      </c>
      <c r="H49" s="2962" t="s">
        <v>3188</v>
      </c>
      <c r="I49" s="2962" t="s">
        <v>3200</v>
      </c>
      <c r="J49" s="2962">
        <v>236</v>
      </c>
      <c r="K49" s="2962">
        <v>14.14</v>
      </c>
      <c r="L49" s="2962">
        <v>84.84</v>
      </c>
      <c r="M49" s="2962">
        <v>0</v>
      </c>
      <c r="N49" s="2962" t="s">
        <v>3103</v>
      </c>
    </row>
    <row r="50" spans="1:14">
      <c r="A50" s="2962" t="s">
        <v>3201</v>
      </c>
      <c r="B50" s="2962" t="s">
        <v>3097</v>
      </c>
      <c r="C50" s="2962" t="s">
        <v>3098</v>
      </c>
      <c r="D50" s="2962" t="s">
        <v>3099</v>
      </c>
      <c r="E50" s="2962">
        <v>10054.57</v>
      </c>
      <c r="F50" s="2962">
        <v>20109.14</v>
      </c>
      <c r="G50" s="2962" t="s">
        <v>3177</v>
      </c>
      <c r="H50" s="2962" t="s">
        <v>3188</v>
      </c>
      <c r="I50" s="2962" t="s">
        <v>3202</v>
      </c>
      <c r="J50" s="2962">
        <v>213</v>
      </c>
      <c r="K50" s="2962">
        <v>14.12</v>
      </c>
      <c r="L50" s="2962">
        <v>105.92</v>
      </c>
      <c r="M50" s="2962">
        <v>0</v>
      </c>
      <c r="N50" s="2962" t="s">
        <v>3103</v>
      </c>
    </row>
    <row r="51" spans="1:14">
      <c r="A51" s="2962" t="s">
        <v>3203</v>
      </c>
      <c r="B51" s="2962" t="s">
        <v>3097</v>
      </c>
      <c r="C51" s="2962" t="s">
        <v>3098</v>
      </c>
      <c r="D51" s="2962" t="s">
        <v>3099</v>
      </c>
      <c r="E51" s="2962">
        <v>26666.71</v>
      </c>
      <c r="F51" s="2962">
        <v>32000.05</v>
      </c>
      <c r="G51" s="2962" t="s">
        <v>3100</v>
      </c>
      <c r="H51" s="2962" t="s">
        <v>3204</v>
      </c>
      <c r="I51" s="2962" t="s">
        <v>3205</v>
      </c>
      <c r="J51" s="2962">
        <v>448</v>
      </c>
      <c r="K51" s="2962">
        <v>11.2</v>
      </c>
      <c r="L51" s="2962">
        <v>140</v>
      </c>
      <c r="M51" s="2962">
        <v>0</v>
      </c>
      <c r="N51" s="2962" t="s">
        <v>3103</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
  <sheetViews>
    <sheetView workbookViewId="0">
      <selection activeCell="L42" sqref="L42"/>
    </sheetView>
  </sheetViews>
  <sheetFormatPr defaultRowHeight="13.5"/>
  <sheetData>
    <row r="22" spans="1:1">
      <c r="A22" s="2967" t="s">
        <v>3213</v>
      </c>
    </row>
  </sheetData>
  <phoneticPr fontId="143" type="noConversion"/>
  <hyperlinks>
    <hyperlink ref="A22" r:id="rId1"/>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7:L34"/>
  <sheetViews>
    <sheetView topLeftCell="C3" workbookViewId="0">
      <selection activeCell="N32" sqref="N32:N39"/>
    </sheetView>
  </sheetViews>
  <sheetFormatPr defaultRowHeight="13.5"/>
  <cols>
    <col min="9" max="9" width="15.625" customWidth="1"/>
  </cols>
  <sheetData>
    <row r="17" spans="4:12" ht="15.75">
      <c r="D17" s="3323" t="s">
        <v>3076</v>
      </c>
      <c r="E17" s="2954" t="s">
        <v>3071</v>
      </c>
      <c r="F17" s="2954" t="s">
        <v>3070</v>
      </c>
      <c r="G17" s="2954" t="s">
        <v>3062</v>
      </c>
      <c r="H17" s="2954" t="s">
        <v>3068</v>
      </c>
      <c r="I17" s="2975" t="s">
        <v>3250</v>
      </c>
      <c r="J17" s="2975" t="s">
        <v>3258</v>
      </c>
      <c r="K17" s="2977" t="s">
        <v>3259</v>
      </c>
      <c r="L17" s="2958"/>
    </row>
    <row r="18" spans="4:12" ht="15.75">
      <c r="D18" s="3323"/>
      <c r="E18" s="2954">
        <v>1</v>
      </c>
      <c r="F18" s="2954" t="s">
        <v>3060</v>
      </c>
      <c r="G18" s="2954">
        <v>2669.58</v>
      </c>
      <c r="H18" s="2954">
        <v>3</v>
      </c>
      <c r="I18" s="2977" t="s">
        <v>3253</v>
      </c>
      <c r="J18" s="2975">
        <v>2300</v>
      </c>
      <c r="K18" s="2977">
        <f>ROUND(J18*G18/10000,0)</f>
        <v>614</v>
      </c>
      <c r="L18" s="2958"/>
    </row>
    <row r="19" spans="4:12" ht="15.75">
      <c r="D19" s="3323"/>
      <c r="E19" s="2954">
        <v>2</v>
      </c>
      <c r="F19" s="2954" t="s">
        <v>3060</v>
      </c>
      <c r="G19" s="2954">
        <v>2795.24</v>
      </c>
      <c r="H19" s="2954">
        <v>4</v>
      </c>
      <c r="I19" s="2977" t="s">
        <v>3254</v>
      </c>
      <c r="J19" s="2975">
        <v>2300</v>
      </c>
      <c r="K19" s="2977">
        <f t="shared" ref="K19:K33" si="0">ROUND(J19*G19/10000,0)</f>
        <v>643</v>
      </c>
      <c r="L19" s="2958"/>
    </row>
    <row r="20" spans="4:12" ht="15.75">
      <c r="D20" s="3323"/>
      <c r="E20" s="2954">
        <v>3</v>
      </c>
      <c r="F20" s="2954" t="s">
        <v>3060</v>
      </c>
      <c r="G20" s="2954">
        <v>2896.66</v>
      </c>
      <c r="H20" s="2954">
        <v>3</v>
      </c>
      <c r="I20" s="2977" t="s">
        <v>3255</v>
      </c>
      <c r="J20" s="2975">
        <v>2300</v>
      </c>
      <c r="K20" s="2977">
        <f t="shared" si="0"/>
        <v>666</v>
      </c>
      <c r="L20" s="2958"/>
    </row>
    <row r="21" spans="4:12" ht="15.75">
      <c r="D21" s="3323"/>
      <c r="E21" s="2954">
        <v>4</v>
      </c>
      <c r="F21" s="2954" t="s">
        <v>3060</v>
      </c>
      <c r="G21" s="2954">
        <v>1819.54</v>
      </c>
      <c r="H21" s="2954">
        <v>2</v>
      </c>
      <c r="I21" s="2977" t="s">
        <v>3256</v>
      </c>
      <c r="J21" s="2975">
        <v>2300</v>
      </c>
      <c r="K21" s="2977">
        <f t="shared" si="0"/>
        <v>418</v>
      </c>
      <c r="L21" s="2958"/>
    </row>
    <row r="22" spans="4:12" ht="15.75">
      <c r="D22" s="3323"/>
      <c r="E22" s="2954">
        <v>5</v>
      </c>
      <c r="F22" s="2954" t="s">
        <v>3060</v>
      </c>
      <c r="G22" s="2954">
        <v>1741.44</v>
      </c>
      <c r="H22" s="2954">
        <v>1</v>
      </c>
      <c r="I22" s="2977" t="s">
        <v>3251</v>
      </c>
      <c r="J22" s="2975">
        <v>1800</v>
      </c>
      <c r="K22" s="2977">
        <f t="shared" si="0"/>
        <v>313</v>
      </c>
      <c r="L22" s="2958"/>
    </row>
    <row r="23" spans="4:12" ht="15.75">
      <c r="D23" s="3323"/>
      <c r="E23" s="2954">
        <v>6</v>
      </c>
      <c r="F23" s="2954" t="s">
        <v>3060</v>
      </c>
      <c r="G23" s="2954">
        <v>1694.87</v>
      </c>
      <c r="H23" s="2954">
        <v>3</v>
      </c>
      <c r="I23" s="2977" t="s">
        <v>3252</v>
      </c>
      <c r="J23" s="2975">
        <v>1800</v>
      </c>
      <c r="K23" s="2977">
        <f t="shared" si="0"/>
        <v>305</v>
      </c>
      <c r="L23" s="2958"/>
    </row>
    <row r="24" spans="4:12" ht="15.75">
      <c r="D24" s="3323"/>
      <c r="E24" s="2954">
        <v>7</v>
      </c>
      <c r="F24" s="2954" t="s">
        <v>3060</v>
      </c>
      <c r="G24" s="2954">
        <v>738.07</v>
      </c>
      <c r="H24" s="2954">
        <v>1</v>
      </c>
      <c r="I24" s="2977" t="s">
        <v>3251</v>
      </c>
      <c r="J24" s="2975">
        <v>1500</v>
      </c>
      <c r="K24" s="2977">
        <f t="shared" si="0"/>
        <v>111</v>
      </c>
      <c r="L24" s="2958"/>
    </row>
    <row r="25" spans="4:12" ht="15.75">
      <c r="D25" s="3323"/>
      <c r="E25" s="2954">
        <v>8</v>
      </c>
      <c r="F25" s="2954" t="s">
        <v>3060</v>
      </c>
      <c r="G25" s="2954">
        <v>507.46</v>
      </c>
      <c r="H25" s="2954">
        <v>1</v>
      </c>
      <c r="I25" s="2977" t="s">
        <v>3251</v>
      </c>
      <c r="J25" s="2975">
        <v>1500</v>
      </c>
      <c r="K25" s="2977">
        <f t="shared" si="0"/>
        <v>76</v>
      </c>
      <c r="L25" s="2958"/>
    </row>
    <row r="26" spans="4:12" ht="15.75">
      <c r="D26" s="3323"/>
      <c r="E26" s="2954">
        <v>9</v>
      </c>
      <c r="F26" s="2954" t="s">
        <v>3060</v>
      </c>
      <c r="G26" s="2954">
        <v>296.7</v>
      </c>
      <c r="H26" s="2954">
        <v>1</v>
      </c>
      <c r="I26" s="2977" t="s">
        <v>3257</v>
      </c>
      <c r="J26" s="2975">
        <v>1500</v>
      </c>
      <c r="K26" s="2977">
        <f t="shared" si="0"/>
        <v>45</v>
      </c>
      <c r="L26" s="2958"/>
    </row>
    <row r="27" spans="4:12" ht="15.75">
      <c r="D27" s="3323"/>
      <c r="E27" s="2954">
        <v>10</v>
      </c>
      <c r="F27" s="2954" t="s">
        <v>3060</v>
      </c>
      <c r="G27" s="2954">
        <v>1748.22</v>
      </c>
      <c r="H27" s="2954">
        <v>1</v>
      </c>
      <c r="I27" s="2977" t="s">
        <v>3251</v>
      </c>
      <c r="J27" s="2975">
        <v>1500</v>
      </c>
      <c r="K27" s="2977">
        <f t="shared" si="0"/>
        <v>262</v>
      </c>
      <c r="L27" s="2958"/>
    </row>
    <row r="28" spans="4:12" ht="15.75">
      <c r="D28" s="3323"/>
      <c r="E28" s="2954">
        <v>11</v>
      </c>
      <c r="F28" s="2954" t="s">
        <v>3060</v>
      </c>
      <c r="G28" s="2954">
        <v>1748.22</v>
      </c>
      <c r="H28" s="2954">
        <v>1</v>
      </c>
      <c r="I28" s="2977" t="s">
        <v>3251</v>
      </c>
      <c r="J28" s="2975">
        <v>1500</v>
      </c>
      <c r="K28" s="2977">
        <f t="shared" si="0"/>
        <v>262</v>
      </c>
      <c r="L28" s="2958"/>
    </row>
    <row r="29" spans="4:12" ht="15.75">
      <c r="D29" s="3323"/>
      <c r="E29" s="2954">
        <v>12</v>
      </c>
      <c r="F29" s="2954" t="s">
        <v>3060</v>
      </c>
      <c r="G29" s="2954">
        <v>601.5</v>
      </c>
      <c r="H29" s="2954">
        <v>1</v>
      </c>
      <c r="I29" s="2977" t="s">
        <v>3251</v>
      </c>
      <c r="J29" s="2975">
        <v>1500</v>
      </c>
      <c r="K29" s="2977">
        <f t="shared" si="0"/>
        <v>90</v>
      </c>
      <c r="L29" s="2958"/>
    </row>
    <row r="30" spans="4:12" ht="15.75">
      <c r="D30" s="3323"/>
      <c r="E30" s="2954">
        <v>13</v>
      </c>
      <c r="F30" s="2954" t="s">
        <v>3060</v>
      </c>
      <c r="G30" s="2954">
        <v>2893.89</v>
      </c>
      <c r="H30" s="2954">
        <v>3</v>
      </c>
      <c r="I30" s="2977" t="s">
        <v>3251</v>
      </c>
      <c r="J30" s="2975">
        <v>1500</v>
      </c>
      <c r="K30" s="2977">
        <f t="shared" si="0"/>
        <v>434</v>
      </c>
      <c r="L30" s="2958"/>
    </row>
    <row r="31" spans="4:12" ht="15.75">
      <c r="D31" s="3323"/>
      <c r="E31" s="2954">
        <v>14</v>
      </c>
      <c r="F31" s="2954" t="s">
        <v>3060</v>
      </c>
      <c r="G31" s="2954">
        <v>2403.94</v>
      </c>
      <c r="H31" s="2954">
        <v>3</v>
      </c>
      <c r="I31" s="2977" t="s">
        <v>3251</v>
      </c>
      <c r="J31" s="2975">
        <v>1500</v>
      </c>
      <c r="K31" s="2977">
        <f t="shared" si="0"/>
        <v>361</v>
      </c>
      <c r="L31" s="2958"/>
    </row>
    <row r="32" spans="4:12" ht="15.75">
      <c r="D32" s="3323"/>
      <c r="E32" s="2954">
        <v>15</v>
      </c>
      <c r="F32" s="2954" t="s">
        <v>3060</v>
      </c>
      <c r="G32" s="2954">
        <v>1748.22</v>
      </c>
      <c r="H32" s="2954">
        <v>1</v>
      </c>
      <c r="I32" s="2977" t="s">
        <v>3251</v>
      </c>
      <c r="J32" s="2975">
        <v>1500</v>
      </c>
      <c r="K32" s="2977">
        <f t="shared" si="0"/>
        <v>262</v>
      </c>
      <c r="L32" s="2958"/>
    </row>
    <row r="33" spans="4:12" ht="15.75">
      <c r="D33" s="3323"/>
      <c r="E33" s="2954">
        <v>16</v>
      </c>
      <c r="F33" s="2954" t="s">
        <v>3060</v>
      </c>
      <c r="G33" s="2954">
        <v>384.86</v>
      </c>
      <c r="H33" s="2954">
        <v>1</v>
      </c>
      <c r="I33" s="2977" t="s">
        <v>3251</v>
      </c>
      <c r="J33" s="2975">
        <v>1500</v>
      </c>
      <c r="K33" s="2977">
        <f t="shared" si="0"/>
        <v>58</v>
      </c>
      <c r="L33" s="2958"/>
    </row>
    <row r="34" spans="4:12" ht="15.75">
      <c r="D34" s="3323"/>
      <c r="E34" s="2976" t="s">
        <v>3077</v>
      </c>
      <c r="F34" s="3323">
        <f>SUM(G18:G33)</f>
        <v>26688.410000000003</v>
      </c>
      <c r="G34" s="3323"/>
      <c r="H34" s="3323"/>
      <c r="I34" s="2977"/>
      <c r="J34" s="2977"/>
      <c r="K34" s="2977">
        <f>SUM(K18:K33)</f>
        <v>4920</v>
      </c>
      <c r="L34" s="2958">
        <f>ROUND(K34/F34*10000,0)</f>
        <v>1843</v>
      </c>
    </row>
  </sheetData>
  <mergeCells count="2">
    <mergeCell ref="D17:D34"/>
    <mergeCell ref="F34:H34"/>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1634</v>
      </c>
      <c r="E3" s="1044" t="s">
        <v>1640</v>
      </c>
      <c r="F3" s="1044" t="s">
        <v>1634</v>
      </c>
      <c r="G3" s="1044" t="s">
        <v>1635</v>
      </c>
      <c r="H3" s="1044" t="s">
        <v>1634</v>
      </c>
      <c r="I3" s="1044" t="s">
        <v>1635</v>
      </c>
    </row>
    <row r="4" spans="1:9" ht="30">
      <c r="A4" s="1973" t="str">
        <f>项目基本情况!S2</f>
        <v>江苏省盐城市阜宁县澳洋工业园马河、王庄村房地产</v>
      </c>
      <c r="B4" s="1044">
        <f>项目基本情况!C17</f>
        <v>26688.410000000003</v>
      </c>
      <c r="C4" s="1044">
        <f>项目基本情况!C18</f>
        <v>142073.1</v>
      </c>
      <c r="D4" s="1044" t="e">
        <f ca="1">结果表!D118</f>
        <v>#REF!</v>
      </c>
      <c r="E4" s="1044" t="e">
        <f ca="1">结果表!E118</f>
        <v>#REF!</v>
      </c>
      <c r="F4" s="1044" t="e">
        <f ca="1">结果表!F118</f>
        <v>#REF!</v>
      </c>
      <c r="G4" s="1044" t="e">
        <f ca="1">结果表!G118</f>
        <v>#REF!</v>
      </c>
      <c r="H4" s="1044">
        <f ca="1">结果表!H118</f>
        <v>10787</v>
      </c>
      <c r="I4" s="1044">
        <f ca="1">结果表!I118</f>
        <v>4042</v>
      </c>
    </row>
    <row r="5" spans="1:9" ht="30" customHeight="1">
      <c r="A5" s="2991" t="s">
        <v>1636</v>
      </c>
      <c r="B5" s="2991"/>
      <c r="C5" s="2991"/>
      <c r="D5" s="2992" t="e">
        <f ca="1">结果表!D119</f>
        <v>#REF!</v>
      </c>
      <c r="E5" s="2992"/>
      <c r="F5" s="2992" t="e">
        <f ca="1">结果表!F119</f>
        <v>#REF!</v>
      </c>
      <c r="G5" s="2992"/>
      <c r="H5" s="2992" t="str">
        <f ca="1">结果表!H119</f>
        <v>壹亿零柒佰捌拾柒万元整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1636</v>
      </c>
      <c r="B7" s="2991"/>
      <c r="C7" s="2991"/>
      <c r="D7" s="2994" t="str">
        <f>结果表!D121</f>
        <v>零元整</v>
      </c>
      <c r="E7" s="2995"/>
      <c r="F7" s="2995"/>
      <c r="G7" s="2995"/>
      <c r="H7" s="2995"/>
      <c r="I7" s="2996"/>
    </row>
    <row r="8" spans="1:9" ht="15.75">
      <c r="A8" s="2993" t="str">
        <f>结果表!A122</f>
        <v>房地产抵押价值</v>
      </c>
      <c r="B8" s="2993"/>
      <c r="C8" s="2993"/>
      <c r="D8" s="2993">
        <f ca="1">结果表!D122</f>
        <v>10787</v>
      </c>
      <c r="E8" s="2993"/>
      <c r="F8" s="2993"/>
      <c r="G8" s="2993"/>
      <c r="H8" s="2993"/>
      <c r="I8" s="2993"/>
    </row>
    <row r="9" spans="1:9" ht="15">
      <c r="A9" s="2991" t="s">
        <v>1636</v>
      </c>
      <c r="B9" s="2991"/>
      <c r="C9" s="2991"/>
      <c r="D9" s="2992" t="str">
        <f ca="1">结果表!D123</f>
        <v>壹亿零柒佰捌拾柒万元整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1636</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0" t="s">
        <v>1658</v>
      </c>
      <c r="B1" s="3000"/>
      <c r="C1" s="3000"/>
      <c r="D1" s="3000"/>
    </row>
    <row r="2" spans="1:4" ht="18">
      <c r="A2" s="3001" t="s">
        <v>1642</v>
      </c>
      <c r="B2" s="3001"/>
      <c r="C2" s="3001"/>
      <c r="D2" s="3001"/>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3001" t="s">
        <v>1648</v>
      </c>
      <c r="B6" s="3001"/>
      <c r="C6" s="3001"/>
      <c r="D6" s="300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2" t="s">
        <v>1651</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1652</v>
      </c>
      <c r="B16" s="3006"/>
      <c r="C16" s="3006"/>
      <c r="D16" s="3006"/>
    </row>
    <row r="17" spans="1:4" ht="144" customHeight="1">
      <c r="A17" s="3006" t="s">
        <v>1653</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4" t="s">
        <v>1665</v>
      </c>
      <c r="B15" s="3009" t="s">
        <v>136</v>
      </c>
      <c r="C15" s="3010"/>
    </row>
    <row r="16" spans="1:7" ht="13.5">
      <c r="A16" s="3015"/>
      <c r="B16" s="3009" t="s">
        <v>69</v>
      </c>
      <c r="C16" s="3010"/>
    </row>
    <row r="17" spans="1:3" ht="13.5">
      <c r="A17" s="3015"/>
      <c r="B17" s="3012" t="s">
        <v>1666</v>
      </c>
      <c r="C17" s="2000" t="s">
        <v>1665</v>
      </c>
    </row>
    <row r="18" spans="1:3" ht="13.5">
      <c r="A18" s="3015"/>
      <c r="B18" s="3012"/>
      <c r="C18" s="2000" t="s">
        <v>1667</v>
      </c>
    </row>
    <row r="19" spans="1:3" ht="13.5">
      <c r="A19" s="3015"/>
      <c r="B19" s="3012"/>
      <c r="C19" s="2000" t="s">
        <v>1668</v>
      </c>
    </row>
    <row r="20" spans="1:3" ht="13.5">
      <c r="A20" s="3016"/>
      <c r="B20" s="3011" t="s">
        <v>1669</v>
      </c>
      <c r="C20" s="3010"/>
    </row>
    <row r="21" spans="1:3" ht="13.5">
      <c r="A21" s="2001" t="s">
        <v>1670</v>
      </c>
      <c r="B21" s="2002"/>
      <c r="C21" s="2003"/>
    </row>
    <row r="22" spans="1:3" ht="13.5">
      <c r="A22" s="3013" t="s">
        <v>1671</v>
      </c>
      <c r="B22" s="3011" t="s">
        <v>1672</v>
      </c>
      <c r="C22" s="3010"/>
    </row>
    <row r="23" spans="1:3" ht="13.5">
      <c r="A23" s="3013"/>
      <c r="B23" s="3011" t="s">
        <v>1673</v>
      </c>
      <c r="C23" s="3010"/>
    </row>
    <row r="24" spans="1:3" ht="13.5">
      <c r="A24" s="3013"/>
      <c r="B24" s="3011" t="s">
        <v>1674</v>
      </c>
      <c r="C24" s="3010"/>
    </row>
    <row r="25" spans="1:3" ht="13.5">
      <c r="A25" s="3013"/>
      <c r="B25" s="3012" t="s">
        <v>1675</v>
      </c>
      <c r="C25" s="2000" t="s">
        <v>1676</v>
      </c>
    </row>
    <row r="26" spans="1:3" ht="13.5">
      <c r="A26" s="3013"/>
      <c r="B26" s="3012"/>
      <c r="C26" s="2000" t="s">
        <v>1677</v>
      </c>
    </row>
    <row r="27" spans="1:3" ht="13.5">
      <c r="A27" s="3013"/>
      <c r="B27" s="3012"/>
      <c r="C27" s="2000" t="s">
        <v>1678</v>
      </c>
    </row>
    <row r="28" spans="1:3" ht="13.5">
      <c r="A28" s="3013"/>
      <c r="B28" s="3012"/>
      <c r="C28" s="2000" t="s">
        <v>1679</v>
      </c>
    </row>
    <row r="29" spans="1:3" ht="13.5">
      <c r="A29" s="3013"/>
      <c r="B29" s="3012"/>
      <c r="C29" s="2000" t="s">
        <v>1680</v>
      </c>
    </row>
    <row r="30" spans="1:3" ht="13.5">
      <c r="A30" s="3013"/>
      <c r="B30" s="3012"/>
      <c r="C30" s="2000" t="s">
        <v>1681</v>
      </c>
    </row>
    <row r="31" spans="1:3" ht="13.5">
      <c r="A31" s="3013"/>
      <c r="B31" s="3012"/>
      <c r="C31" s="2000" t="s">
        <v>1682</v>
      </c>
    </row>
    <row r="32" spans="1:3" ht="13.5">
      <c r="A32" s="3013"/>
      <c r="B32" s="3012"/>
      <c r="C32" s="2000" t="s">
        <v>1683</v>
      </c>
    </row>
    <row r="33" spans="1:3" ht="13.5">
      <c r="A33" s="3013"/>
      <c r="B33" s="301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43601</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3045</v>
      </c>
      <c r="B14" s="1022">
        <f ca="1">IF(C14&lt;B2,"已过期",1120040230)</f>
        <v>1120040230</v>
      </c>
      <c r="C14" s="2344">
        <v>43835</v>
      </c>
      <c r="D14" s="2347" t="s">
        <v>3045</v>
      </c>
      <c r="E14" s="1022">
        <f ca="1">IF(F14&lt;B2,"已过期",98030020)</f>
        <v>98030020</v>
      </c>
      <c r="F14" s="1030">
        <v>47118</v>
      </c>
    </row>
    <row r="15" spans="1:6" ht="24" customHeight="1">
      <c r="A15" s="1703" t="s">
        <v>3046</v>
      </c>
      <c r="B15" s="1022">
        <f ca="1">IF(C15&lt;B2,"已过期",1120070085)</f>
        <v>1120070085</v>
      </c>
      <c r="C15" s="2344">
        <v>43814</v>
      </c>
      <c r="D15" s="2348" t="s">
        <v>3046</v>
      </c>
      <c r="E15" s="1022">
        <f ca="1">IF(F15&lt;B2,"已过期",2004110128)</f>
        <v>2004110128</v>
      </c>
      <c r="F15" s="1023">
        <v>47118</v>
      </c>
    </row>
    <row r="16" spans="1:6" ht="24" customHeight="1">
      <c r="A16" s="1702" t="s">
        <v>3047</v>
      </c>
      <c r="B16" s="1022">
        <f ca="1">IF(C16&lt;B2,"已过期",1120140022)</f>
        <v>1120140022</v>
      </c>
      <c r="C16" s="2927">
        <v>44029</v>
      </c>
      <c r="D16" s="2347" t="s">
        <v>3047</v>
      </c>
      <c r="E16" s="1022">
        <f ca="1">IF(F16&lt;B2,"已过期",2008110059)</f>
        <v>2008110059</v>
      </c>
      <c r="F16" s="1030">
        <v>47177</v>
      </c>
    </row>
    <row r="17" spans="1:7" ht="24" customHeight="1">
      <c r="A17" s="1702"/>
      <c r="B17" s="1022"/>
      <c r="C17" s="2344"/>
      <c r="D17" s="2347" t="s">
        <v>3048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不动产权证</vt:lpstr>
      <vt:lpstr>案例</vt:lpstr>
      <vt:lpstr>政策</vt:lpstr>
      <vt:lpstr>建安取值</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2019-05-16T04:34:23Z</dcterms:modified>
</cp:coreProperties>
</file>