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sheet1" sheetId="80"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G44" i="43" l="1"/>
  <c r="M14" i="3"/>
  <c r="K14" i="3"/>
  <c r="I14" i="3"/>
  <c r="I13" i="3"/>
  <c r="H21" i="81"/>
  <c r="G21" i="81"/>
  <c r="G13" i="81"/>
  <c r="I46" i="39" l="1"/>
  <c r="G46" i="39"/>
  <c r="E46" i="39"/>
  <c r="I38" i="39"/>
  <c r="G38" i="39"/>
  <c r="E38" i="39"/>
  <c r="I7" i="39"/>
  <c r="G7" i="39"/>
  <c r="E7" i="39"/>
  <c r="I5" i="39"/>
  <c r="G5" i="39"/>
  <c r="E5" i="39"/>
  <c r="E70" i="39" l="1"/>
  <c r="F70" i="39" s="1"/>
  <c r="G70" i="39" s="1"/>
  <c r="H70" i="39" s="1"/>
  <c r="I70" i="39" s="1"/>
  <c r="J70" i="39" s="1"/>
  <c r="K70" i="39" s="1"/>
  <c r="L70" i="39" s="1"/>
  <c r="M70" i="39" s="1"/>
  <c r="N70" i="39" s="1"/>
  <c r="O70" i="39" s="1"/>
  <c r="D70" i="39"/>
  <c r="U2" i="43"/>
  <c r="G51" i="43" l="1"/>
  <c r="G52" i="43"/>
  <c r="G53" i="43"/>
  <c r="G54" i="43"/>
  <c r="G55" i="43"/>
  <c r="G56" i="43"/>
  <c r="G57" i="43"/>
  <c r="G58" i="43"/>
  <c r="G50" i="43"/>
  <c r="D42" i="43"/>
  <c r="D38" i="43"/>
  <c r="D33" i="43"/>
  <c r="V22" i="1"/>
  <c r="V21" i="1"/>
  <c r="U23" i="1"/>
  <c r="U22" i="1"/>
  <c r="X22" i="1" s="1"/>
  <c r="U21" i="1"/>
  <c r="X21" i="1" s="1"/>
  <c r="U20" i="1"/>
  <c r="X20" i="1" s="1"/>
  <c r="G20" i="6"/>
  <c r="Y6" i="1"/>
  <c r="N6" i="1"/>
  <c r="F19" i="6"/>
  <c r="D3" i="4"/>
  <c r="X24" i="1" l="1"/>
  <c r="U24" i="1"/>
  <c r="V24" i="1"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0" i="1" l="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s="1"/>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B5" i="3" s="1"/>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H19"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7" i="39"/>
  <c r="W17" i="39" s="1"/>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32" i="15"/>
  <c r="F60" i="15" s="1"/>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7" i="76"/>
  <c r="F20" i="31"/>
  <c r="F16" i="67"/>
  <c r="B11" i="76"/>
  <c r="L47" i="15"/>
  <c r="F7" i="15"/>
  <c r="L47" i="67"/>
  <c r="F40" i="15"/>
  <c r="F13" i="15"/>
  <c r="D35" i="9"/>
  <c r="M22" i="67"/>
  <c r="F38" i="15"/>
  <c r="E10" i="76"/>
  <c r="M29" i="67"/>
  <c r="B9" i="76"/>
  <c r="F13" i="67"/>
  <c r="B8" i="76"/>
  <c r="F26" i="15"/>
  <c r="F4" i="73"/>
  <c r="F9" i="67"/>
  <c r="M26" i="15"/>
  <c r="M6" i="67"/>
  <c r="D6" i="73"/>
  <c r="D34" i="9"/>
  <c r="E13" i="76"/>
  <c r="M29" i="15"/>
  <c r="F3" i="73"/>
  <c r="M24" i="67"/>
  <c r="F37" i="15"/>
  <c r="F7" i="73"/>
  <c r="F6" i="73"/>
  <c r="C76" i="15"/>
  <c r="F43" i="15"/>
  <c r="B10" i="76"/>
  <c r="J15" i="15"/>
  <c r="E2" i="68"/>
  <c r="M6" i="15"/>
  <c r="F6" i="15"/>
  <c r="AO13" i="1"/>
  <c r="M22" i="15"/>
  <c r="F8" i="15"/>
  <c r="L48" i="15"/>
  <c r="F42" i="15"/>
  <c r="M26" i="67"/>
  <c r="E12" i="76"/>
  <c r="M8" i="15"/>
  <c r="E9" i="76"/>
  <c r="F42" i="67"/>
  <c r="E8" i="76"/>
  <c r="F8" i="67"/>
  <c r="M23" i="67"/>
  <c r="M28" i="67"/>
  <c r="F36" i="67"/>
  <c r="F26" i="67"/>
  <c r="M9" i="67"/>
  <c r="M9" i="15"/>
  <c r="F37" i="67"/>
  <c r="F38" i="67"/>
  <c r="D7" i="73"/>
  <c r="F43" i="67"/>
  <c r="M23" i="15"/>
  <c r="D5" i="73"/>
  <c r="E2" i="69"/>
  <c r="B12" i="76"/>
  <c r="B13" i="76"/>
  <c r="E11" i="76"/>
  <c r="F36" i="15"/>
  <c r="M24" i="15"/>
  <c r="D3" i="73"/>
  <c r="L48" i="67"/>
  <c r="M8" i="67"/>
  <c r="C76" i="67"/>
  <c r="F6" i="67"/>
  <c r="M28" i="15"/>
  <c r="B7" i="76"/>
  <c r="F9" i="15"/>
  <c r="F16" i="15"/>
  <c r="J15" i="67"/>
  <c r="D4" i="73"/>
  <c r="F5" i="73"/>
  <c r="F7" i="67"/>
  <c r="F40" i="67"/>
  <c r="G6" i="1" l="1"/>
  <c r="I24" i="43"/>
  <c r="BA14" i="3"/>
  <c r="G13" i="3"/>
  <c r="F29" i="6"/>
  <c r="F30" i="6" s="1"/>
  <c r="BA5" i="3"/>
  <c r="AB19" i="39"/>
  <c r="U19" i="39"/>
  <c r="E92" i="39"/>
  <c r="F92" i="39" s="1"/>
  <c r="G92" i="39" s="1"/>
  <c r="J19" i="39"/>
  <c r="AC19" i="39" s="1"/>
  <c r="S19" i="39"/>
  <c r="S17" i="39"/>
  <c r="U17" i="39"/>
  <c r="AC17" i="39"/>
  <c r="S11" i="39"/>
  <c r="B73" i="43"/>
  <c r="B76" i="43"/>
  <c r="C29" i="39"/>
  <c r="B77" i="43"/>
  <c r="B79" i="43"/>
  <c r="B75" i="43"/>
  <c r="B68" i="43"/>
  <c r="B57" i="43"/>
  <c r="C24" i="12"/>
  <c r="M18" i="15"/>
  <c r="M18" i="67"/>
  <c r="F30" i="11"/>
  <c r="C48" i="11" s="1"/>
  <c r="F52" i="9"/>
  <c r="F30" i="68"/>
  <c r="F48" i="68" s="1"/>
  <c r="C40" i="69"/>
  <c r="D54" i="43"/>
  <c r="D50" i="43"/>
  <c r="AZ15" i="3"/>
  <c r="G29" i="6"/>
  <c r="G30" i="6" s="1"/>
  <c r="G31" i="6" s="1"/>
  <c r="BL5" i="3"/>
  <c r="AZ14" i="3"/>
  <c r="G28" i="6"/>
  <c r="G5" i="3"/>
  <c r="B3" i="3" s="1"/>
  <c r="E156" i="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8" i="6"/>
  <c r="K14"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V6"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E29" i="6" l="1"/>
  <c r="K15" i="1" s="1"/>
  <c r="K16" i="1" s="1"/>
  <c r="E578" i="3"/>
  <c r="E247" i="3"/>
  <c r="E535" i="3"/>
  <c r="E305" i="3"/>
  <c r="E185" i="3"/>
  <c r="E583" i="3"/>
  <c r="E263" i="3"/>
  <c r="E361" i="3"/>
  <c r="E230" i="3"/>
  <c r="E570" i="3"/>
  <c r="E410" i="3"/>
  <c r="E553" i="3"/>
  <c r="E246" i="3"/>
  <c r="E134" i="3"/>
  <c r="E395" i="3"/>
  <c r="E335" i="3"/>
  <c r="E533" i="3"/>
  <c r="E516" i="3"/>
  <c r="E217" i="3"/>
  <c r="E495" i="3"/>
  <c r="E290" i="3"/>
  <c r="E278" i="3"/>
  <c r="E439" i="3"/>
  <c r="E151" i="3"/>
  <c r="AJ6" i="3"/>
  <c r="X6" i="3"/>
  <c r="E124" i="3"/>
  <c r="E518" i="3"/>
  <c r="E423" i="3"/>
  <c r="E301" i="3"/>
  <c r="E61" i="3"/>
  <c r="E161" i="3"/>
  <c r="E503" i="3"/>
  <c r="E260" i="3"/>
  <c r="E563" i="3"/>
  <c r="E261" i="3"/>
  <c r="E130" i="3"/>
  <c r="E215" i="3"/>
  <c r="E380" i="3"/>
  <c r="E407" i="3"/>
  <c r="M6" i="3"/>
  <c r="AR6" i="3"/>
  <c r="E358" i="3"/>
  <c r="E201" i="3"/>
  <c r="E337" i="3"/>
  <c r="E569" i="3"/>
  <c r="E509" i="3"/>
  <c r="E508" i="3"/>
  <c r="E282" i="3"/>
  <c r="E526" i="3"/>
  <c r="E175" i="3"/>
  <c r="AM6" i="3"/>
  <c r="E291" i="3"/>
  <c r="E126" i="3"/>
  <c r="E71" i="3"/>
  <c r="E403" i="3"/>
  <c r="E367" i="3"/>
  <c r="E548" i="3"/>
  <c r="E164" i="3"/>
  <c r="E32" i="3"/>
  <c r="E256" i="3"/>
  <c r="E496" i="3"/>
  <c r="E474" i="3"/>
  <c r="E461" i="3"/>
  <c r="E30" i="3"/>
  <c r="E316" i="3"/>
  <c r="E166" i="3"/>
  <c r="E88" i="3"/>
  <c r="E444" i="3"/>
  <c r="E558" i="3"/>
  <c r="P6" i="3"/>
  <c r="E379" i="3"/>
  <c r="E397" i="3"/>
  <c r="E257" i="3"/>
  <c r="E475" i="3"/>
  <c r="E438" i="3"/>
  <c r="E306" i="3"/>
  <c r="E399" i="3"/>
  <c r="E293" i="3"/>
  <c r="AI6" i="3"/>
  <c r="E350" i="3"/>
  <c r="E245" i="3"/>
  <c r="E135" i="3"/>
  <c r="E180" i="3"/>
  <c r="E550" i="3"/>
  <c r="E172" i="3"/>
  <c r="E528" i="3"/>
  <c r="E114" i="3"/>
  <c r="E189" i="3"/>
  <c r="E231" i="3"/>
  <c r="E320" i="3"/>
  <c r="AB6" i="3"/>
  <c r="E561" i="3"/>
  <c r="E559" i="3"/>
  <c r="E311" i="3"/>
  <c r="E143" i="3"/>
  <c r="E396" i="3"/>
  <c r="E579" i="3"/>
  <c r="E388" i="3"/>
  <c r="N6" i="3"/>
  <c r="E268" i="3"/>
  <c r="E530" i="3"/>
  <c r="E125" i="3"/>
  <c r="E480" i="3"/>
  <c r="E334" i="3"/>
  <c r="E295" i="3"/>
  <c r="E121" i="3"/>
  <c r="E404" i="3"/>
  <c r="E581" i="3"/>
  <c r="E443" i="3"/>
  <c r="E411" i="3"/>
  <c r="E207" i="3"/>
  <c r="E14" i="3"/>
  <c r="E168" i="3"/>
  <c r="E577" i="3"/>
  <c r="E532" i="3"/>
  <c r="E347" i="3"/>
  <c r="E336" i="3"/>
  <c r="E385" i="3"/>
  <c r="E586" i="3"/>
  <c r="E382" i="3"/>
  <c r="E191" i="3"/>
  <c r="E91" i="3"/>
  <c r="E117" i="3"/>
  <c r="E445" i="3"/>
  <c r="E183" i="3"/>
  <c r="E415" i="3"/>
  <c r="E69" i="3"/>
  <c r="E216" i="3"/>
  <c r="E294" i="3"/>
  <c r="E387" i="3"/>
  <c r="E538" i="3"/>
  <c r="E551" i="3"/>
  <c r="E514" i="3"/>
  <c r="E270" i="3"/>
  <c r="E229" i="3"/>
  <c r="E431" i="3"/>
  <c r="E555" i="3"/>
  <c r="E239" i="3"/>
  <c r="E322" i="3"/>
  <c r="E343" i="3"/>
  <c r="E366" i="3"/>
  <c r="E29" i="3"/>
  <c r="E317" i="3"/>
  <c r="E272" i="3"/>
  <c r="E92" i="3"/>
  <c r="E546" i="3"/>
  <c r="E547" i="3"/>
  <c r="E432" i="3"/>
  <c r="AG6" i="3"/>
  <c r="E236" i="3"/>
  <c r="E394" i="3"/>
  <c r="E73" i="3"/>
  <c r="E587" i="3"/>
  <c r="E133" i="3"/>
  <c r="E109" i="3"/>
  <c r="E572" i="3"/>
  <c r="E377" i="3"/>
  <c r="E273" i="3"/>
  <c r="E211" i="3"/>
  <c r="E182" i="3"/>
  <c r="E70" i="3"/>
  <c r="E28" i="3"/>
  <c r="E489" i="3"/>
  <c r="E531" i="3"/>
  <c r="E557" i="3"/>
  <c r="E345" i="3"/>
  <c r="E400" i="3"/>
  <c r="E478" i="3"/>
  <c r="U6" i="3"/>
  <c r="E145" i="3"/>
  <c r="E196" i="3"/>
  <c r="E93" i="3"/>
  <c r="E357" i="3"/>
  <c r="E208" i="3"/>
  <c r="E54" i="3"/>
  <c r="E471" i="3"/>
  <c r="E562" i="3"/>
  <c r="E472" i="3"/>
  <c r="E224" i="3"/>
  <c r="E122"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441" i="3"/>
  <c r="E44" i="3"/>
  <c r="E384" i="3"/>
  <c r="E331" i="3"/>
  <c r="E210" i="3"/>
  <c r="E186" i="3"/>
  <c r="E162" i="3"/>
  <c r="E27" i="3"/>
  <c r="E447" i="3"/>
  <c r="E476" i="3"/>
  <c r="AS6" i="3"/>
  <c r="E505" i="3"/>
  <c r="E477" i="3"/>
  <c r="E414" i="3"/>
  <c r="E448" i="3"/>
  <c r="E576" i="3"/>
  <c r="E252" i="3"/>
  <c r="I6" i="3"/>
  <c r="E580" i="3"/>
  <c r="E274" i="3"/>
  <c r="E203" i="3"/>
  <c r="E55" i="3"/>
  <c r="E537" i="3"/>
  <c r="E457" i="3"/>
  <c r="E560" i="3"/>
  <c r="E228" i="3"/>
  <c r="E485" i="3"/>
  <c r="AO6" i="3"/>
  <c r="Z6" i="3"/>
  <c r="E327" i="3"/>
  <c r="E204" i="3"/>
  <c r="E89" i="3"/>
  <c r="E368" i="3"/>
  <c r="E227" i="3"/>
  <c r="E74" i="3"/>
  <c r="E362" i="3"/>
  <c r="E315" i="3"/>
  <c r="E214" i="3"/>
  <c r="E171" i="3"/>
  <c r="E146" i="3"/>
  <c r="E106" i="3"/>
  <c r="E454" i="3"/>
  <c r="E468" i="3"/>
  <c r="E571" i="3"/>
  <c r="E288" i="3"/>
  <c r="E406" i="3"/>
  <c r="E458" i="3"/>
  <c r="K6" i="3"/>
  <c r="E277" i="3"/>
  <c r="E352" i="3"/>
  <c r="E515" i="3"/>
  <c r="E585" i="3"/>
  <c r="E107" i="3"/>
  <c r="E271" i="3"/>
  <c r="E269" i="3"/>
  <c r="E549" i="3"/>
  <c r="E567" i="3"/>
  <c r="E31" i="3"/>
  <c r="E318" i="3"/>
  <c r="E351" i="3"/>
  <c r="E279" i="3"/>
  <c r="E150" i="3"/>
  <c r="E111" i="3"/>
  <c r="E72" i="3"/>
  <c r="E433" i="3"/>
  <c r="E450" i="3"/>
  <c r="W6" i="3"/>
  <c r="E465" i="3"/>
  <c r="E527" i="3"/>
  <c r="E529" i="3"/>
  <c r="E313" i="3"/>
  <c r="E157" i="3"/>
  <c r="E136" i="3"/>
  <c r="W19" i="39"/>
  <c r="C48" i="68"/>
  <c r="E50" i="43"/>
  <c r="B48" i="43" s="1"/>
  <c r="D18" i="53"/>
  <c r="B35" i="72" s="1"/>
  <c r="C7" i="74"/>
  <c r="AK6" i="3"/>
  <c r="E545" i="3"/>
  <c r="E181" i="3"/>
  <c r="E568" i="3"/>
  <c r="E77" i="3"/>
  <c r="E573" i="3"/>
  <c r="E519" i="3"/>
  <c r="E193" i="3"/>
  <c r="E45" i="3"/>
  <c r="E99" i="3"/>
  <c r="E511" i="3"/>
  <c r="E314" i="3"/>
  <c r="E85" i="3"/>
  <c r="E453" i="3"/>
  <c r="E253" i="3"/>
  <c r="E429" i="3"/>
  <c r="AE6" i="3"/>
  <c r="E344" i="3"/>
  <c r="E424" i="3"/>
  <c r="E481" i="3"/>
  <c r="E437" i="3"/>
  <c r="Q6" i="3"/>
  <c r="E330" i="3"/>
  <c r="E177" i="3"/>
  <c r="E120" i="3"/>
  <c r="E262" i="3"/>
  <c r="E128" i="3"/>
  <c r="E434" i="3"/>
  <c r="E238"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49"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6" i="3"/>
  <c r="E575" i="3"/>
  <c r="R6" i="3"/>
  <c r="E502" i="3"/>
  <c r="E466" i="3"/>
  <c r="E541" i="3"/>
  <c r="E255" i="3"/>
  <c r="AP6" i="3"/>
  <c r="E554" i="3"/>
  <c r="E435" i="3"/>
  <c r="E491" i="3"/>
  <c r="E539" i="3"/>
  <c r="E148" i="3"/>
  <c r="E212" i="3"/>
  <c r="E199" i="3"/>
  <c r="E286" i="3"/>
  <c r="E499" i="3"/>
  <c r="E442" i="3"/>
  <c r="E430" i="3"/>
  <c r="I3" i="6"/>
  <c r="E517" i="3"/>
  <c r="E417" i="3"/>
  <c r="E296" i="3"/>
  <c r="E369" i="3"/>
  <c r="E405" i="3"/>
  <c r="E408" i="3"/>
  <c r="E497" i="3"/>
  <c r="E470" i="3"/>
  <c r="E56" i="3"/>
  <c r="E95" i="3"/>
  <c r="E132" i="3"/>
  <c r="E258" i="3"/>
  <c r="E292" i="3"/>
  <c r="E349" i="3"/>
  <c r="E544" i="3"/>
  <c r="E59" i="3"/>
  <c r="E484" i="3"/>
  <c r="E467" i="3"/>
  <c r="E46" i="3"/>
  <c r="E160" i="3"/>
  <c r="E200" i="3"/>
  <c r="E249" i="3"/>
  <c r="E371" i="3"/>
  <c r="E492" i="3"/>
  <c r="E84" i="3"/>
  <c r="E33" i="3"/>
  <c r="E355" i="3"/>
  <c r="E81" i="3"/>
  <c r="E309" i="3"/>
  <c r="E456" i="3"/>
  <c r="E420" i="3"/>
  <c r="E115" i="3"/>
  <c r="E332" i="3"/>
  <c r="E75" i="3"/>
  <c r="E190" i="3"/>
  <c r="E522" i="3"/>
  <c r="E232" i="3"/>
  <c r="E113" i="3"/>
  <c r="E83" i="3"/>
  <c r="E78" i="3"/>
  <c r="E197" i="3"/>
  <c r="E534" i="3"/>
  <c r="E469" i="3"/>
  <c r="E360" i="3"/>
  <c r="E494" i="3"/>
  <c r="E479" i="3"/>
  <c r="E37" i="3"/>
  <c r="E152" i="3"/>
  <c r="E192" i="3"/>
  <c r="E241" i="3"/>
  <c r="E363" i="3"/>
  <c r="E389" i="3"/>
  <c r="E76" i="3"/>
  <c r="E409" i="3"/>
  <c r="E425" i="3"/>
  <c r="E64" i="3"/>
  <c r="E103" i="3"/>
  <c r="E142" i="3"/>
  <c r="E267" i="3"/>
  <c r="E300" i="3"/>
  <c r="E310" i="3"/>
  <c r="E23" i="3"/>
  <c r="E67" i="3"/>
  <c r="E144" i="3"/>
  <c r="E233" i="3"/>
  <c r="E381" i="3"/>
  <c r="E63" i="3"/>
  <c r="E118" i="3"/>
  <c r="E283" i="3"/>
  <c r="E513" i="3"/>
  <c r="E525" i="3"/>
  <c r="E13" i="3"/>
  <c r="E139" i="3"/>
  <c r="E356" i="3"/>
  <c r="E482" i="3"/>
  <c r="E235" i="3"/>
  <c r="E86" i="3"/>
  <c r="E370" i="3"/>
  <c r="E287" i="3"/>
  <c r="E205" i="3"/>
  <c r="E173" i="3"/>
  <c r="T6" i="3"/>
  <c r="E512" i="3"/>
  <c r="E556" i="3"/>
  <c r="E452" i="3"/>
  <c r="E26" i="3"/>
  <c r="E41" i="3"/>
  <c r="E198" i="3"/>
  <c r="E225" i="3"/>
  <c r="E243" i="3"/>
  <c r="E391" i="3"/>
  <c r="AL6" i="3"/>
  <c r="E94" i="3"/>
  <c r="E428" i="3"/>
  <c r="E412" i="3"/>
  <c r="E96" i="3"/>
  <c r="E129" i="3"/>
  <c r="E174" i="3"/>
  <c r="E275" i="3"/>
  <c r="E324" i="3"/>
  <c r="E342" i="3"/>
  <c r="E35" i="3"/>
  <c r="E34" i="3"/>
  <c r="E206" i="3"/>
  <c r="E251" i="3"/>
  <c r="AF6" i="3"/>
  <c r="E80" i="3"/>
  <c r="E158" i="3"/>
  <c r="E308" i="3"/>
  <c r="E22" i="3"/>
  <c r="E184" i="3"/>
  <c r="E68" i="3"/>
  <c r="E264" i="3"/>
  <c r="E21" i="3"/>
  <c r="E140" i="3"/>
  <c r="E451" i="3"/>
  <c r="E104" i="3"/>
  <c r="E281" i="3"/>
  <c r="E42" i="3"/>
  <c r="E18" i="3"/>
  <c r="E220" i="3"/>
  <c r="E383" i="3"/>
  <c r="E49" i="3"/>
  <c r="E102" i="3"/>
  <c r="E326" i="3"/>
  <c r="G26" i="43"/>
  <c r="N94" i="46"/>
  <c r="J26" i="43"/>
  <c r="E26" i="43"/>
  <c r="H26" i="43"/>
  <c r="N370" i="4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AC6" i="3" l="1"/>
  <c r="H6" i="3"/>
  <c r="E6" i="3" s="1"/>
  <c r="D26" i="43"/>
  <c r="C25" i="43" s="1"/>
  <c r="C33"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B3" i="43" l="1"/>
  <c r="C7" i="68"/>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5" i="68"/>
  <c r="C23" i="68" s="1"/>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0" i="68" l="1"/>
  <c r="C28" i="68" s="1"/>
  <c r="C27" i="68"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11" i="1"/>
  <c r="AO10" i="1"/>
  <c r="AO8" i="1"/>
  <c r="AO9"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H23" i="9" l="1"/>
  <c r="F65" i="39"/>
  <c r="B2" i="39" s="1"/>
  <c r="B3" i="39" s="1"/>
  <c r="D102" i="9"/>
  <c r="D21" i="9"/>
  <c r="D22" i="9"/>
  <c r="G19" i="9"/>
  <c r="G21" i="9" s="1"/>
  <c r="B3" i="70"/>
  <c r="C42" i="40"/>
  <c r="C43" i="40"/>
  <c r="E47" i="40"/>
  <c r="F47" i="40" s="1"/>
  <c r="E46" i="40"/>
  <c r="F46" i="40" s="1"/>
  <c r="I47" i="40"/>
  <c r="J47" i="40" s="1"/>
  <c r="D20" i="9"/>
  <c r="H24" i="9" l="1"/>
  <c r="G28" i="9"/>
  <c r="G26" i="9"/>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E14" i="74"/>
  <c r="F14" i="74"/>
  <c r="B5" i="74"/>
  <c r="D5" i="74" s="1"/>
  <c r="B6" i="74" l="1"/>
  <c r="D6" i="74" s="1"/>
  <c r="B20" i="72" l="1"/>
  <c r="N61" i="9"/>
  <c r="N60" i="9"/>
  <c r="D53" i="9"/>
  <c r="D52" i="9"/>
  <c r="C104" i="9"/>
  <c r="H4" i="52"/>
  <c r="N58" i="9"/>
  <c r="N59" i="9"/>
  <c r="P57" i="9"/>
  <c r="C5" i="74"/>
  <c r="D9" i="52"/>
  <c r="B30" i="72"/>
  <c r="M55" i="9"/>
  <c r="B31" i="72"/>
  <c r="D54" i="9"/>
  <c r="C105" i="9"/>
  <c r="I4" i="52"/>
  <c r="M48" i="9"/>
  <c r="B49" i="72"/>
  <c r="C81" i="9"/>
  <c r="C6" i="74"/>
  <c r="H108" i="9"/>
  <c r="D15" i="53"/>
  <c r="D5" i="53"/>
  <c r="D6" i="53"/>
  <c r="B22" i="72"/>
  <c r="D55" i="9"/>
  <c r="M53" i="9"/>
  <c r="N57" i="9"/>
  <c r="D123" i="9"/>
  <c r="D122" i="9"/>
  <c r="D8" i="52"/>
  <c r="C96" i="9"/>
  <c r="E96" i="9"/>
  <c r="E97" i="9"/>
  <c r="C80" i="9"/>
  <c r="E80" i="9"/>
  <c r="E81" i="9"/>
  <c r="C72" i="9"/>
  <c r="C79" i="9"/>
  <c r="E4" i="52"/>
  <c r="B48" i="72"/>
  <c r="G4" i="52"/>
  <c r="B52" i="72"/>
  <c r="C78" i="9"/>
  <c r="C73" i="9"/>
  <c r="H119" i="9"/>
  <c r="H5" i="52"/>
  <c r="H102" i="9"/>
  <c r="D7" i="53"/>
  <c r="B21" i="72"/>
  <c r="D119" i="9"/>
  <c r="D5" i="52"/>
  <c r="C85" i="9"/>
  <c r="C95" i="9"/>
  <c r="C97" i="9"/>
  <c r="D58" i="9"/>
  <c r="D56" i="9"/>
  <c r="M54" i="9"/>
  <c r="E118" i="9"/>
  <c r="D118" i="9"/>
  <c r="D4" i="52"/>
  <c r="B47" i="72"/>
  <c r="B53" i="72"/>
  <c r="H107" i="9"/>
  <c r="D13" i="53"/>
  <c r="D14" i="53"/>
  <c r="B32" i="72"/>
  <c r="F4" i="52"/>
  <c r="B51" i="72"/>
  <c r="D59" i="9"/>
  <c r="C64" i="9"/>
  <c r="C63" i="9"/>
  <c r="C67" i="9"/>
  <c r="C68" i="9"/>
  <c r="I118" i="9"/>
  <c r="H118" i="9"/>
  <c r="H101" i="9"/>
  <c r="D45" i="9"/>
  <c r="C93" i="9"/>
  <c r="C86" i="9"/>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<sst xmlns="http://schemas.openxmlformats.org/spreadsheetml/2006/main" count="8272" uniqueCount="3605">
  <si>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</si>
  <si>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</si>
  <si>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</si>
  <si>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</si>
  <si>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</si>
  <si>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</si>
  <si>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</si>
  <si>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</si>
  <si>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</si>
  <si>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</si>
  <si>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</si>
  <si>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</si>
  <si>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</si>
  <si>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</si>
  <si>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</si>
  <si>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</si>
  <si>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</si>
  <si>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</si>
  <si>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</si>
  <si>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</si>
  <si>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</si>
  <si>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</si>
  <si>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</si>
  <si>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</si>
  <si>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</si>
  <si>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</si>
  <si>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</si>
  <si>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</si>
  <si>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</si>
  <si>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</si>
  <si>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</si>
  <si>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</si>
  <si>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</si>
  <si>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</si>
  <si>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</si>
  <si>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</si>
  <si>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</si>
  <si>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</si>
  <si>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</si>
  <si>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</si>
  <si>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</si>
  <si>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</si>
  <si>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</si>
  <si>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</si>
  <si>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</si>
  <si>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</si>
  <si>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</si>
  <si>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</si>
  <si>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</si>
  <si>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</si>
  <si>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</si>
  <si>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</si>
  <si>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</si>
  <si>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</si>
  <si>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</si>
  <si>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</si>
  <si>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</si>
  <si>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</si>
  <si>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</si>
  <si>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</si>
  <si>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</si>
  <si>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</si>
  <si>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</si>
  <si>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</si>
  <si>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</si>
  <si>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</si>
  <si>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</si>
  <si>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</si>
  <si>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</si>
  <si>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</si>
  <si>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</si>
  <si>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</si>
  <si>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</si>
  <si>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</si>
  <si>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</si>
  <si>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</si>
  <si>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</si>
  <si>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</si>
  <si>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</si>
  <si>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</si>
  <si>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</si>
  <si>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</si>
  <si>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</si>
  <si>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</si>
  <si>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</si>
  <si>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</si>
  <si>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</si>
  <si>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</si>
  <si>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</si>
  <si>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</si>
  <si>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</si>
  <si>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</si>
  <si>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</si>
  <si>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</si>
  <si>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</si>
  <si>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</si>
  <si>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</si>
  <si>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</si>
  <si>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</si>
  <si>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</si>
  <si>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</si>
  <si>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</si>
  <si>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</si>
  <si>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</si>
  <si>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</si>
  <si>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</si>
  <si>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</si>
  <si>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</si>
  <si>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</si>
  <si>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</si>
  <si>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</si>
  <si>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</si>
  <si>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</si>
  <si>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</si>
  <si>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</si>
  <si>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</si>
  <si>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</si>
  <si>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</si>
  <si>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</si>
  <si>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</si>
  <si>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</si>
  <si>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</si>
  <si>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</si>
  <si>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</si>
  <si>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</si>
  <si>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</si>
  <si>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</si>
  <si>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</si>
  <si>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</si>
  <si>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</si>
  <si>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</si>
  <si>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</si>
  <si>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</si>
  <si>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</si>
  <si>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</si>
  <si>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</si>
  <si>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</si>
  <si>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</si>
  <si>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</si>
  <si>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</si>
  <si>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</si>
  <si>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</si>
  <si>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</si>
  <si>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</si>
  <si>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</si>
  <si>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</si>
  <si>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</si>
  <si>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</si>
  <si>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</si>
  <si>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</si>
  <si>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</si>
  <si>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</si>
  <si>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</si>
  <si>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</si>
  <si>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</si>
  <si>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</si>
  <si>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</si>
  <si>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</si>
  <si>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</si>
  <si>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</si>
  <si>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</si>
  <si>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</si>
  <si>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</si>
  <si>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</si>
  <si>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</si>
  <si>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</si>
  <si>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</si>
  <si>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</si>
  <si>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</si>
  <si>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</si>
  <si>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</si>
  <si>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</si>
  <si>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</si>
  <si>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</si>
  <si>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</si>
  <si>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</si>
  <si>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</si>
  <si>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</si>
  <si>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</si>
  <si>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</si>
  <si>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</si>
  <si>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</si>
  <si>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</si>
  <si>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</si>
  <si>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</si>
  <si>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</si>
  <si>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</si>
  <si>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</si>
  <si>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</si>
  <si>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</si>
  <si>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</si>
  <si>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</si>
  <si>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</si>
  <si>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</si>
  <si>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</si>
  <si>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</si>
  <si>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</si>
  <si>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</si>
  <si>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</si>
  <si>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</si>
  <si>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</si>
  <si>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</si>
  <si>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</si>
  <si>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</si>
  <si>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</si>
  <si>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</si>
  <si>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</si>
  <si>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</si>
  <si>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</si>
  <si>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</si>
  <si>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</si>
  <si>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</si>
  <si>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</si>
  <si>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</si>
  <si>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</si>
  <si>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</si>
  <si>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</si>
  <si>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</si>
  <si>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</si>
  <si>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</si>
  <si>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</si>
  <si>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</si>
  <si>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</si>
  <si>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</si>
  <si>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</si>
  <si>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</si>
  <si>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</si>
  <si>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</si>
  <si>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</si>
  <si>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</si>
  <si>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</si>
  <si>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</si>
  <si>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</si>
  <si>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</si>
  <si>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</si>
  <si>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</si>
  <si>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</si>
  <si>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</si>
  <si>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</si>
  <si>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</si>
  <si>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</si>
  <si>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</si>
  <si>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</si>
  <si>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</si>
  <si>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</si>
  <si>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</si>
  <si>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</si>
  <si>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</si>
  <si>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</si>
  <si>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</si>
  <si>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</si>
  <si>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</si>
  <si>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</si>
  <si>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</si>
  <si>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</si>
  <si>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</si>
  <si>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</si>
  <si>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</si>
  <si>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</si>
  <si>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</si>
  <si>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</si>
  <si>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</si>
  <si>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</si>
  <si>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</si>
  <si>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</si>
  <si>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</si>
  <si>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</si>
  <si>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</si>
  <si>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</si>
  <si>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</si>
  <si>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</si>
  <si>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</si>
  <si>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</si>
  <si>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</si>
  <si>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</si>
  <si>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</si>
  <si>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</si>
  <si>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</si>
  <si>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</si>
  <si>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</si>
  <si>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</si>
  <si>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</si>
  <si>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</si>
  <si>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</si>
  <si>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</si>
  <si>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</si>
  <si>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</si>
  <si>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</si>
  <si>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</si>
  <si>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</si>
  <si>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</si>
  <si>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</si>
  <si>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</si>
  <si>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</si>
  <si>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</si>
  <si>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</si>
  <si>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</si>
  <si>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</si>
  <si>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</si>
  <si>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</si>
  <si>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</si>
  <si>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</si>
  <si>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</si>
  <si>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</si>
  <si>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</si>
  <si>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</si>
  <si>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</si>
  <si>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</si>
  <si>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</si>
  <si>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</si>
  <si>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</si>
  <si>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</si>
  <si>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</si>
  <si>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</si>
  <si>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</si>
  <si>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</si>
  <si>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</si>
  <si>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</si>
  <si>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</si>
  <si>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</si>
  <si>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</si>
  <si>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</si>
  <si>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</si>
  <si>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</si>
  <si>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</si>
  <si>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</si>
  <si>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</si>
  <si>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</si>
  <si>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</si>
  <si>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</si>
  <si>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</si>
  <si>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</si>
  <si>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</si>
  <si>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</si>
  <si>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</si>
  <si>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</si>
  <si>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</si>
  <si>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</si>
  <si>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</si>
  <si>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</si>
  <si>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</si>
  <si>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</si>
  <si>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</si>
  <si>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</si>
  <si>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</si>
  <si>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</si>
  <si>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</si>
  <si>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</si>
  <si>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</si>
  <si>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</si>
  <si>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</si>
  <si>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</si>
  <si>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</si>
  <si>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</si>
  <si>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</si>
  <si>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</si>
  <si>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</si>
  <si>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</si>
  <si>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</si>
  <si>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</si>
  <si>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</si>
  <si>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</si>
  <si>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</si>
  <si>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</si>
  <si>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</si>
  <si>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</si>
  <si>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</si>
  <si>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</si>
  <si>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</si>
  <si>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</si>
  <si>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</si>
  <si>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</si>
  <si>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</si>
  <si>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</si>
  <si>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</si>
  <si>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</si>
  <si>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</si>
  <si>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</si>
  <si>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</si>
  <si>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</si>
  <si>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</si>
  <si>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</si>
  <si>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</si>
  <si>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</si>
  <si>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</si>
  <si>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</si>
  <si>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</si>
  <si>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</si>
  <si>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</si>
  <si>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</si>
  <si>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</si>
  <si>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</si>
  <si>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</si>
  <si>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</si>
  <si>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</si>
  <si>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</si>
  <si>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</si>
  <si>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</si>
  <si>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</si>
  <si>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</si>
  <si>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</si>
  <si>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</si>
  <si>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</si>
  <si>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</si>
  <si>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</si>
  <si>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</si>
  <si>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</si>
  <si>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</si>
  <si>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</si>
  <si>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</si>
  <si>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</si>
  <si>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</si>
  <si>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</si>
  <si>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</si>
  <si>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</si>
  <si>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</si>
  <si>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</si>
  <si>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</si>
  <si>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</si>
  <si>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</si>
  <si>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</si>
  <si>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</si>
  <si>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</si>
  <si>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</si>
  <si>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</si>
  <si>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</si>
  <si>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</si>
  <si>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</si>
  <si>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</si>
  <si>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</si>
  <si>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</si>
  <si>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</si>
  <si>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</si>
  <si>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</si>
  <si>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</si>
  <si>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</si>
  <si>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</si>
  <si>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</si>
  <si>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</si>
  <si>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</si>
  <si>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</si>
  <si>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</si>
  <si>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</si>
  <si>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</si>
  <si>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</si>
  <si>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</si>
  <si>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</si>
  <si>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</si>
  <si>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</si>
  <si>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</si>
  <si>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</si>
  <si>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</si>
  <si>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</si>
  <si>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</si>
  <si>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</si>
  <si>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</si>
  <si>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</si>
  <si>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</si>
  <si>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</si>
  <si>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</si>
  <si>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</si>
  <si>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</si>
  <si>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</si>
  <si>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</si>
  <si>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</si>
  <si>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</si>
  <si>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</si>
  <si>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</si>
  <si>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</si>
  <si>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</si>
  <si>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</si>
  <si>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</si>
  <si>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</si>
  <si>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</si>
  <si>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</si>
  <si>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</si>
  <si>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</si>
  <si>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</si>
  <si>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</si>
  <si>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</si>
  <si>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</si>
  <si>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</si>
  <si>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</si>
  <si>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</si>
  <si>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</si>
  <si>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</si>
  <si>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</si>
  <si>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</si>
  <si>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</si>
  <si>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</si>
  <si>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</si>
  <si>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</si>
  <si>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</si>
  <si>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</si>
  <si>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</si>
  <si>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</si>
  <si>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</si>
  <si>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</si>
  <si>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</si>
  <si>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</si>
  <si>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</si>
  <si>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</si>
  <si>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</si>
  <si>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</si>
  <si>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</si>
  <si>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</si>
  <si>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</si>
  <si>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</si>
  <si>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</si>
  <si>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</si>
  <si>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</si>
  <si>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</si>
  <si>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</si>
  <si>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</si>
  <si>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</si>
  <si>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</si>
  <si>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</si>
  <si>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</si>
  <si>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</si>
  <si>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</si>
  <si>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</si>
  <si>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</si>
  <si>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</si>
  <si>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</si>
  <si>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</si>
  <si>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</si>
  <si>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</si>
  <si>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</si>
  <si>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</si>
  <si>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</si>
  <si>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</si>
  <si>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</si>
  <si>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</si>
  <si>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</si>
  <si>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</si>
  <si>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</si>
  <si>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</si>
  <si>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</si>
  <si>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</si>
  <si>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</si>
  <si>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</si>
  <si>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</si>
  <si>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</si>
  <si>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</si>
  <si>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</si>
  <si>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</si>
  <si>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</si>
  <si>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</si>
  <si>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</si>
  <si>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</si>
  <si>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</si>
  <si>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</si>
  <si>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</si>
  <si>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</si>
  <si>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</si>
  <si>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</si>
  <si>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</si>
  <si>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</si>
  <si>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</si>
  <si>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</si>
  <si>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</si>
  <si>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</si>
  <si>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</si>
  <si>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</si>
  <si>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</si>
  <si>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</si>
  <si>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</si>
  <si>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</si>
  <si>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</si>
  <si>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</si>
  <si>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</si>
  <si>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</si>
  <si>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</si>
  <si>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</si>
  <si>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</si>
  <si>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</si>
  <si>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</si>
  <si>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</si>
  <si>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</si>
  <si>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</si>
  <si>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</si>
  <si>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</si>
  <si>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</si>
  <si>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</si>
  <si>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</si>
  <si>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</si>
  <si>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</si>
  <si>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</si>
  <si>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</si>
  <si>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</si>
  <si>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</si>
  <si>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</si>
  <si>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</si>
  <si>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</si>
  <si>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</si>
  <si>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</si>
  <si>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</si>
  <si>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</si>
  <si>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</si>
  <si>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</si>
  <si>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</si>
  <si>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</si>
  <si>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</si>
  <si>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</si>
  <si>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</si>
  <si>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</si>
  <si>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</si>
  <si>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</si>
  <si>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</si>
  <si>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</si>
  <si>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</si>
  <si>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</si>
  <si>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</si>
  <si>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</si>
  <si>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</si>
  <si>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</si>
  <si>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</si>
  <si>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</si>
  <si>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</si>
  <si>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</si>
  <si>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</si>
  <si>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</si>
  <si>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</si>
  <si>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</si>
  <si>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</si>
  <si>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</si>
  <si>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</si>
  <si>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</si>
  <si>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</si>
  <si>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</si>
  <si>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</si>
  <si>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</si>
  <si>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</si>
  <si>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</si>
  <si>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</si>
  <si>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</si>
  <si>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</si>
  <si>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</si>
  <si>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</si>
  <si>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</si>
  <si>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</si>
  <si>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</si>
  <si>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</si>
  <si>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</si>
  <si>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</si>
  <si>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</si>
  <si>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</si>
  <si>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</si>
  <si>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</si>
  <si>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</si>
  <si>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</si>
  <si>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</si>
  <si>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</si>
  <si>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</si>
  <si>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</si>
  <si>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</si>
  <si>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</si>
  <si>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</si>
  <si>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</si>
  <si>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</si>
  <si>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</si>
  <si>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</si>
  <si>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</si>
  <si>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</si>
  <si>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</si>
  <si>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</si>
  <si>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</si>
  <si>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</si>
  <si>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</si>
  <si>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</si>
  <si>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</si>
  <si>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</si>
  <si>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</si>
  <si>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</si>
  <si>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</si>
  <si>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</si>
  <si>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</si>
  <si>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</si>
  <si>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</si>
  <si>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</si>
  <si>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</si>
  <si>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</si>
  <si>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</si>
  <si>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</si>
  <si>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</si>
  <si>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</si>
  <si>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</si>
  <si>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</si>
  <si>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</si>
  <si>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</si>
  <si>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</si>
  <si>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</si>
  <si>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</si>
  <si>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</si>
  <si>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</si>
  <si>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</si>
  <si>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</si>
  <si>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</si>
  <si>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</si>
  <si>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</si>
  <si>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</si>
  <si>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</si>
  <si>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</si>
  <si>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</si>
  <si>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</si>
  <si>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</si>
  <si>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</si>
  <si>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</si>
  <si>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</si>
  <si>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</si>
  <si>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</si>
  <si>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</si>
  <si>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</si>
  <si>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</si>
  <si>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</si>
  <si>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</si>
  <si>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</si>
  <si>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</si>
  <si>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</si>
  <si>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</si>
  <si>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</si>
  <si>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</si>
  <si>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</si>
  <si>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</si>
  <si>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</si>
  <si>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</si>
  <si>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</si>
  <si>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</si>
  <si>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</si>
  <si>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</si>
  <si>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</si>
  <si>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</si>
  <si>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</si>
  <si>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</si>
  <si>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</si>
  <si>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</si>
  <si>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</si>
  <si>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</si>
  <si>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</si>
  <si>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</si>
  <si>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</si>
  <si>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</si>
  <si>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</si>
  <si>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</si>
  <si>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</si>
  <si>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</si>
  <si>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</si>
  <si>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</si>
  <si>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</si>
  <si>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</si>
  <si>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</si>
  <si>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</si>
  <si>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</si>
  <si>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</si>
  <si>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</si>
  <si>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</si>
  <si>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</si>
  <si>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</si>
  <si>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</si>
  <si>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</si>
  <si>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</si>
  <si>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</si>
  <si>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</si>
  <si>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</si>
  <si>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</si>
  <si>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</si>
  <si>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</si>
  <si>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</si>
  <si>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</si>
  <si>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</si>
  <si>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</si>
  <si>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</si>
  <si>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</si>
  <si>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</si>
  <si>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</si>
  <si>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</si>
  <si>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</si>
  <si>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</si>
  <si>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</si>
  <si>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</si>
  <si>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</si>
  <si>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</si>
  <si>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</si>
  <si>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</si>
  <si>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</si>
  <si>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</si>
  <si>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</si>
  <si>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</si>
  <si>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</si>
  <si>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</si>
  <si>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</si>
  <si>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</si>
  <si>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</si>
  <si>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</si>
  <si>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</si>
  <si>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</si>
  <si>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</si>
  <si>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</si>
  <si>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</si>
  <si>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</si>
  <si>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</si>
  <si>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</si>
  <si>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</si>
  <si>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</si>
  <si>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</si>
  <si>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</si>
  <si>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</si>
  <si>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</si>
  <si>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</si>
  <si>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</si>
  <si>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</si>
  <si>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</si>
  <si>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</si>
  <si>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</si>
  <si>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</si>
  <si>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</si>
  <si>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</si>
  <si>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</si>
  <si>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</si>
  <si>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</si>
  <si>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</si>
  <si>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</si>
  <si>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</si>
  <si>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</si>
  <si>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</si>
  <si>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</si>
  <si>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</si>
  <si>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</si>
  <si>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</si>
  <si>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</si>
  <si>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</si>
  <si>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</si>
  <si>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</si>
  <si>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</si>
  <si>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</si>
  <si>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</si>
  <si>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</si>
  <si>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</si>
  <si>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</si>
  <si>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</si>
  <si>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</si>
  <si>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</si>
  <si>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</si>
  <si>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</si>
  <si>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</si>
  <si>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</si>
  <si>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</si>
  <si>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</si>
  <si>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</si>
  <si>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</si>
  <si>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</si>
  <si>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</si>
  <si>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</si>
  <si>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</si>
  <si>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</si>
  <si>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</si>
  <si>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</si>
  <si>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</si>
  <si>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</si>
  <si>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</si>
  <si>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</si>
  <si>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</si>
  <si>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</si>
  <si>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</si>
  <si>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</si>
  <si>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</si>
  <si>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</si>
  <si>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</si>
  <si>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</si>
  <si>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</si>
  <si>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</si>
  <si>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</si>
  <si>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</si>
  <si>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</si>
  <si>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</si>
  <si>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</si>
  <si>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</si>
  <si>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</si>
  <si>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</si>
  <si>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</si>
  <si>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</si>
  <si>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</si>
  <si>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</si>
  <si>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</si>
  <si>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</si>
  <si>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</si>
  <si>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</si>
  <si>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</si>
  <si>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</si>
  <si>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</si>
  <si>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</si>
  <si>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</si>
  <si>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</si>
  <si>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</si>
  <si>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</si>
  <si>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</si>
  <si>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</si>
  <si>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</si>
  <si>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</si>
  <si>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</si>
  <si>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</si>
  <si>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</si>
  <si>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</si>
  <si>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</si>
  <si>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</si>
  <si>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</si>
  <si>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</si>
  <si>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</si>
  <si>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</si>
  <si>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</si>
  <si>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</si>
  <si>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</si>
  <si>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</si>
  <si>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</si>
  <si>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</si>
  <si>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</si>
  <si>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</si>
  <si>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</si>
  <si>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</si>
  <si>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</si>
  <si>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</si>
  <si>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</si>
  <si>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</si>
  <si>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</si>
  <si>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</si>
  <si>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</si>
  <si>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</si>
  <si>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</si>
  <si>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</si>
  <si>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</si>
  <si>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</si>
  <si>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</si>
  <si>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</si>
  <si>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</si>
  <si>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</si>
  <si>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</si>
  <si>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</si>
  <si>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</si>
  <si>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</si>
  <si>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</si>
  <si>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</si>
  <si>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</si>
  <si>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</si>
  <si>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</si>
  <si>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</si>
  <si>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</si>
  <si>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</si>
  <si>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</si>
  <si>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</si>
  <si>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</si>
  <si>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</si>
  <si>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</si>
  <si>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</si>
  <si>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</si>
  <si>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</si>
  <si>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</si>
  <si>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</si>
  <si>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</si>
  <si>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</si>
  <si>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</si>
  <si>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</si>
  <si>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</si>
  <si>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</si>
  <si>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</si>
  <si>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</si>
  <si>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</si>
  <si>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</si>
  <si>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</si>
  <si>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</si>
  <si>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</si>
  <si>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</si>
  <si>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</si>
  <si>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</si>
  <si>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</si>
  <si>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</si>
  <si>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</si>
  <si>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</si>
  <si>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</si>
  <si>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</si>
  <si>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</si>
  <si>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</si>
  <si>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</si>
  <si>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</si>
  <si>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</si>
  <si>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</si>
  <si>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</si>
  <si>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</si>
  <si>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</si>
  <si>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</si>
  <si>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</si>
  <si>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</si>
  <si>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</si>
  <si>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</si>
  <si>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</si>
  <si>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</si>
  <si>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</si>
  <si>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</si>
  <si>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</si>
  <si>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</si>
  <si>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</si>
  <si>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</si>
  <si>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</si>
  <si>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</si>
  <si>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</si>
  <si>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</si>
  <si>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</si>
  <si>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</si>
  <si>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</si>
  <si>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</si>
  <si>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</si>
  <si>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</si>
  <si>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</si>
  <si>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</si>
  <si>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</si>
  <si>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</si>
  <si>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</si>
  <si>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</si>
  <si>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</si>
  <si>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</si>
  <si>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</si>
  <si>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</si>
  <si>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</si>
  <si>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</si>
  <si>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</si>
  <si>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</si>
  <si>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</si>
  <si>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</si>
  <si>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</si>
  <si>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</si>
  <si>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</si>
  <si>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</si>
  <si>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</si>
  <si>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</si>
  <si>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</si>
  <si>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</si>
  <si>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</si>
  <si>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</si>
  <si>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</si>
  <si>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</si>
  <si>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</si>
  <si>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</si>
  <si>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</si>
  <si>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</si>
  <si>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</si>
  <si>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</si>
  <si>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</si>
  <si>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</si>
  <si>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</si>
  <si>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</si>
  <si>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</si>
  <si>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</si>
  <si>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</si>
  <si>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</si>
  <si>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</si>
  <si>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</si>
  <si>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</si>
  <si>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</si>
  <si>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</si>
  <si>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</si>
  <si>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</si>
  <si>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</si>
  <si>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</si>
  <si>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</si>
  <si>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</si>
  <si>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</si>
  <si>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</si>
  <si>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</si>
  <si>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</si>
  <si>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</si>
  <si>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</si>
  <si>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</si>
  <si>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</si>
  <si>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</si>
  <si>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</si>
  <si>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</si>
  <si>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</si>
  <si>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</si>
  <si>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</si>
  <si>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</si>
  <si>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</si>
  <si>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</si>
  <si>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</si>
  <si>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</si>
  <si>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</si>
  <si>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</si>
  <si>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</si>
  <si>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</si>
  <si>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</si>
  <si>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</si>
  <si>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</si>
  <si>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</si>
  <si>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</si>
  <si>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</si>
  <si>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</si>
  <si>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</si>
  <si>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</si>
  <si>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</si>
  <si>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</si>
  <si>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</si>
  <si>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</si>
  <si>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</si>
  <si>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</si>
  <si>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</si>
  <si>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</si>
  <si>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</si>
  <si>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</si>
  <si>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</si>
  <si>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</si>
  <si>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</si>
  <si>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</si>
  <si>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</si>
  <si>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</si>
  <si>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</si>
  <si>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</si>
  <si>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</si>
  <si>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</si>
  <si>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</si>
  <si>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</si>
  <si>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</si>
  <si>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</si>
  <si>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</si>
  <si>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</si>
  <si>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</si>
  <si>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</si>
  <si>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</si>
  <si>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</si>
  <si>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</si>
  <si>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</si>
  <si>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</si>
  <si>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</si>
  <si>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</si>
  <si>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</si>
  <si>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</si>
  <si>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</si>
  <si>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</si>
  <si>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</si>
  <si>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</si>
  <si>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</si>
  <si>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</si>
  <si>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</si>
  <si>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</si>
  <si>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</si>
  <si>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</si>
  <si>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</si>
  <si>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</si>
  <si>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</si>
  <si>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</si>
  <si>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</si>
  <si>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</si>
  <si>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</si>
  <si>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</si>
  <si>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</si>
  <si>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</si>
  <si>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</si>
  <si>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</si>
  <si>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</si>
  <si>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</si>
  <si>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</si>
  <si>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</si>
  <si>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</si>
  <si>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</si>
  <si>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</si>
  <si>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</si>
  <si>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</si>
  <si>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</si>
  <si>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</si>
  <si>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</si>
  <si>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</si>
  <si>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</si>
  <si>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</si>
  <si>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</si>
  <si>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</si>
  <si>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</si>
  <si>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</si>
  <si>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</si>
  <si>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</si>
  <si>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</si>
  <si>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</si>
  <si>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</si>
  <si>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</si>
  <si>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</si>
  <si>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</si>
  <si>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</si>
  <si>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</si>
  <si>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</si>
  <si>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</si>
  <si>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</si>
  <si>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</si>
  <si>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</si>
  <si>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</si>
  <si>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</si>
  <si>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</si>
  <si>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</si>
  <si>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</si>
  <si>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</si>
  <si>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</si>
  <si>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</si>
  <si>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</si>
  <si>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</si>
  <si>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</si>
  <si>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</si>
  <si>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</si>
  <si>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</si>
  <si>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</si>
  <si>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</si>
  <si>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</si>
  <si>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</si>
  <si>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</si>
  <si>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</si>
  <si>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</si>
  <si>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</si>
  <si>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</si>
  <si>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</si>
  <si>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</si>
  <si>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</si>
  <si>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</si>
  <si>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</si>
  <si>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</si>
  <si>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</si>
  <si>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</si>
  <si>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</si>
  <si>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</si>
  <si>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</si>
  <si>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</si>
  <si>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</si>
  <si>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</si>
  <si>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</si>
  <si>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</si>
  <si>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</si>
  <si>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</si>
  <si>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</si>
  <si>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</si>
  <si>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</si>
  <si>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</si>
  <si>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</si>
  <si>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</si>
  <si>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</si>
  <si>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</si>
  <si>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</si>
  <si>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</si>
  <si>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</si>
  <si>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</si>
  <si>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</si>
  <si>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</si>
  <si>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</si>
  <si>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</si>
  <si>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</si>
  <si>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</si>
  <si>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</si>
  <si>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</si>
  <si>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</si>
  <si>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</si>
  <si>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</si>
  <si>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</si>
  <si>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</si>
  <si>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</si>
  <si>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</si>
  <si>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</si>
  <si>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</si>
  <si>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</si>
  <si>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</si>
  <si>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</si>
  <si>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</si>
  <si>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</si>
  <si>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</si>
  <si>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</si>
  <si>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</si>
  <si>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</si>
  <si>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</si>
  <si>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</si>
  <si>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</si>
  <si>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</si>
  <si>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</si>
  <si>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</si>
  <si>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</si>
  <si>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</si>
  <si>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</si>
  <si>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</si>
  <si>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</si>
  <si>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</si>
  <si>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</si>
  <si>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</si>
  <si>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</si>
  <si>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</si>
  <si>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</si>
  <si>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</si>
  <si>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</si>
  <si>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</si>
  <si>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</si>
  <si>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</si>
  <si>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</si>
  <si>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</si>
  <si>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</si>
  <si>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</si>
  <si>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</si>
  <si>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</si>
  <si>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</si>
  <si>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</si>
  <si>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</si>
  <si>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</si>
  <si>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</si>
  <si>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</si>
  <si>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</si>
  <si>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</si>
  <si>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</si>
  <si>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</si>
  <si>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</si>
  <si>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</si>
  <si>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</si>
  <si>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</si>
  <si>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</si>
  <si>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</si>
  <si>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</si>
  <si>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</si>
  <si>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</si>
  <si>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</si>
  <si>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</si>
  <si>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</si>
  <si>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</si>
  <si>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</si>
  <si>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</si>
  <si>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</si>
  <si>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</si>
  <si>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</si>
  <si>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</si>
  <si>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</si>
  <si>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</si>
  <si>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</si>
  <si>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</si>
  <si>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</si>
  <si>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</si>
  <si>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</si>
  <si>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</si>
  <si>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</si>
  <si>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</si>
  <si>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</si>
  <si>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</si>
  <si>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</si>
  <si>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</si>
  <si>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</si>
  <si>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</si>
  <si>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</si>
  <si>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</si>
  <si>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</si>
  <si>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</si>
  <si>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</si>
  <si>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</si>
  <si>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</si>
  <si>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</si>
  <si>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</si>
  <si>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</si>
  <si>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</si>
  <si>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</si>
  <si>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</si>
  <si>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</si>
  <si>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</si>
  <si>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</si>
  <si>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</si>
  <si>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</si>
  <si>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</si>
  <si>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</si>
  <si>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</si>
  <si>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</si>
  <si>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</si>
  <si>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</si>
  <si>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</si>
  <si>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</si>
  <si>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</si>
  <si>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</si>
  <si>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</si>
  <si>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</si>
  <si>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</si>
  <si>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</si>
  <si>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</si>
  <si>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</si>
  <si>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</si>
  <si>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</si>
  <si>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</si>
  <si>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</si>
  <si>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</si>
  <si>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</si>
  <si>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</si>
  <si>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</si>
  <si>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</si>
  <si>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</si>
  <si>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</si>
  <si>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</si>
  <si>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</si>
  <si>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</si>
  <si>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</si>
  <si>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</si>
  <si>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</si>
  <si>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</si>
  <si>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</si>
  <si>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</si>
  <si>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</si>
  <si>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</si>
  <si>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</si>
  <si>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</si>
  <si>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</si>
  <si>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</si>
  <si>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</si>
  <si>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</si>
  <si>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</si>
  <si>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</si>
  <si>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</si>
  <si>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</si>
  <si>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</si>
  <si>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</si>
  <si>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</si>
  <si>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</si>
  <si>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</si>
  <si>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</si>
  <si>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</si>
  <si>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</si>
  <si>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</si>
  <si>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</si>
  <si>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</si>
  <si>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</si>
  <si>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</si>
  <si>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</si>
  <si>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</si>
  <si>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</si>
  <si>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</si>
  <si>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</si>
  <si>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</si>
  <si>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</si>
  <si>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</si>
  <si>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</si>
  <si>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</si>
  <si>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</si>
  <si>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</si>
  <si>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</si>
  <si>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</si>
  <si>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</si>
  <si>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</si>
  <si>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</si>
  <si>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</si>
  <si>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</si>
  <si>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</si>
  <si>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</si>
  <si>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</si>
  <si>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</si>
  <si>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</si>
  <si>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</si>
  <si>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</si>
  <si>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</si>
  <si>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</si>
  <si>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</si>
  <si>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</si>
  <si>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</si>
  <si>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</si>
  <si>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</si>
  <si>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</si>
  <si>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</si>
  <si>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</si>
  <si>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</si>
  <si>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</si>
  <si>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</si>
  <si>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</si>
  <si>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</si>
  <si>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</si>
  <si>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</si>
  <si>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</si>
  <si>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</si>
  <si>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</si>
  <si>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</si>
  <si>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</si>
  <si>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</si>
  <si>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</si>
  <si>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</si>
  <si>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</si>
  <si>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</si>
  <si>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</si>
  <si>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</si>
  <si>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</si>
  <si>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</si>
  <si>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</si>
  <si>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</si>
  <si>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</si>
  <si>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</si>
  <si>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</si>
  <si>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</si>
  <si>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</si>
  <si>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</si>
  <si>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</si>
  <si>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</si>
  <si>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</si>
  <si>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</si>
  <si>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</si>
  <si>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</si>
  <si>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</si>
  <si>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</si>
  <si>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</si>
  <si>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</si>
  <si>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</si>
  <si>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</si>
  <si>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</si>
  <si>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</si>
  <si>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</si>
  <si>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</si>
  <si>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</si>
  <si>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</si>
  <si>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</si>
  <si>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</si>
  <si>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</si>
  <si>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</si>
  <si>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</si>
  <si>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</si>
  <si>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</si>
  <si>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</si>
  <si>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</si>
  <si>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</si>
  <si>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</si>
  <si>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</si>
  <si>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</si>
  <si>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</si>
  <si>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</si>
  <si>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</si>
  <si>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</si>
  <si>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</si>
  <si>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</si>
  <si>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</si>
  <si>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</si>
  <si>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</si>
  <si>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</si>
  <si>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</si>
  <si>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</si>
  <si>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</si>
  <si>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</si>
  <si>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</si>
  <si>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</si>
  <si>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</si>
  <si>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</si>
  <si>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</si>
  <si>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</si>
  <si>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</si>
  <si>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</si>
  <si>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</si>
  <si>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</si>
  <si>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</si>
  <si>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</si>
  <si>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</si>
  <si>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</si>
  <si>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</si>
  <si>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</si>
  <si>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</si>
  <si>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</si>
  <si>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</si>
  <si>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</si>
  <si>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</si>
  <si>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</si>
  <si>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</si>
  <si>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</si>
  <si>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</si>
  <si>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</si>
  <si>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</si>
  <si>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</si>
  <si>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</si>
  <si>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</si>
  <si>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</si>
  <si>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</si>
  <si>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</si>
  <si>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</si>
  <si>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</si>
  <si>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</si>
  <si>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</si>
  <si>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</si>
  <si>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</si>
  <si>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</si>
  <si>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</si>
  <si>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</si>
  <si>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</si>
  <si>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</si>
  <si>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</si>
  <si>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</si>
  <si>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</si>
  <si>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</si>
  <si>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</si>
  <si>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</si>
  <si>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</si>
  <si>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</si>
  <si>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</si>
  <si>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</si>
  <si>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</si>
  <si>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</si>
  <si>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</si>
  <si>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</si>
  <si>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</si>
  <si>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</si>
  <si>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</si>
  <si>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</si>
  <si>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</si>
  <si>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</si>
  <si>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</si>
  <si>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</si>
  <si>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</si>
  <si>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</si>
  <si>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</si>
  <si>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</si>
  <si>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</si>
  <si>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</si>
  <si>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</si>
  <si>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</si>
  <si>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</si>
  <si>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</si>
  <si>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</si>
  <si>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</si>
  <si>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</si>
  <si>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</si>
  <si>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</si>
  <si>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</si>
  <si>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</si>
  <si>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</si>
  <si>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</si>
  <si>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</si>
  <si>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</si>
  <si>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</si>
  <si>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</si>
  <si>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</si>
  <si>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</si>
  <si>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</si>
  <si>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</si>
  <si>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</si>
  <si>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</si>
  <si>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</si>
  <si>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</si>
  <si>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</si>
  <si>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</si>
  <si>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</si>
  <si>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</si>
  <si>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</si>
  <si>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</si>
  <si>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</si>
  <si>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</si>
  <si>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</si>
  <si>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</si>
  <si>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</si>
  <si>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</si>
  <si>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</si>
  <si>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</si>
  <si>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</si>
  <si>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</si>
  <si>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</si>
  <si>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</si>
  <si>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</si>
  <si>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</si>
  <si>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</si>
  <si>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</si>
  <si>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</si>
  <si>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</si>
  <si>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</si>
  <si>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</si>
  <si>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</si>
  <si>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</si>
  <si>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</si>
  <si>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</si>
  <si>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</si>
  <si>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</si>
  <si>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</si>
  <si>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</si>
  <si>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</si>
  <si>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</si>
  <si>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</si>
  <si>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</si>
  <si>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</si>
  <si>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</si>
  <si>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</si>
  <si>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</si>
  <si>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</si>
  <si>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</si>
  <si>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</si>
  <si>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</si>
  <si>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</si>
  <si>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</si>
  <si>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</si>
  <si>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</si>
  <si>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</si>
  <si>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</si>
  <si>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</si>
  <si>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</si>
  <si>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</si>
  <si>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</si>
  <si>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</si>
  <si>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</si>
  <si>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</si>
  <si>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</si>
  <si>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</si>
  <si>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</si>
  <si>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</si>
  <si>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</si>
  <si>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</si>
  <si>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</si>
  <si>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</si>
  <si>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</si>
  <si>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</si>
  <si>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</si>
  <si>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</si>
  <si>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</si>
  <si>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</si>
  <si>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</si>
  <si>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</si>
  <si>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</si>
  <si>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</si>
  <si>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</si>
  <si>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</si>
  <si>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</si>
  <si>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</si>
  <si>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</si>
  <si>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</si>
  <si>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</si>
  <si>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</si>
  <si>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</si>
  <si>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</si>
  <si>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</si>
  <si>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</si>
  <si>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</si>
  <si>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</si>
  <si>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</si>
  <si>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</si>
  <si>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</si>
  <si>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</si>
  <si>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</si>
  <si>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</si>
  <si>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</si>
  <si>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</si>
  <si>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</si>
  <si>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</si>
  <si>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</si>
  <si>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</si>
  <si>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</si>
  <si>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</si>
  <si>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</si>
  <si>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</si>
  <si>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</si>
  <si>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</si>
  <si>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</si>
  <si>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</si>
  <si>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</si>
  <si>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</si>
  <si>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</si>
  <si>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</si>
  <si>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</si>
  <si>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</si>
  <si>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</si>
  <si>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</si>
  <si>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</si>
  <si>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</si>
  <si>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</si>
  <si>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</si>
  <si>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</si>
  <si>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</si>
  <si>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</si>
  <si>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</si>
  <si>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</si>
  <si>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</si>
  <si>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</si>
  <si>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</si>
  <si>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</si>
  <si>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</si>
  <si>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</si>
  <si>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</si>
  <si>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</si>
  <si>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</si>
  <si>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</si>
  <si>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</si>
  <si>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</si>
  <si>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</si>
  <si>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</si>
  <si>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</si>
  <si>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</si>
  <si>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</si>
  <si>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</si>
  <si>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</si>
  <si>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</si>
  <si>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</si>
  <si>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</si>
  <si>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</si>
  <si>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</si>
  <si>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</si>
  <si>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</si>
  <si>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</si>
  <si>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</si>
  <si>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</si>
  <si>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</si>
  <si>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</si>
  <si>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</si>
  <si>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</si>
  <si>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</si>
  <si>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</si>
  <si>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</si>
  <si>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</si>
  <si>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</si>
  <si>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</si>
  <si>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</si>
  <si>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</si>
  <si>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</si>
  <si>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</si>
  <si>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</si>
  <si>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</si>
  <si>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</si>
  <si>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</si>
  <si>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</si>
  <si>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</si>
  <si>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</si>
  <si>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</si>
  <si>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</si>
  <si>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</si>
  <si>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</si>
  <si>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</si>
  <si>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</si>
  <si>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</si>
  <si>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</si>
  <si>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</si>
  <si>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</si>
  <si>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</si>
  <si>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</si>
  <si>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</si>
  <si>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</si>
  <si>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</si>
  <si>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</si>
  <si>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</si>
  <si>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</si>
  <si>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</si>
  <si>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</si>
  <si>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</si>
  <si>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</si>
  <si>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</si>
  <si>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</si>
  <si>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</si>
  <si>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</si>
  <si>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</si>
  <si>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</si>
  <si>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</si>
  <si>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</si>
  <si>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</si>
  <si>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</si>
  <si>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</si>
  <si>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</si>
  <si>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</si>
  <si>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</si>
  <si>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</si>
  <si>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</si>
  <si>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</si>
  <si>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</si>
  <si>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</si>
  <si>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</si>
  <si>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</si>
  <si>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</si>
  <si>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</si>
  <si>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</si>
  <si>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</si>
  <si>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</si>
  <si>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</si>
  <si>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</si>
  <si>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</si>
  <si>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</si>
  <si>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</si>
  <si>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</si>
  <si>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</si>
  <si>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</si>
  <si>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</si>
  <si>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</si>
  <si>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</si>
  <si>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</si>
  <si>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</si>
  <si>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</si>
  <si>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</si>
  <si>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</si>
  <si>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</si>
  <si>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</si>
  <si>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</si>
  <si>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</si>
  <si>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</si>
  <si>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</si>
  <si>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</si>
  <si>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</si>
  <si>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</si>
  <si>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</si>
  <si>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</si>
  <si>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</si>
  <si>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</si>
  <si>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</si>
  <si>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</si>
  <si>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</si>
  <si>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</si>
  <si>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</si>
  <si>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</si>
  <si>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</si>
  <si>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</si>
  <si>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</si>
  <si>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</si>
  <si>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</si>
  <si>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</si>
  <si>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</si>
  <si>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</si>
  <si>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</si>
  <si>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</si>
  <si>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</si>
  <si>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</si>
  <si>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</si>
  <si>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</si>
  <si>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</si>
  <si>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</si>
  <si>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</si>
  <si>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</si>
  <si>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</si>
  <si>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</si>
  <si>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</si>
  <si>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</si>
  <si>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</si>
  <si>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</si>
  <si>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</si>
  <si>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</si>
  <si>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</si>
  <si>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</si>
  <si>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</si>
  <si>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</si>
  <si>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</si>
  <si>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</si>
  <si>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</si>
  <si>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</si>
  <si>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</si>
  <si>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</si>
  <si>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</si>
  <si>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</si>
  <si>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</si>
  <si>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</si>
  <si>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</si>
  <si>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</si>
  <si>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</si>
  <si>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</si>
  <si>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</si>
  <si>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</si>
  <si>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</si>
  <si>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</si>
  <si>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</si>
  <si>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</si>
  <si>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</si>
  <si>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</si>
  <si>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</si>
  <si>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</si>
  <si>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</si>
  <si>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</si>
  <si>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</si>
  <si>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</si>
  <si>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</si>
  <si>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</si>
  <si>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</si>
  <si>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</si>
  <si>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</si>
  <si>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</si>
  <si>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</si>
  <si>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</si>
  <si>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</si>
  <si>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</si>
  <si>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</si>
  <si>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</si>
  <si>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</si>
  <si>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</si>
  <si>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</si>
  <si>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</si>
  <si>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</si>
  <si>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</si>
  <si>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</si>
  <si>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</si>
  <si>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</si>
  <si>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</si>
  <si>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</si>
  <si>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</si>
  <si>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</si>
  <si>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</si>
  <si>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</si>
  <si>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</si>
  <si>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</si>
  <si>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</si>
  <si>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</si>
  <si>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</si>
  <si>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</si>
  <si>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</si>
  <si>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</si>
  <si>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</si>
  <si>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</si>
  <si>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</si>
  <si>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</si>
  <si>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</si>
  <si>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</si>
  <si>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</si>
  <si>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</si>
  <si>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</si>
  <si>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</si>
  <si>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</si>
  <si>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</si>
  <si>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</si>
  <si>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</si>
  <si>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</si>
  <si>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</si>
  <si>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</si>
  <si>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</si>
  <si>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</si>
  <si>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</si>
  <si>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</si>
  <si>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</si>
  <si>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</si>
  <si>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</si>
  <si>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</si>
  <si>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</si>
  <si>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</si>
  <si>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</si>
  <si>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</si>
  <si>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</si>
  <si>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</si>
  <si>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</si>
  <si>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</si>
  <si>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</si>
  <si>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</si>
  <si>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</si>
  <si>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</si>
  <si>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</si>
  <si>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</si>
  <si>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</si>
  <si>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</si>
  <si>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</si>
  <si>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</si>
  <si>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</si>
  <si>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</si>
  <si>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</si>
  <si>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</si>
  <si>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</si>
  <si>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</si>
  <si>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</si>
  <si>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</si>
  <si>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</si>
  <si>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</si>
  <si>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</si>
  <si>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</si>
  <si>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</si>
  <si>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</si>
  <si>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</si>
  <si>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</si>
  <si>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</si>
  <si>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</si>
  <si>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</si>
  <si>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</si>
  <si>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</si>
  <si>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</si>
  <si>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</si>
  <si>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</si>
  <si>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</si>
  <si>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</si>
  <si>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</si>
  <si>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</si>
  <si>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</si>
  <si>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</si>
  <si>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</si>
  <si>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</si>
  <si>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</si>
  <si>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</si>
  <si>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</si>
  <si>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</si>
  <si>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</si>
  <si>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</si>
  <si>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</si>
  <si>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</si>
  <si>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</si>
  <si>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</si>
  <si>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</si>
  <si>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</si>
  <si>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</si>
  <si>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</si>
  <si>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</si>
  <si>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</si>
  <si>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</si>
  <si>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</si>
  <si>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</si>
  <si>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</si>
  <si>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</si>
  <si>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</si>
  <si>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</si>
  <si>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</si>
  <si>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</si>
  <si>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</si>
  <si>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</si>
  <si>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</si>
  <si>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</si>
  <si>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</si>
  <si>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</si>
  <si>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</si>
  <si>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</si>
  <si>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</si>
  <si>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</si>
  <si>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</si>
  <si>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</si>
  <si>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</si>
  <si>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</si>
  <si>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</si>
  <si>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</si>
  <si>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</si>
  <si>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</si>
  <si>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</si>
  <si>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</si>
  <si>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</si>
  <si>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</si>
  <si>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</si>
  <si>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</si>
  <si>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</si>
  <si>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</si>
  <si>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</si>
  <si>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</si>
  <si>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</si>
  <si>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</si>
  <si>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</si>
  <si>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</si>
  <si>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</si>
  <si>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</si>
  <si>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</si>
  <si>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</si>
  <si>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</si>
  <si>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</si>
  <si>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</si>
  <si>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</si>
  <si>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</si>
  <si>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</si>
  <si>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</si>
  <si>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</si>
  <si>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</si>
  <si>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</si>
  <si>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</si>
  <si>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</si>
  <si>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</si>
  <si>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</si>
  <si>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</si>
  <si>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</si>
  <si>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</si>
  <si>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</si>
  <si>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</si>
  <si>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</si>
  <si>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</si>
  <si>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</si>
  <si>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</si>
  <si>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</si>
  <si>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</si>
  <si>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</si>
  <si>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</si>
  <si>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</si>
  <si>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</si>
  <si>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</si>
  <si>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</si>
  <si>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</si>
  <si>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</si>
  <si>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</si>
  <si>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</si>
  <si>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</si>
  <si>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</si>
  <si>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</si>
  <si>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</si>
  <si>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</si>
  <si>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</si>
  <si>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</si>
  <si>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</si>
  <si>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</si>
  <si>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</si>
  <si>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</si>
  <si>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</si>
  <si>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</si>
  <si>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</si>
  <si>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</si>
  <si>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</si>
  <si>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</si>
  <si>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</si>
  <si>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</si>
  <si>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</si>
  <si>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</si>
  <si>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</si>
  <si>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</si>
  <si>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</si>
  <si>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</si>
  <si>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</si>
  <si>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</si>
  <si>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</si>
  <si>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</si>
  <si>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</si>
  <si>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</si>
  <si>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</si>
  <si>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</si>
  <si>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</si>
  <si>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</si>
  <si>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</si>
  <si>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</si>
  <si>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</si>
  <si>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</si>
  <si>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</si>
  <si>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</si>
  <si>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</si>
  <si>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</si>
  <si>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</si>
  <si>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</si>
  <si>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</si>
  <si>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</si>
  <si>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</si>
  <si>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</si>
  <si>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</si>
  <si>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</si>
  <si>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</si>
  <si>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</si>
  <si>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</si>
  <si>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</si>
  <si>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</si>
  <si>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</si>
  <si>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</si>
  <si>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</si>
  <si>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</si>
  <si>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</si>
  <si>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</si>
  <si>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</si>
  <si>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</si>
  <si>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</si>
  <si>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</si>
  <si>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</si>
  <si>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</si>
  <si>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</si>
  <si>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</si>
  <si>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</si>
  <si>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</si>
  <si>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</si>
  <si>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</si>
  <si>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</si>
  <si>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</si>
  <si>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</si>
  <si>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</si>
  <si>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</si>
  <si>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</si>
  <si>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</si>
  <si>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</si>
  <si>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</si>
  <si>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</si>
  <si>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</si>
  <si>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</si>
  <si>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</si>
  <si>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</si>
  <si>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</si>
  <si>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</si>
  <si>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</si>
  <si>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</si>
  <si>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</si>
  <si>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</si>
  <si>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</si>
  <si>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</si>
  <si>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</si>
  <si>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</si>
  <si>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</si>
  <si>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</si>
  <si>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</si>
  <si>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</si>
  <si>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</si>
  <si>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</si>
  <si>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</si>
  <si>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</si>
  <si>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</si>
  <si>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</si>
  <si>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</si>
  <si>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</si>
  <si>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</si>
  <si>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</si>
  <si>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</si>
  <si>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</si>
  <si>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</si>
  <si>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</si>
  <si>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</si>
  <si>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</si>
  <si>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</si>
  <si>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</si>
  <si>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</si>
  <si>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</si>
  <si>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</si>
  <si>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</si>
  <si>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</si>
  <si>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</si>
  <si>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</si>
  <si>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</si>
  <si>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</si>
  <si>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</si>
  <si>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</si>
  <si>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</si>
  <si>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</si>
  <si>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</si>
  <si>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</si>
  <si>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</si>
  <si>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</si>
  <si>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</si>
  <si>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</si>
  <si>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</si>
  <si>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</si>
  <si>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</si>
  <si>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</si>
  <si>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</si>
  <si>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</si>
  <si>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</si>
  <si>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</si>
  <si>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</si>
  <si>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</si>
  <si>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</si>
  <si>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</si>
  <si>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</si>
  <si>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</si>
  <si>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</si>
  <si>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</si>
  <si>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</si>
  <si>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</si>
  <si>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</si>
  <si>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</si>
  <si>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</si>
  <si>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</si>
  <si>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</si>
  <si>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</si>
  <si>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</si>
  <si>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</si>
  <si>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</si>
  <si>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</si>
  <si>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</si>
  <si>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</si>
  <si>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</si>
  <si>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</si>
  <si>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</si>
  <si>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</si>
  <si>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</si>
  <si>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</si>
  <si>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</si>
  <si>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</si>
  <si>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</si>
  <si>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</si>
  <si>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</si>
  <si>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</si>
  <si>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</si>
  <si>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</si>
  <si>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</si>
  <si>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</si>
  <si>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</si>
  <si>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</si>
  <si>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</si>
  <si>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</si>
  <si>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</si>
  <si>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</si>
  <si>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</si>
  <si>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</si>
  <si>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</si>
  <si>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</si>
  <si>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</si>
  <si>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</si>
  <si>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</si>
  <si>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</si>
  <si>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</si>
  <si>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</si>
  <si>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</si>
  <si>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</si>
  <si>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</si>
  <si>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</si>
  <si>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</si>
  <si>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</si>
  <si>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</si>
  <si>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</si>
  <si>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</si>
  <si>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</si>
  <si>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</si>
  <si>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</si>
  <si>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</si>
  <si>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</si>
  <si>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</si>
  <si>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</si>
  <si>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</si>
  <si>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</si>
  <si>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</si>
  <si>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</si>
  <si>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</si>
  <si>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</si>
  <si>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</si>
  <si>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</si>
  <si>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</si>
  <si>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</si>
  <si>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</si>
  <si>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</si>
  <si>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</si>
  <si>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</si>
  <si>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</si>
  <si>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</si>
  <si>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</si>
  <si>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</si>
  <si>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</si>
  <si>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</si>
  <si>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</si>
  <si>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</si>
  <si>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</si>
  <si>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</si>
  <si>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</si>
  <si>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</si>
  <si>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</si>
  <si>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</si>
  <si>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</si>
  <si>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</si>
  <si>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</si>
  <si>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</si>
  <si>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</si>
  <si>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</si>
  <si>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</si>
  <si>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</si>
  <si>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</si>
  <si>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</si>
  <si>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</si>
  <si>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</si>
  <si>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</si>
  <si>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</si>
  <si>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</si>
  <si>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</si>
  <si>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</si>
  <si>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</si>
  <si>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</si>
  <si>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</si>
  <si>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</si>
  <si>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</si>
  <si>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</si>
  <si>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</si>
  <si>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</si>
  <si>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</si>
  <si>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</si>
  <si>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</si>
  <si>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</si>
  <si>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</si>
  <si>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</si>
  <si>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</si>
  <si>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</si>
  <si>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</si>
  <si>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</si>
  <si>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</si>
  <si>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</si>
  <si>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</si>
  <si>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</si>
  <si>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</si>
  <si>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</si>
  <si>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</si>
  <si>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</si>
  <si>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</si>
  <si>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</si>
  <si>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</si>
  <si>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</si>
  <si>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</si>
  <si>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</si>
  <si>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</si>
  <si>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</si>
  <si>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</si>
  <si>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</si>
  <si>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</si>
  <si>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</si>
  <si>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</si>
  <si>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</si>
  <si>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</si>
  <si>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</si>
  <si>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</si>
  <si>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</si>
  <si>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</si>
  <si>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</si>
  <si>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</si>
  <si>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</si>
  <si>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</si>
  <si>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</si>
  <si>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</si>
  <si>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</si>
  <si>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</si>
  <si>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</si>
  <si>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</si>
  <si>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</si>
  <si>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</si>
  <si>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</si>
  <si>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</si>
  <si>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</si>
  <si>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</si>
  <si>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</si>
  <si>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</si>
  <si>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</si>
  <si>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</si>
  <si>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</si>
  <si>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</si>
  <si>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</si>
  <si>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</si>
  <si>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</si>
  <si>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</si>
  <si>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</si>
  <si>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</si>
  <si>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</si>
  <si>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</si>
  <si>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</si>
  <si>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</si>
  <si>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</si>
  <si>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</si>
  <si>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</si>
  <si>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</si>
  <si>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</si>
  <si>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</si>
  <si>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</si>
  <si>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</si>
  <si>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</si>
  <si>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</si>
  <si>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</si>
  <si>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</si>
  <si>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</si>
  <si>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</si>
  <si>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</si>
  <si>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</si>
  <si>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</si>
  <si>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</si>
  <si>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</si>
  <si>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</si>
  <si>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</si>
  <si>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</si>
  <si>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</si>
  <si>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</si>
  <si>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</si>
  <si>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</si>
  <si>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</si>
  <si>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</si>
  <si>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</si>
  <si>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</si>
  <si>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</si>
  <si>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</si>
  <si>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</si>
  <si>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</si>
  <si>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</si>
  <si>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</si>
  <si>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</si>
  <si>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</si>
  <si>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</si>
  <si>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</si>
  <si>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</si>
  <si>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</si>
  <si>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</si>
  <si>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</si>
  <si>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</si>
  <si>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</si>
  <si>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</si>
  <si>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</si>
  <si>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</si>
  <si>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</si>
  <si>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</si>
  <si>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</si>
  <si>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</si>
  <si>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</si>
  <si>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</si>
  <si>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</si>
  <si>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</si>
  <si>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</si>
  <si>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</si>
  <si>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</si>
  <si>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</si>
  <si>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</si>
  <si>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</si>
  <si>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</si>
  <si>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</si>
  <si>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</si>
  <si>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</si>
  <si>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</si>
  <si>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</si>
  <si>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</si>
  <si>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</si>
  <si>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</si>
  <si>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</si>
  <si>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</si>
  <si>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</si>
  <si>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</si>
  <si>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</si>
  <si>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</si>
  <si>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</si>
  <si>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</si>
  <si>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</si>
  <si>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</si>
  <si>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</si>
  <si>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</si>
  <si>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</si>
  <si>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</si>
  <si>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</si>
  <si>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</si>
  <si>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</si>
  <si>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</si>
  <si>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</si>
  <si>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</si>
  <si>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</si>
  <si>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</si>
  <si>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</si>
  <si>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</si>
  <si>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</si>
  <si>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</si>
  <si>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</si>
  <si>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</si>
  <si>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</si>
  <si>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</si>
  <si>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</si>
  <si>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</si>
  <si>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</si>
  <si>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</si>
  <si>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</si>
  <si>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</si>
  <si>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</si>
  <si>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</si>
  <si>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</si>
  <si>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</si>
  <si>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</si>
  <si>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</si>
  <si>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</si>
  <si>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</si>
  <si>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</si>
  <si>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</si>
  <si>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</si>
  <si>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</si>
  <si>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</si>
  <si>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</si>
  <si>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</si>
  <si>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</si>
  <si>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</si>
  <si>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</si>
  <si>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</si>
  <si>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</si>
  <si>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</si>
  <si>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</si>
  <si>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</si>
  <si>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</si>
  <si>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</si>
  <si>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</si>
  <si>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</si>
  <si>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</si>
  <si>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</si>
  <si>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</si>
  <si>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</si>
  <si>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</si>
  <si>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</si>
  <si>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</si>
  <si>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</si>
  <si>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</si>
  <si>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</si>
  <si>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</si>
  <si>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</si>
  <si>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</si>
  <si>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</si>
  <si>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</si>
  <si>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</si>
  <si>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</si>
  <si>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</si>
  <si>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</si>
  <si>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</si>
  <si>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</si>
  <si>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</si>
  <si>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</si>
  <si>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</si>
  <si>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</si>
  <si>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</si>
  <si>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</si>
  <si>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</si>
  <si>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</si>
  <si>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</si>
  <si>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</si>
  <si>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</si>
  <si>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</si>
  <si>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</si>
  <si>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</si>
  <si>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</si>
  <si>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</si>
  <si>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</si>
  <si>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</si>
  <si>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</si>
  <si>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</si>
  <si>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</si>
  <si>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</si>
  <si>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</si>
  <si>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</si>
  <si>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</si>
  <si>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</si>
  <si>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</si>
  <si>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</si>
  <si>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</si>
  <si>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</si>
  <si>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</si>
  <si>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</si>
  <si>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</si>
  <si>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</si>
  <si>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</si>
  <si>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</si>
  <si>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</si>
  <si>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</si>
  <si>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</si>
  <si>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</si>
  <si>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</si>
  <si>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</si>
  <si>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</si>
  <si>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</si>
  <si>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</si>
  <si>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</si>
  <si>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</si>
  <si>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</si>
  <si>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</si>
  <si>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</si>
  <si>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</si>
  <si>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</si>
  <si>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</si>
  <si>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</si>
  <si>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</si>
  <si>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</si>
  <si>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</si>
  <si>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</si>
  <si>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</si>
  <si>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</si>
  <si>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</si>
  <si>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</si>
  <si>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</si>
  <si>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</si>
  <si>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</si>
  <si>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</si>
  <si>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</si>
  <si>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</si>
  <si>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</si>
  <si>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</si>
  <si>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</si>
  <si>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</si>
  <si>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</si>
  <si>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</si>
  <si>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</si>
  <si>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</si>
  <si>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</si>
  <si>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</si>
  <si>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</si>
  <si>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</si>
  <si>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</si>
  <si>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</si>
  <si>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</si>
  <si>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</si>
  <si>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</si>
  <si>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</si>
  <si>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</si>
  <si>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</si>
  <si>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</si>
  <si>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</si>
  <si>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</si>
  <si>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</si>
  <si>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</si>
  <si>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</si>
  <si>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</si>
  <si>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</si>
  <si>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</si>
  <si>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</si>
  <si>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</si>
  <si>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</si>
  <si>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</si>
  <si>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</si>
  <si>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</si>
  <si>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</si>
  <si>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</si>
  <si>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</si>
  <si>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</si>
  <si>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</si>
  <si>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</si>
  <si>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</si>
  <si>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</si>
  <si>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</si>
  <si>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</si>
  <si>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</si>
  <si>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</si>
  <si>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</si>
  <si>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</si>
  <si>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</si>
  <si>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</si>
  <si>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</si>
  <si>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</si>
  <si>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</si>
  <si>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</si>
  <si>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</si>
  <si>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</si>
  <si>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</si>
  <si>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</si>
  <si>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</si>
  <si>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</si>
  <si>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</si>
  <si>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</si>
  <si>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</si>
  <si>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</si>
  <si>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</si>
  <si>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</si>
  <si>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</si>
  <si>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</si>
  <si>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</si>
  <si>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</si>
  <si>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</si>
  <si>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</si>
  <si>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</si>
  <si>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</si>
  <si>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</si>
  <si>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</si>
  <si>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</si>
  <si>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</si>
  <si>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</si>
  <si>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</si>
  <si>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</si>
  <si>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</si>
  <si>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</si>
  <si>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</si>
  <si>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</si>
  <si>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</si>
  <si>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</si>
  <si>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</si>
  <si>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</si>
  <si>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</si>
  <si>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</si>
  <si>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</si>
  <si>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</si>
  <si>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</si>
  <si>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</si>
  <si>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</si>
  <si>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</si>
  <si>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</si>
  <si>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</si>
  <si>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</si>
  <si>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</si>
  <si>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</si>
  <si>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</si>
  <si>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</si>
  <si>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</si>
  <si>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</si>
  <si>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</si>
  <si>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</si>
  <si>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</si>
  <si>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</si>
  <si>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</si>
  <si>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</si>
  <si>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</si>
  <si>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</si>
  <si>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</si>
  <si>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</si>
  <si>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</si>
  <si>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</si>
  <si>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</si>
  <si>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</si>
  <si>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</si>
  <si>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</si>
  <si>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</si>
  <si>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</si>
  <si>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</si>
  <si>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</si>
  <si>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</si>
  <si>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</si>
  <si>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</si>
  <si>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</si>
  <si>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</si>
  <si>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</si>
  <si>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</si>
  <si>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</si>
  <si>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</si>
  <si>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</si>
  <si>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</si>
  <si>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</si>
  <si>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</si>
  <si>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</si>
  <si>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</si>
  <si>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</si>
  <si>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</si>
  <si>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</si>
  <si>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</si>
  <si>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</si>
  <si>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</si>
  <si>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</si>
  <si>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</si>
  <si>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</si>
  <si>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</si>
  <si>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</si>
  <si>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</si>
  <si>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</si>
  <si>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</si>
  <si>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</si>
  <si>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</si>
  <si>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</si>
  <si>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</si>
  <si>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</si>
  <si>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</si>
  <si>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</si>
  <si>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</si>
  <si>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</si>
  <si>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</si>
  <si>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</si>
  <si>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</si>
  <si>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</si>
  <si>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</si>
  <si>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</si>
  <si>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</si>
  <si>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</si>
  <si>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</si>
  <si>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</si>
  <si>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</si>
  <si>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</si>
  <si>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</si>
  <si>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</si>
  <si>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</si>
  <si>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</si>
  <si>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</si>
  <si>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</si>
  <si>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</si>
  <si>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</si>
  <si>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</si>
  <si>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</si>
  <si>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</si>
  <si>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</si>
  <si>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</si>
  <si>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</si>
  <si>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</si>
  <si>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</si>
  <si>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</si>
  <si>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</si>
  <si>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</si>
  <si>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</si>
  <si>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</si>
  <si>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</si>
  <si>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</si>
  <si>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</si>
  <si>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</si>
  <si>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</si>
  <si>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</si>
  <si>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</si>
  <si>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</si>
  <si>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</si>
  <si>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</si>
  <si>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</si>
  <si>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</si>
  <si>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</si>
  <si>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</si>
  <si>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</si>
  <si>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</si>
  <si>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</si>
  <si>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</si>
  <si>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</si>
  <si>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</si>
  <si>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</si>
  <si>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</si>
  <si>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</si>
  <si>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</si>
  <si>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</si>
  <si>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</si>
  <si>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</si>
  <si>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</si>
  <si>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</si>
  <si>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</si>
  <si>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</si>
  <si>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</si>
  <si>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</si>
  <si>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</si>
  <si>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</si>
  <si>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</si>
  <si>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</si>
  <si>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</si>
  <si>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</si>
  <si>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</si>
  <si>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</si>
  <si>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</si>
  <si>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</si>
  <si>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</si>
  <si>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</si>
  <si>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</si>
  <si>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</si>
  <si>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</si>
  <si>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</si>
  <si>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</si>
  <si>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</si>
  <si>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</si>
  <si>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</si>
  <si>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</si>
  <si>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</si>
  <si>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</si>
  <si>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</si>
  <si>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</si>
  <si>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</si>
  <si>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</si>
  <si>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</si>
  <si>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</si>
  <si>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</si>
  <si>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</si>
  <si>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</si>
  <si>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</si>
  <si>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</si>
  <si>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</si>
  <si>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</si>
  <si>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</si>
  <si>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</si>
  <si>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</si>
  <si>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</si>
  <si>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</si>
  <si>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</si>
  <si>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</si>
  <si>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</si>
  <si>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</si>
  <si>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</si>
  <si>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</si>
  <si>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</si>
  <si>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</si>
  <si>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</si>
  <si>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</si>
  <si>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</si>
  <si>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</si>
  <si>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</si>
  <si>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</si>
  <si>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</si>
  <si>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</si>
  <si>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</si>
  <si>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</si>
  <si>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</si>
  <si>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</si>
  <si>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</si>
  <si>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</si>
  <si>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</si>
  <si>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</si>
  <si>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</si>
  <si>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</si>
  <si>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</si>
  <si>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</si>
  <si>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</si>
  <si>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</si>
  <si>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</si>
  <si>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</si>
  <si>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</si>
  <si>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</si>
  <si>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</si>
  <si>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</si>
  <si>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</si>
  <si>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</si>
  <si>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</si>
  <si>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</si>
  <si>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</si>
  <si>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</si>
  <si>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</si>
  <si>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</si>
  <si>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</si>
  <si>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</si>
  <si>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</si>
  <si>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</si>
  <si>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</si>
  <si>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</si>
  <si>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</si>
  <si>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</si>
  <si>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</si>
  <si>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</si>
  <si>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</si>
  <si>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</si>
  <si>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</si>
  <si>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</si>
  <si>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</si>
  <si>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</si>
  <si>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</si>
  <si>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</si>
  <si>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</si>
  <si>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</si>
  <si>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</si>
  <si>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</si>
  <si>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</si>
  <si>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</si>
  <si>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</si>
  <si>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</si>
  <si>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</si>
  <si>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</si>
  <si>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</si>
  <si>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</si>
  <si>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</si>
  <si>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</si>
  <si>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</si>
  <si>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</si>
  <si>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</si>
  <si>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</si>
  <si>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</si>
  <si>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</si>
  <si>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</si>
  <si>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</si>
  <si>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</si>
  <si>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</si>
  <si>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</si>
  <si>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</si>
  <si>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</si>
  <si>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</si>
  <si>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</si>
  <si>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</si>
  <si>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</si>
  <si>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</si>
  <si>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</si>
  <si>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</si>
  <si>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</si>
  <si>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</si>
  <si>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</si>
  <si>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</si>
  <si>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</si>
  <si>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</si>
  <si>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</si>
  <si>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</si>
  <si>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</si>
  <si>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</si>
  <si>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</si>
  <si>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</si>
  <si>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</si>
  <si>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</si>
  <si>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</si>
  <si>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</si>
  <si>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</si>
  <si>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</si>
  <si>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</si>
  <si>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</si>
  <si>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</si>
  <si>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</si>
  <si>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</si>
  <si>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</si>
  <si>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</si>
  <si>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</si>
  <si>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</si>
  <si>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</si>
  <si>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</si>
  <si>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</si>
  <si>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</si>
  <si>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</si>
  <si>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</si>
  <si>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</si>
  <si>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</si>
  <si>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</si>
  <si>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</si>
  <si>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</si>
  <si>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</si>
  <si>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</si>
  <si>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</si>
  <si>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</si>
  <si>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</si>
  <si>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</si>
  <si>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</si>
  <si>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</si>
  <si>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</si>
  <si>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</si>
  <si>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</si>
  <si>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</si>
  <si>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</si>
  <si>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</si>
  <si>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</si>
  <si>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</si>
  <si>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</si>
  <si>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</si>
  <si>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</si>
  <si>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</si>
  <si>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</si>
  <si>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</si>
  <si>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</si>
  <si>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</si>
  <si>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</si>
  <si>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</si>
  <si>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</si>
  <si>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</si>
  <si>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</si>
  <si>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</si>
  <si>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</si>
  <si>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</si>
  <si>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</si>
  <si>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</si>
  <si>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</si>
  <si>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</si>
  <si>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</si>
  <si>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</si>
  <si>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</si>
  <si>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</si>
  <si>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</si>
  <si>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</si>
  <si>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</si>
  <si>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</si>
  <si>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</si>
  <si>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</si>
  <si>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</si>
  <si>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</si>
  <si>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</si>
  <si>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</si>
  <si>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</si>
  <si>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</si>
  <si>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</si>
  <si>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</si>
  <si>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</si>
  <si>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</si>
  <si>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</si>
  <si>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</si>
  <si>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</si>
  <si>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</si>
  <si>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</si>
  <si>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</si>
  <si>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</si>
  <si>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</si>
  <si>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</si>
  <si>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</si>
  <si>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</si>
  <si>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</si>
  <si>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</si>
  <si>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</si>
  <si>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</si>
  <si>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</si>
  <si>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</si>
  <si>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</si>
  <si>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</si>
  <si>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</si>
  <si>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</si>
  <si>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</si>
  <si>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</si>
  <si>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</si>
  <si>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</si>
  <si>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</si>
  <si>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</si>
  <si>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</si>
  <si>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</si>
  <si>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</si>
  <si>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</si>
  <si>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</si>
  <si>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</si>
  <si>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</si>
  <si>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</si>
  <si>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</si>
  <si>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</si>
  <si>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</si>
  <si>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</si>
  <si>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</si>
  <si>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</si>
  <si>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</si>
  <si>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</si>
  <si>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</si>
  <si>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</si>
  <si>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</si>
  <si>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</si>
  <si>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</si>
  <si>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</si>
  <si>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</si>
  <si>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</si>
  <si>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</si>
  <si>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</si>
  <si>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</si>
  <si>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</si>
  <si>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</si>
  <si>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</si>
  <si>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</si>
  <si>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</si>
  <si>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</si>
  <si>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</si>
  <si>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</si>
  <si>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</si>
  <si>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</si>
  <si>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</si>
  <si>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</si>
  <si>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</si>
  <si>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</si>
  <si>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</si>
  <si>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</si>
  <si>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</si>
  <si>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</si>
  <si>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</si>
  <si>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</si>
  <si>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</si>
  <si>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</si>
  <si>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</si>
  <si>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</si>
  <si>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</si>
  <si>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</si>
  <si>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</si>
  <si>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</si>
  <si>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</si>
  <si>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</si>
  <si>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</si>
  <si>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</si>
  <si>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</si>
  <si>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</si>
  <si>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</si>
  <si>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</si>
  <si>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</si>
  <si>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</si>
  <si>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</si>
  <si>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</si>
  <si>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</si>
  <si>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</si>
  <si>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</si>
  <si>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</si>
  <si>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</si>
  <si>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</si>
  <si>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</si>
  <si>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</si>
  <si>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</si>
  <si>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</si>
  <si>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</si>
  <si>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</si>
  <si>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</si>
  <si>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</si>
  <si>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</si>
  <si>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</si>
  <si>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</si>
  <si>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</si>
  <si>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</si>
  <si>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</si>
  <si>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</si>
  <si>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</si>
  <si>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</si>
  <si>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</si>
  <si>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</si>
  <si>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</si>
  <si>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</si>
  <si>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</si>
  <si>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</si>
  <si>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</si>
  <si>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</si>
  <si>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</si>
  <si>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</si>
  <si>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</si>
  <si>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</si>
  <si>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</si>
  <si>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</si>
  <si>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</si>
  <si>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</si>
  <si>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</si>
  <si>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</si>
  <si>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</si>
  <si>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</si>
  <si>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</si>
  <si>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</si>
  <si>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</si>
  <si>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</si>
  <si>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</si>
  <si>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</si>
  <si>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</si>
  <si>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</si>
  <si>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</si>
  <si>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</si>
  <si>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</si>
  <si>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</si>
  <si>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</si>
  <si>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</si>
  <si>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</si>
  <si>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</si>
  <si>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</si>
  <si>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</si>
  <si>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</si>
  <si>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</si>
  <si>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</si>
  <si>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</si>
  <si>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</si>
  <si>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</si>
  <si>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</si>
  <si>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</si>
  <si>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</si>
  <si>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</si>
  <si>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</si>
  <si>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</si>
  <si>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</si>
  <si>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</si>
  <si>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</si>
  <si>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</si>
  <si>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</si>
  <si>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</si>
  <si>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</si>
  <si>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</si>
  <si>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</si>
  <si>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</si>
  <si>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</si>
  <si>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</si>
  <si>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</si>
  <si>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</si>
  <si>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</si>
  <si>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</si>
  <si>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</si>
  <si>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</si>
  <si>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</si>
  <si>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</si>
  <si>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</si>
  <si>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</si>
  <si>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</si>
  <si>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</si>
  <si>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</si>
  <si>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</si>
  <si>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</si>
  <si>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</si>
  <si>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</si>
  <si>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</si>
  <si>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地上</t>
  </si>
  <si>
    <t>地下</t>
  </si>
  <si>
    <t>是</t>
  </si>
  <si>
    <t>否</t>
  </si>
  <si>
    <t>成新度</t>
  </si>
  <si>
    <t>收益法</t>
  </si>
  <si>
    <r>
      <rPr>
        <sz val="11"/>
        <color indexed="8"/>
        <rFont val="宋体"/>
        <family val="3"/>
        <charset val="134"/>
      </rPr>
      <t>地上</t>
    </r>
    <r>
      <rPr>
        <sz val="11"/>
        <color indexed="8"/>
        <rFont val="Arial"/>
        <family val="2"/>
      </rPr>
      <t>1</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</si>
  <si>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</si>
  <si>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</si>
  <si>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3</t>
    </r>
    <r>
      <rPr>
        <sz val="11"/>
        <color indexed="8"/>
        <rFont val="宋体"/>
        <family val="3"/>
        <charset val="134"/>
      </rPr>
      <t>层</t>
    </r>
    <phoneticPr fontId="3" type="noConversion"/>
  </si>
  <si>
    <t>面积</t>
    <phoneticPr fontId="3" type="noConversion"/>
  </si>
  <si>
    <t>租金</t>
    <phoneticPr fontId="3" type="noConversion"/>
  </si>
  <si>
    <t>比例</t>
    <phoneticPr fontId="3" type="noConversion"/>
  </si>
  <si>
    <t>自定义容积率</t>
  </si>
  <si>
    <t>不临65条商业街</t>
  </si>
  <si>
    <t>与级别开发程度一致</t>
  </si>
  <si>
    <t>较好</t>
  </si>
  <si>
    <t>未包含在土地购买价格中</t>
  </si>
  <si>
    <t>全部缴纳</t>
  </si>
  <si>
    <t>已包含在土地取得成本中</t>
  </si>
  <si>
    <t>成本法</t>
  </si>
  <si>
    <t>钢混</t>
  </si>
  <si>
    <t>非生产用房</t>
  </si>
  <si>
    <t>500米范围内</t>
  </si>
  <si>
    <r>
      <rPr>
        <sz val="10"/>
        <color indexed="8"/>
        <rFont val="宋体"/>
        <family val="3"/>
        <charset val="134"/>
      </rPr>
      <t>成本法</t>
    </r>
    <r>
      <rPr>
        <sz val="10"/>
        <color indexed="8"/>
        <rFont val="Arial"/>
        <family val="2"/>
      </rPr>
      <t>2</t>
    </r>
    <r>
      <rPr>
        <sz val="10"/>
        <color indexed="8"/>
        <rFont val="宋体"/>
        <family val="3"/>
        <charset val="134"/>
      </rPr>
      <t>（土地比较法）</t>
    </r>
    <phoneticPr fontId="3" type="noConversion"/>
  </si>
  <si>
    <t>收益法</t>
    <phoneticPr fontId="3" type="noConversion"/>
  </si>
  <si>
    <t>总价</t>
    <phoneticPr fontId="3" type="noConversion"/>
  </si>
  <si>
    <t>楼面价</t>
    <phoneticPr fontId="3" type="noConversion"/>
  </si>
  <si>
    <t>地面价</t>
    <phoneticPr fontId="3" type="noConversion"/>
  </si>
  <si>
    <t>差值</t>
    <phoneticPr fontId="3" type="noConversion"/>
  </si>
  <si>
    <t>权重</t>
    <phoneticPr fontId="3" type="noConversion"/>
  </si>
  <si>
    <t>结果</t>
    <phoneticPr fontId="3" type="noConversion"/>
  </si>
  <si>
    <t xml:space="preserve"> 北京城市副中心投资建设集团有限公司  </t>
  </si>
  <si>
    <t xml:space="preserve"> 已成交 </t>
  </si>
  <si>
    <t xml:space="preserve"> -- </t>
  </si>
  <si>
    <t xml:space="preserve">-- </t>
  </si>
  <si>
    <t xml:space="preserve"> B2商务用地 </t>
  </si>
  <si>
    <t xml:space="preserve"> B2商务设施用地 </t>
  </si>
  <si>
    <t xml:space="preserve"> 挂牌 </t>
  </si>
  <si>
    <t xml:space="preserve"> ≤3.1 </t>
  </si>
  <si>
    <t xml:space="preserve"> 商业/办公用地 </t>
  </si>
  <si>
    <t>京土整储挂(通)[2021]032号</t>
  </si>
  <si>
    <t>北京城市副中心FZX-0902-0229、0230地块</t>
  </si>
  <si>
    <t xml:space="preserve"> 北京永丰数字先导科技有限责任公司  </t>
  </si>
  <si>
    <t xml:space="preserve"> F3其他类多功能用地 </t>
  </si>
  <si>
    <t xml:space="preserve"> B商业服务业设施用地 </t>
  </si>
  <si>
    <t>京土整储挂(海)[2021] 080号</t>
  </si>
  <si>
    <t>北京市海淀区西北旺镇永丰产业基地(新)HD00-0403-003地块F3其他类多功能用地</t>
  </si>
  <si>
    <t xml:space="preserve"> 福建隆恩建材贸易有限公司  </t>
  </si>
  <si>
    <t xml:space="preserve"> F3(其他多功能用地) </t>
  </si>
  <si>
    <t>京土整储挂(东)[2021] 076号</t>
  </si>
  <si>
    <t>北京市东城区广渠门外大街马圈土地一级开发项目0407-001地块F3其他类多功能用地</t>
  </si>
  <si>
    <t xml:space="preserve"> 北京首鹰置业有限公司  </t>
  </si>
  <si>
    <t xml:space="preserve"> B4综合性商业金融服务业用地 </t>
  </si>
  <si>
    <t xml:space="preserve"> B21金融保险用地、B1商业设施用地 </t>
  </si>
  <si>
    <t>京土整储挂(石)[2021] 079号</t>
  </si>
  <si>
    <t>北京市石景山区首钢园区东南区土地一级开发项目1612-774地块B4综合性商业金融服务业用地</t>
  </si>
  <si>
    <t xml:space="preserve"> 北京市基础设施投资有限公司 、北京首都旅游集团有限责任公司 、北京城建集团有限责任公司  </t>
  </si>
  <si>
    <t>京土整储挂(通)[2021] 077号</t>
  </si>
  <si>
    <t>北京市通州区张家湾车辆段综合利用供地项目FZX-1202-0079-02(上盖区)、FZX-1202-0079-03(落地区)、FZX-1202-0079-04(落地区)地块F3其他类多功能用地</t>
  </si>
  <si>
    <t xml:space="preserve"> 北京永丰数字融合科技有限责任公司  </t>
  </si>
  <si>
    <t>京土整储挂(海)[2021] 081号</t>
  </si>
  <si>
    <t>北京市海淀区西北旺镇永丰产业基地(新)HD00-0403-011地块F3其他类多功能用地</t>
  </si>
  <si>
    <t xml:space="preserve"> 北京永丰数字共享科技有限责任公司  </t>
  </si>
  <si>
    <t>京土整储挂(海)[2021] 082号</t>
  </si>
  <si>
    <t>北京市海淀区西北旺镇永丰产业基地(新)HD00-0403-024地块F3其他类多功能用地</t>
  </si>
  <si>
    <t xml:space="preserve"> 北京大兴宾馆有限责任公司  </t>
  </si>
  <si>
    <t xml:space="preserve">2021年第3批次 </t>
  </si>
  <si>
    <t xml:space="preserve"> B14旅馆用地 </t>
  </si>
  <si>
    <t>京土整储挂(兴)[2021]089号</t>
  </si>
  <si>
    <t>北京市大兴区黄村镇DX00-0201-6001地块B14旅馆用地</t>
  </si>
  <si>
    <t xml:space="preserve"> 华夏银行股份有限公司  </t>
  </si>
  <si>
    <t>京土整储挂(通)[2021]096号</t>
  </si>
  <si>
    <t>北京城市副中心0101街区FZX-0101-0902地块F3其他类多功能用地</t>
  </si>
  <si>
    <t xml:space="preserve"> 北京怀柔科学城城开四部开发建设有限公司  </t>
  </si>
  <si>
    <t>京土整储挂(怀)[2021]098号</t>
  </si>
  <si>
    <t>北京市怀柔区北房镇、怀北镇HR00-0211-6027、6028、6029、6030地块(城市客厅C地块)F3其他类多功能用地(怀柔科学城核心区及周边土地一级开发项目)</t>
  </si>
  <si>
    <t xml:space="preserve"> 北京怀柔科学城城开三部开发建设有限公司  </t>
  </si>
  <si>
    <t>京土整储挂(怀)[2021]097号</t>
  </si>
  <si>
    <t>北京市怀柔区怀北、雁栖镇HR00-0211-6031地块〔城市客厅B地块(北侧地块)〕F3其他类多功能用地(怀柔科学城核心区及周边土地一级开发项目)</t>
  </si>
  <si>
    <t xml:space="preserve"> 中国太平洋人寿保险股份有限公司  </t>
  </si>
  <si>
    <t>京土整储挂(开)[2021]099号</t>
  </si>
  <si>
    <t>北京经济技术开发区亦庄新城0902街区JG01-07地块F3其他类多功能用地</t>
  </si>
  <si>
    <t xml:space="preserve"> 北京新航城建设实业发展有限公司  </t>
  </si>
  <si>
    <t>京土储挂(兴临空)[2022]019号</t>
  </si>
  <si>
    <t>北京大兴国际机场临空经济区(北京部分)0205街区DX09-0103-0205地块B4综合性商业金融服务业用地</t>
  </si>
  <si>
    <t xml:space="preserve"> ≤2.2 </t>
  </si>
  <si>
    <t>京土储挂(兴临空)[2022]020号</t>
  </si>
  <si>
    <t>北京大兴国际机场临空经济区 DX12-0105-6006、6009 地块F3其他类多功能用地</t>
  </si>
  <si>
    <t xml:space="preserve"> 北京京东昆岳科技产业创新发展有限公司  </t>
  </si>
  <si>
    <t xml:space="preserve"> ≤5.0 </t>
  </si>
  <si>
    <t>京土储挂(开)[2022]039号</t>
  </si>
  <si>
    <t>北京经济技术开发区亦庄新城0303街区C14C-3地块F3其他类多功能用地</t>
  </si>
  <si>
    <t xml:space="preserve"> 北京首旅城市副中心投资有限公司  </t>
  </si>
  <si>
    <t xml:space="preserve"> ≤2.8 </t>
  </si>
  <si>
    <t>京土储挂(通)〔2022〕040号</t>
  </si>
  <si>
    <t>北京城市副中心1202街区FZX-1202-0001地块 F3其他类多功能用地</t>
  </si>
  <si>
    <t xml:space="preserve"> 北京市工程咨询有限公司  </t>
  </si>
  <si>
    <t>京土储挂(通)〔2022〕042号</t>
  </si>
  <si>
    <t>北京市通州经济开发区西区南扩区三、五、六期棚户区改造项目FZX-1102-6219地块F3其他类多功能用地</t>
  </si>
  <si>
    <t xml:space="preserve"> 北京未来科创建筑有限公司  </t>
  </si>
  <si>
    <t>京土储挂(通)〔2022〕041号</t>
  </si>
  <si>
    <t>北京市通州经济开发区西区南扩区 三、五、六期棚户区改造项目 FZX-1102-6002地块 F3其他类多功能用地</t>
  </si>
  <si>
    <t xml:space="preserve"> 北京福榕置业有限公司  </t>
  </si>
  <si>
    <t xml:space="preserve"> ≤6.33 </t>
  </si>
  <si>
    <t>京土储挂(丰)[2022]043号</t>
  </si>
  <si>
    <t>北京市丰台区丽泽金融商务区D-01地块B4综合性商业金融服务业用地</t>
  </si>
  <si>
    <t xml:space="preserve"> 北京永丰数字先行科技有限责任公司  </t>
  </si>
  <si>
    <t>京土储挂(海)[2022]062号</t>
  </si>
  <si>
    <t>北京市海淀区西北旺镇永丰产业基地(新)HD00-0403-001地块F3其他类多功能用地</t>
  </si>
  <si>
    <t xml:space="preserve"> 北京永丰数字融汇科技有限责任公司  </t>
  </si>
  <si>
    <t>京土储挂(海)[2022]063号</t>
  </si>
  <si>
    <t>北京市海淀区西北旺镇永丰产业基地(新)HD00-0403-009地块F3其他类多功能用地</t>
  </si>
  <si>
    <t xml:space="preserve"> 北京中关村工业互联网产业发展有限公司  </t>
  </si>
  <si>
    <t xml:space="preserve"> B23研发设计用地 </t>
  </si>
  <si>
    <t>京土储挂(石)[2022]070号</t>
  </si>
  <si>
    <t>北京市石景山区中关村科技园石景山园北Ⅱ区西井地块土地一级开发项目1606-605地块B23研发设计用地</t>
  </si>
  <si>
    <t xml:space="preserve"> 北京市平谷区联扶实业管理有限公司  </t>
  </si>
  <si>
    <t xml:space="preserve"> B1商业用地 </t>
  </si>
  <si>
    <t xml:space="preserve"> B1商业设施用地 </t>
  </si>
  <si>
    <t>京土储挂(平)[2022]071号</t>
  </si>
  <si>
    <t>北京市平谷区兴谷新消费综合体项目商业地块PG00-0106-0106地块B1商业用地</t>
  </si>
  <si>
    <t xml:space="preserve"> 空气(北京)氢能科技有限公司  </t>
  </si>
  <si>
    <t xml:space="preserve"> S5加油加气站(加氢站)用地 </t>
  </si>
  <si>
    <t xml:space="preserve"> B41加油加气站用地 </t>
  </si>
  <si>
    <t xml:space="preserve"> ≤0.4 </t>
  </si>
  <si>
    <t>京土储挂(兴临空)[2022]072号</t>
  </si>
  <si>
    <t>北京大兴国际机场临空经济区DX12-0105-6103地块S5加油加气站(加氢站)用地</t>
  </si>
  <si>
    <t xml:space="preserve"> 北京顺进商务咨询有限公司  </t>
  </si>
  <si>
    <t>京土储挂(朝)[2023]001号</t>
  </si>
  <si>
    <t>北京市朝阳区朝阳站交通枢纽南侧建设用地一体化项目0313-5597、5598、5599地块B4综合性商业金融服务业用地</t>
  </si>
  <si>
    <t xml:space="preserve"> 电建智汇(北京)运营管理有限公司  </t>
  </si>
  <si>
    <t xml:space="preserve"> F81集体产业用地 </t>
  </si>
  <si>
    <t>京规自集使挂(兴)[2023]002号</t>
  </si>
  <si>
    <t>大兴区西红门镇集体经营性建设用地2号地2-002A地块</t>
  </si>
  <si>
    <t xml:space="preserve"> 北京易创通景信息科技有限公司  </t>
  </si>
  <si>
    <t>京土储挂(通)〔2023〕004号</t>
  </si>
  <si>
    <t>北京市通州区永顺镇0401街区 46号地块(西马庄收储) B4综合性商业金融服务业用地</t>
  </si>
  <si>
    <t xml:space="preserve"> 北京京东方医院有限公司  </t>
  </si>
  <si>
    <t xml:space="preserve"> fs00-dd06-0018、0019容积率1.6;0023、0024容积率2.5 </t>
  </si>
  <si>
    <t>京土储挂(房)[2023]013号</t>
  </si>
  <si>
    <t>北京市房山区窦店镇高端制造业基地06街区01地块FS00-DD06-0018、0019、0023、0024地块F3其他类多功能用地</t>
  </si>
  <si>
    <t xml:space="preserve"> 北京金唐丽行科技服务有限责任公司 、北京金唐建投科技服务中心(有限合伙) 、北京丽控建投科技服务中心(有限合伙)  </t>
  </si>
  <si>
    <t xml:space="preserve"> F3其他类多功能用地、S32公交场站设施用地 </t>
  </si>
  <si>
    <t xml:space="preserve"> S3交通枢纽用地、B商业服务业设施用地、S4交通场站用地 </t>
  </si>
  <si>
    <t>京土储挂(丰)[2023]014号</t>
  </si>
  <si>
    <t>北京市丰台区丽泽金融商务区FT00-0612-0016等地块F3其他类多功能用地、S32公交场站设施用地</t>
  </si>
  <si>
    <t xml:space="preserve"> 北京懋源鸿竺房地产开发有限公司  </t>
  </si>
  <si>
    <t>京土储挂(朝)[2023]031号</t>
  </si>
  <si>
    <t>北京市朝阳区太阳宫乡0301-613地块B4综合性商业金融服务业用地</t>
  </si>
  <si>
    <t xml:space="preserve"> 北京通州投资发展有限公司  </t>
  </si>
  <si>
    <t xml:space="preserve"> F3 其他类多功能用地 </t>
  </si>
  <si>
    <t xml:space="preserve"> 0146容积率3.82、0148容积率2.75 </t>
  </si>
  <si>
    <t>京土储挂(通)〔2023〕032号</t>
  </si>
  <si>
    <t>北京城市副中心0403街区FZX-0403-0146、0148地块F3 其他类多功能用地</t>
  </si>
  <si>
    <t xml:space="preserve"> 北京泽御置业有限公司  </t>
  </si>
  <si>
    <t>京土储挂(海)[2023]039号</t>
  </si>
  <si>
    <t>北京市海淀区西北旺镇永丰产业基地(新)HD00-0403-004地块F3其他类多功能用地</t>
  </si>
  <si>
    <t>京土储挂(通)[2023]042号</t>
  </si>
  <si>
    <t>北京城市副中心0201街区玉桥家园中心FZX-0201-0096、0102地块F3其他类多功能用地国有建设用地使用权出让公告</t>
  </si>
  <si>
    <t xml:space="preserve"> 北京图精科技有限公司  </t>
  </si>
  <si>
    <t>京土储挂(延)[2023]047号</t>
  </si>
  <si>
    <t>北京市延庆区八达岭经济开发区光谷三街南侧YQ02-0102-6028-1-1地块F3其他类多功能用地</t>
  </si>
  <si>
    <t xml:space="preserve"> 中国南水北调集团综合服务有限公司  </t>
  </si>
  <si>
    <t xml:space="preserve"> 小于等于7 </t>
  </si>
  <si>
    <t>京土储挂(丰)[2023]067号</t>
  </si>
  <si>
    <t>北京丽泽金融商务区北区A地块建设及综合治理项目FT00-0609-0037(2)地块B4综合性商业金融服务业用地</t>
  </si>
  <si>
    <t xml:space="preserve"> 北京保恒置业发展有限公司  </t>
  </si>
  <si>
    <t>京土储挂(石)[2023]072号</t>
  </si>
  <si>
    <t>北京市石景山区中关村科技园区石景山园北I区1605-650地块B23研发设计用地</t>
  </si>
  <si>
    <t xml:space="preserve"> 腾讯科技(北京)有限公司  </t>
  </si>
  <si>
    <t xml:space="preserve"> B4综合性商业金融服务业用地、B23研发设计用地 </t>
  </si>
  <si>
    <t>京土储挂(海)[2023]073号</t>
  </si>
  <si>
    <t>北京市海淀区学院路北端A、B、C、J地块B4综合性商业金融服务业用地、 B23研发设计用地</t>
  </si>
  <si>
    <t xml:space="preserve"> 安徽省高速地产集团有限公司  </t>
  </si>
  <si>
    <t>京土储挂(朝)[2023]074号</t>
  </si>
  <si>
    <t>北京市朝阳区大屯地区0205-659地块及周边储备用地B4综合性商业金融服务业用地</t>
  </si>
  <si>
    <t xml:space="preserve"> 北京中发展领航科技有限公司  </t>
  </si>
  <si>
    <t xml:space="preserve"> 不大于2.3不小于2 </t>
  </si>
  <si>
    <t>京土储挂(延)[2024]001号</t>
  </si>
  <si>
    <t>北京市延庆区八达岭经济开发区光谷三街南侧YQ02-0102-6028-2地块F3其他类多功能用地</t>
  </si>
  <si>
    <t xml:space="preserve"> 北京翠湖智达科技服务有限责任公司  </t>
  </si>
  <si>
    <t xml:space="preserve"> F3其他类多功能用地、B23研发设计用地 </t>
  </si>
  <si>
    <t xml:space="preserve"> A1行政办公用地、A3教育科研用地 </t>
  </si>
  <si>
    <t xml:space="preserve"> 0175:1、6008:1.6 </t>
  </si>
  <si>
    <t>京土储挂(海)[2024]008号</t>
  </si>
  <si>
    <t>北京市海淀区中关村翠湖科技园A1地块HD00-0302-0175、6008地块F3其他类多功能用地、B23研发设计用地</t>
  </si>
  <si>
    <t>受让单位</t>
  </si>
  <si>
    <t>溢价率(%)</t>
  </si>
  <si>
    <t>成交楼面价(元/㎡)</t>
  </si>
  <si>
    <t>成交每亩价(万元/亩)</t>
  </si>
  <si>
    <t>成交价(万元)</t>
  </si>
  <si>
    <t>保证金(万元)</t>
  </si>
  <si>
    <t>起始价(万元)</t>
  </si>
  <si>
    <t>交易状态</t>
  </si>
  <si>
    <t>成交时间</t>
  </si>
  <si>
    <t>截止时间</t>
  </si>
  <si>
    <t>商业比例(%)</t>
  </si>
  <si>
    <t>集中供地</t>
  </si>
  <si>
    <t>详细规划</t>
  </si>
  <si>
    <t>建设用地分类</t>
  </si>
  <si>
    <t>出让方式</t>
  </si>
  <si>
    <t>容积率</t>
  </si>
  <si>
    <t>规划建筑面积(㎡)</t>
  </si>
  <si>
    <t>建设用地面积(㎡)</t>
  </si>
  <si>
    <t>用地性质</t>
  </si>
  <si>
    <t>地块编号</t>
  </si>
  <si>
    <t>地块名称</t>
  </si>
  <si>
    <t>正常</t>
  </si>
  <si>
    <t>好</t>
  </si>
  <si>
    <t>1层</t>
  </si>
  <si>
    <t>附属层</t>
  </si>
  <si>
    <t>其余1、3#</t>
  </si>
  <si>
    <t>其余</t>
  </si>
  <si>
    <t>楼层</t>
    <phoneticPr fontId="134" type="noConversion"/>
  </si>
  <si>
    <t>面积</t>
    <phoneticPr fontId="134" type="noConversion"/>
  </si>
  <si>
    <t>办公</t>
    <phoneticPr fontId="3" type="noConversion"/>
  </si>
  <si>
    <t>商业</t>
    <phoneticPr fontId="3" type="noConversion"/>
  </si>
  <si>
    <t>地上1层</t>
  </si>
  <si>
    <t>地下1层</t>
  </si>
  <si>
    <t>地下2层</t>
  </si>
  <si>
    <t>地下3层</t>
  </si>
  <si>
    <t>2号楼办公</t>
    <phoneticPr fontId="134" type="noConversion"/>
  </si>
  <si>
    <t>3号楼办公</t>
    <phoneticPr fontId="134" type="noConversion"/>
  </si>
  <si>
    <t>1号楼</t>
    <phoneticPr fontId="134" type="noConversion"/>
  </si>
  <si>
    <t>地下商业</t>
    <phoneticPr fontId="134" type="noConversion"/>
  </si>
  <si>
    <t>地下车库</t>
    <phoneticPr fontId="134" type="noConversion"/>
  </si>
  <si>
    <t>地上商业</t>
    <phoneticPr fontId="134" type="noConversion"/>
  </si>
  <si>
    <t>办公</t>
    <phoneticPr fontId="7" type="noConversion"/>
  </si>
  <si>
    <t>容积率修正</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</si>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</sst>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color theme="1"/>
      <name val="宋体"/>
      <family val="2"/>
      <scheme val="minor"/>
    </font>
    <font>
      <sz val="10"/>
      <color rgb="FFFF0000"/>
      <name val="宋体"/>
      <family val="3"/>
      <charset val="134"/>
      <scheme val="minor"/>
    </font>
    <font>
      <sz val="10"/>
      <color rgb="FFFF0000"/>
      <name val="宋体"/>
      <family val="2"/>
      <scheme val="minor"/>
    </font>
    <font>
      <sz val="10"/>
      <name val="宋体"/>
      <family val="2"/>
      <scheme val="minor"/>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177" fontId="47" fillId="0" borderId="1" xfId="1" applyNumberFormat="1" applyFont="1" applyFill="1" applyBorder="1" applyAlignment="1" applyProtection="1">
      <alignment vertical="center"/>
      <protection locked="0" hidden="1"/>
    </xf>
    <xf numFmtId="0" fontId="47" fillId="3" borderId="3" xfId="0" applyFont="1" applyFill="1" applyBorder="1" applyProtection="1">
      <alignment vertical="center"/>
      <protection locked="0"/>
    </xf>
    <xf numFmtId="0" fontId="47" fillId="3" borderId="24" xfId="0" applyFont="1" applyFill="1" applyBorder="1" applyProtection="1">
      <alignment vertical="center"/>
      <protection locked="0"/>
    </xf>
    <xf numFmtId="0" fontId="44" fillId="3" borderId="22" xfId="0" applyFont="1" applyFill="1" applyBorder="1" applyProtection="1">
      <alignment vertical="center"/>
      <protection locked="0"/>
    </xf>
    <xf numFmtId="0" fontId="44" fillId="3" borderId="61" xfId="0" applyFont="1" applyFill="1" applyBorder="1" applyProtection="1">
      <alignment vertical="center"/>
      <protection locked="0"/>
    </xf>
    <xf numFmtId="0" fontId="44"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47" fillId="22" borderId="0" xfId="0" applyFont="1" applyFill="1" applyAlignment="1" applyProtection="1">
      <alignment horizontal="left" vertical="center" wrapText="1"/>
      <protection locked="0"/>
    </xf>
    <xf numFmtId="0" fontId="77" fillId="22" borderId="0" xfId="0" applyFont="1" applyFill="1" applyAlignment="1" applyProtection="1">
      <alignment horizontal="left" vertical="center"/>
      <protection locked="0"/>
    </xf>
    <xf numFmtId="0" fontId="77" fillId="22" borderId="0" xfId="0" applyFont="1" applyFill="1" applyAlignment="1" applyProtection="1">
      <alignment horizontal="center" vertical="center"/>
      <protection locked="0"/>
    </xf>
    <xf numFmtId="0" fontId="47" fillId="22" borderId="0" xfId="0" applyFont="1" applyFill="1" applyAlignment="1" applyProtection="1">
      <alignment horizontal="center" vertical="center"/>
      <protection locked="0"/>
    </xf>
    <xf numFmtId="0" fontId="77" fillId="22" borderId="0" xfId="0" applyNumberFormat="1" applyFont="1" applyFill="1" applyAlignment="1" applyProtection="1">
      <alignment horizontal="center" vertical="center"/>
      <protection locked="0"/>
    </xf>
    <xf numFmtId="0" fontId="47" fillId="22" borderId="0" xfId="0" applyNumberFormat="1" applyFont="1" applyFill="1" applyAlignment="1" applyProtection="1">
      <alignment horizontal="center" vertical="center"/>
      <protection locked="0"/>
    </xf>
    <xf numFmtId="9" fontId="47" fillId="22" borderId="0" xfId="17" applyFont="1" applyFill="1" applyAlignment="1" applyProtection="1">
      <alignment horizontal="center" vertical="center"/>
      <protection locked="0"/>
    </xf>
    <xf numFmtId="9" fontId="77" fillId="22" borderId="0" xfId="17" applyFont="1" applyFill="1" applyAlignment="1" applyProtection="1">
      <alignment horizontal="center" vertical="center"/>
      <protection locked="0"/>
    </xf>
    <xf numFmtId="9" fontId="47" fillId="22" borderId="0" xfId="0" applyNumberFormat="1" applyFont="1" applyFill="1" applyAlignment="1" applyProtection="1">
      <alignment horizontal="center" vertical="center"/>
      <protection locked="0"/>
    </xf>
    <xf numFmtId="0" fontId="107" fillId="0" borderId="0" xfId="19" applyNumberFormat="1" applyFont="1" applyAlignment="1">
      <alignment horizontal="left" vertical="center"/>
    </xf>
    <xf numFmtId="0" fontId="271" fillId="0" borderId="0" xfId="19" applyNumberFormat="1" applyFont="1" applyAlignment="1">
      <alignment horizontal="left" vertical="center"/>
    </xf>
    <xf numFmtId="0" fontId="274" fillId="0" borderId="0" xfId="19" applyNumberFormat="1"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270" fillId="0" borderId="0" xfId="19" applyNumberFormat="1" applyFont="1" applyAlignment="1">
      <alignment horizontal="left" vertical="center"/>
    </xf>
    <xf numFmtId="14" fontId="107" fillId="0" borderId="0" xfId="19" applyNumberFormat="1" applyFont="1" applyAlignment="1">
      <alignment horizontal="left" vertical="center"/>
    </xf>
    <xf numFmtId="0" fontId="273" fillId="0" borderId="0" xfId="19" applyNumberFormat="1" applyFont="1" applyAlignment="1">
      <alignment horizontal="left" vertical="center"/>
    </xf>
    <xf numFmtId="14" fontId="274" fillId="0" borderId="0" xfId="19" applyNumberFormat="1" applyFont="1" applyAlignment="1">
      <alignment horizontal="left" vertical="center"/>
    </xf>
    <xf numFmtId="0" fontId="272" fillId="0" borderId="0" xfId="19" applyNumberFormat="1" applyFont="1" applyAlignment="1">
      <alignment horizontal="left" vertical="center"/>
    </xf>
    <xf numFmtId="14" fontId="271" fillId="0" borderId="0" xfId="19" applyNumberFormat="1" applyFont="1" applyAlignment="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pplyAlignment="1">
      <alignment horizontal="left" vertical="center"/>
    </xf>
    <xf numFmtId="0" fontId="77" fillId="0" borderId="1" xfId="0" applyFont="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9525</xdr:rowOff>
    </xdr:from>
    <xdr:to>
      <xdr:col>8</xdr:col>
      <xdr:colOff>513001</xdr:colOff>
      <xdr:row>77</xdr:row>
      <xdr:rowOff>65982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257925"/>
          <a:ext cx="10790476" cy="5542857"/>
        </a:xfrm>
        <a:prstGeom prst="rect">
          <a:avLst/>
        </a:prstGeom>
      </xdr:spPr>
    </xdr:pic>
    <xdr:clientData/>
  </xdr:twoCellAnchor>
  <xdr:twoCellAnchor>
    <xdr:from>
      <xdr:col>1</xdr:col>
      <xdr:colOff>1030606</xdr:colOff>
      <xdr:row>50</xdr:row>
      <xdr:rowOff>85725</xdr:rowOff>
    </xdr:from>
    <xdr:to>
      <xdr:col>1</xdr:col>
      <xdr:colOff>1076325</xdr:colOff>
      <xdr:row>50</xdr:row>
      <xdr:rowOff>133350</xdr:rowOff>
    </xdr:to>
    <xdr:sp macro="" textlink="">
      <xdr:nvSpPr>
        <xdr:cNvPr id="3" name="流程图: 过程 2"/>
        <xdr:cNvSpPr/>
      </xdr:nvSpPr>
      <xdr:spPr>
        <a:xfrm>
          <a:off x="3011806" y="7705725"/>
          <a:ext cx="45719" cy="47625"/>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990600</xdr:colOff>
      <xdr:row>47</xdr:row>
      <xdr:rowOff>142875</xdr:rowOff>
    </xdr:from>
    <xdr:to>
      <xdr:col>3</xdr:col>
      <xdr:colOff>38100</xdr:colOff>
      <xdr:row>50</xdr:row>
      <xdr:rowOff>114300</xdr:rowOff>
    </xdr:to>
    <xdr:sp macro="" textlink="">
      <xdr:nvSpPr>
        <xdr:cNvPr id="4" name="矩形 3"/>
        <xdr:cNvSpPr/>
      </xdr:nvSpPr>
      <xdr:spPr>
        <a:xfrm>
          <a:off x="2971800" y="7305675"/>
          <a:ext cx="1638300" cy="428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857250</xdr:colOff>
      <xdr:row>53</xdr:row>
      <xdr:rowOff>123825</xdr:rowOff>
    </xdr:from>
    <xdr:to>
      <xdr:col>4</xdr:col>
      <xdr:colOff>485775</xdr:colOff>
      <xdr:row>56</xdr:row>
      <xdr:rowOff>95250</xdr:rowOff>
    </xdr:to>
    <xdr:sp macro="" textlink="">
      <xdr:nvSpPr>
        <xdr:cNvPr id="5" name="矩形 4"/>
        <xdr:cNvSpPr/>
      </xdr:nvSpPr>
      <xdr:spPr>
        <a:xfrm>
          <a:off x="4362450" y="8201025"/>
          <a:ext cx="1638300" cy="428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923925</xdr:colOff>
      <xdr:row>56</xdr:row>
      <xdr:rowOff>85725</xdr:rowOff>
    </xdr:from>
    <xdr:to>
      <xdr:col>5</xdr:col>
      <xdr:colOff>657225</xdr:colOff>
      <xdr:row>59</xdr:row>
      <xdr:rowOff>57150</xdr:rowOff>
    </xdr:to>
    <xdr:sp macro="" textlink="">
      <xdr:nvSpPr>
        <xdr:cNvPr id="6" name="矩形 5"/>
        <xdr:cNvSpPr/>
      </xdr:nvSpPr>
      <xdr:spPr>
        <a:xfrm>
          <a:off x="5495925" y="8620125"/>
          <a:ext cx="1638300" cy="428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857250</xdr:colOff>
      <xdr:row>50</xdr:row>
      <xdr:rowOff>19050</xdr:rowOff>
    </xdr:from>
    <xdr:to>
      <xdr:col>3</xdr:col>
      <xdr:colOff>171450</xdr:colOff>
      <xdr:row>52</xdr:row>
      <xdr:rowOff>66675</xdr:rowOff>
    </xdr:to>
    <xdr:sp macro="" textlink="">
      <xdr:nvSpPr>
        <xdr:cNvPr id="7" name="五角星 6"/>
        <xdr:cNvSpPr/>
      </xdr:nvSpPr>
      <xdr:spPr>
        <a:xfrm>
          <a:off x="4362450" y="7639050"/>
          <a:ext cx="381000" cy="352425"/>
        </a:xfrm>
        <a:prstGeom prst="star5">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受贵公司委托，我公司对进行了预评估。</v>
      </c>
    </row>
    <row r="7" spans="1:2" s="1199" customFormat="1">
      <c r="A7" s="1197" t="s">
        <v>566</v>
      </c>
      <c r="B7" s="1198" t="str">
        <f>'预评函-1'!A7</f>
        <v>估价对象为房地产，为所有。根据《国有土地使用证》[]，估价对象（分摊）出让国有建设用地使用权面积为3258.72平方米，建筑面积为10935.99平方米。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估价对象为房地产,属开发建设的，该项目尚在开发建设中。根据《国有土地使用证》[]，估价对象（分摊）出让国有建设用地使用权面积为3258.72平方米，规划建筑面积为10935.99平方米。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2024年4月29日（评估专业人员实地查勘之日）</v>
      </c>
    </row>
    <row r="13" spans="1:2" s="1199" customFormat="1">
      <c r="A13" s="1197" t="s">
        <v>529</v>
      </c>
      <c r="B13" s="1198" t="str">
        <f>'预评函-1'!A18</f>
        <v>本次估价的“房地产价值”是指在正常市场情况下，在价值时点2024年4月29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t="e">
        <f ca="1">'预评函-2'!D5</f>
        <v>#REF!</v>
      </c>
    </row>
    <row r="21" spans="1:2" s="1199" customFormat="1">
      <c r="A21" s="1197" t="s">
        <v>537</v>
      </c>
      <c r="B21" s="1198" t="e">
        <f ca="1">'预评函-2'!D7</f>
        <v>#REF!</v>
      </c>
    </row>
    <row r="22" spans="1:2" s="1199" customFormat="1">
      <c r="A22" s="1197" t="s">
        <v>538</v>
      </c>
      <c r="B22" s="1198" t="e">
        <f ca="1">'预评函-2'!D6</f>
        <v>#REF!</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t="e">
        <f ca="1">'预评函-2'!D13</f>
        <v>#REF!</v>
      </c>
    </row>
    <row r="31" spans="1:2" s="1199" customFormat="1">
      <c r="A31" s="1197" t="s">
        <v>576</v>
      </c>
      <c r="B31" s="1198" t="e">
        <f ca="1">'预评函-2'!D15</f>
        <v>#REF!</v>
      </c>
    </row>
    <row r="32" spans="1:2" s="1199" customFormat="1">
      <c r="A32" s="1197" t="s">
        <v>543</v>
      </c>
      <c r="B32" s="1198" t="e">
        <f ca="1">'预评函-2'!D14</f>
        <v>#REF!</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房地产</v>
      </c>
    </row>
    <row r="42" spans="1:2" s="1199" customFormat="1">
      <c r="A42" s="1197" t="s">
        <v>590</v>
      </c>
      <c r="B42" s="1198" t="str">
        <f>'预评函-3'!B2</f>
        <v>建筑面积</v>
      </c>
    </row>
    <row r="43" spans="1:2" s="1199" customFormat="1">
      <c r="A43" s="1197" t="s">
        <v>591</v>
      </c>
      <c r="B43" s="1198">
        <f>'预评函-3'!B4</f>
        <v>10935.989999999998</v>
      </c>
    </row>
    <row r="44" spans="1:2" s="1199" customFormat="1">
      <c r="A44" s="1197" t="s">
        <v>575</v>
      </c>
      <c r="B44" s="1198" t="str">
        <f>'预评函-3'!C2</f>
        <v>(分摊)土地面积</v>
      </c>
    </row>
    <row r="45" spans="1:2" s="1199" customFormat="1">
      <c r="A45" s="1197" t="s">
        <v>547</v>
      </c>
      <c r="B45" s="1198">
        <f>'预评函-3'!C4</f>
        <v>3258.72</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3336</v>
      </c>
    </row>
    <row r="8" spans="1:23">
      <c r="A8" s="1542" t="s">
        <v>1026</v>
      </c>
      <c r="B8" s="1542" t="s">
        <v>1027</v>
      </c>
      <c r="C8" s="1543" t="s">
        <v>319</v>
      </c>
      <c r="F8" s="1544" t="s">
        <v>1028</v>
      </c>
      <c r="H8" s="1544" t="s">
        <v>2572</v>
      </c>
      <c r="I8" s="1544" t="s">
        <v>3337</v>
      </c>
    </row>
    <row r="9" spans="1:23">
      <c r="A9" s="1542" t="s">
        <v>1029</v>
      </c>
      <c r="B9" s="1542" t="s">
        <v>1030</v>
      </c>
      <c r="C9" s="1543" t="s">
        <v>320</v>
      </c>
      <c r="F9" s="1544" t="s">
        <v>1031</v>
      </c>
      <c r="H9" s="1544"/>
      <c r="I9" s="1547" t="s">
        <v>3338</v>
      </c>
    </row>
    <row r="10" spans="1:23">
      <c r="A10" s="1542" t="s">
        <v>1032</v>
      </c>
      <c r="B10" s="1542" t="s">
        <v>1033</v>
      </c>
      <c r="C10" s="1543" t="s">
        <v>321</v>
      </c>
      <c r="F10" s="1544" t="s">
        <v>2573</v>
      </c>
      <c r="I10" s="1547" t="s">
        <v>3339</v>
      </c>
    </row>
    <row r="11" spans="1:23">
      <c r="A11" s="1542" t="s">
        <v>1034</v>
      </c>
      <c r="B11" s="1542" t="s">
        <v>1035</v>
      </c>
      <c r="C11" s="1543" t="s">
        <v>322</v>
      </c>
      <c r="F11" s="1544" t="s">
        <v>13</v>
      </c>
      <c r="I11" s="1547" t="s">
        <v>3340</v>
      </c>
    </row>
    <row r="12" spans="1:23">
      <c r="A12" s="1542" t="s">
        <v>1036</v>
      </c>
      <c r="B12" s="1542" t="s">
        <v>1037</v>
      </c>
      <c r="C12" s="1543" t="s">
        <v>323</v>
      </c>
      <c r="I12" s="1547" t="s">
        <v>3341</v>
      </c>
    </row>
    <row r="13" spans="1:23">
      <c r="A13" s="1542" t="s">
        <v>1038</v>
      </c>
      <c r="B13" s="1542" t="s">
        <v>1039</v>
      </c>
      <c r="C13" s="1543" t="s">
        <v>324</v>
      </c>
      <c r="I13" s="1547" t="s">
        <v>3342</v>
      </c>
    </row>
    <row r="14" spans="1:23">
      <c r="A14" s="1542" t="s">
        <v>1040</v>
      </c>
      <c r="B14" s="1542" t="s">
        <v>1041</v>
      </c>
      <c r="C14" s="1544" t="s">
        <v>13</v>
      </c>
      <c r="I14" s="1547" t="s">
        <v>3343</v>
      </c>
    </row>
    <row r="15" spans="1:23">
      <c r="A15" s="1542" t="s">
        <v>1042</v>
      </c>
      <c r="B15" s="1542" t="s">
        <v>1043</v>
      </c>
      <c r="C15" s="1543"/>
      <c r="I15" s="1547" t="s">
        <v>3344</v>
      </c>
    </row>
    <row r="16" spans="1:23">
      <c r="A16" s="1542" t="s">
        <v>1044</v>
      </c>
      <c r="B16" s="1542" t="s">
        <v>312</v>
      </c>
      <c r="C16" s="1543"/>
    </row>
    <row r="17" spans="1:3">
      <c r="A17" s="1542" t="s">
        <v>1045</v>
      </c>
      <c r="B17" s="1542" t="s">
        <v>2284</v>
      </c>
      <c r="C17" s="1543"/>
    </row>
    <row r="18" spans="1:3">
      <c r="A18" s="1542" t="s">
        <v>1046</v>
      </c>
      <c r="B18" s="1542" t="s">
        <v>2428</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04"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0" t="s">
        <v>385</v>
      </c>
      <c r="C54" s="1547" t="s">
        <v>583</v>
      </c>
    </row>
    <row r="55" spans="1:4">
      <c r="A55" s="3504"/>
      <c r="B55" s="1550" t="s">
        <v>386</v>
      </c>
      <c r="C55" s="1547" t="s">
        <v>584</v>
      </c>
    </row>
    <row r="56" spans="1:4">
      <c r="A56" s="3504"/>
      <c r="B56" s="1550" t="s">
        <v>387</v>
      </c>
      <c r="C56" s="1547" t="s">
        <v>588</v>
      </c>
    </row>
    <row r="57" spans="1:4">
      <c r="A57" s="3504"/>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2495</v>
      </c>
      <c r="B1" s="3008"/>
      <c r="C1" s="3008"/>
      <c r="D1" s="3008"/>
      <c r="E1" s="3008"/>
      <c r="F1" s="3009"/>
      <c r="I1" s="3431" t="s">
        <v>2588</v>
      </c>
      <c r="J1" s="3220"/>
      <c r="K1" s="3220"/>
      <c r="L1" s="3220"/>
      <c r="M1" s="3220"/>
      <c r="N1" s="3432"/>
      <c r="O1" s="3432"/>
      <c r="P1" s="3432"/>
      <c r="Q1" s="3432"/>
      <c r="R1" s="3432"/>
    </row>
    <row r="2" spans="1:18">
      <c r="A2" s="3011"/>
      <c r="B2" s="3012"/>
      <c r="C2" s="3012"/>
      <c r="D2" s="3012"/>
      <c r="E2" s="3012"/>
      <c r="F2" s="3013"/>
      <c r="I2" s="3505" t="s">
        <v>2575</v>
      </c>
      <c r="J2" s="3505"/>
      <c r="K2" s="3505"/>
      <c r="L2" s="3505"/>
      <c r="M2" s="3505"/>
      <c r="N2" s="3505"/>
      <c r="O2" s="3505"/>
      <c r="P2" s="3505"/>
      <c r="Q2" s="3505"/>
      <c r="R2" s="3505"/>
    </row>
    <row r="3" spans="1:18">
      <c r="A3" s="3014" t="s">
        <v>2496</v>
      </c>
      <c r="B3" s="3015">
        <f>项目基本情况!D3</f>
        <v>45411</v>
      </c>
      <c r="C3" s="3017"/>
      <c r="D3" s="3017"/>
      <c r="E3" s="3017"/>
      <c r="F3" s="3013"/>
      <c r="I3" s="3433"/>
      <c r="J3" s="3433" t="s">
        <v>2579</v>
      </c>
      <c r="K3" s="3433" t="s">
        <v>2580</v>
      </c>
      <c r="L3" s="3433" t="s">
        <v>2581</v>
      </c>
      <c r="M3" s="3433" t="s">
        <v>2582</v>
      </c>
      <c r="N3" s="3434" t="s">
        <v>2583</v>
      </c>
      <c r="O3" s="3434" t="s">
        <v>2584</v>
      </c>
      <c r="P3" s="3434" t="s">
        <v>2585</v>
      </c>
      <c r="Q3" s="3434" t="s">
        <v>2586</v>
      </c>
      <c r="R3" s="3434" t="s">
        <v>2587</v>
      </c>
    </row>
    <row r="4" spans="1:18">
      <c r="A4" s="3014" t="s">
        <v>2497</v>
      </c>
      <c r="B4" s="3017" t="s">
        <v>2498</v>
      </c>
      <c r="C4" s="3017" t="s">
        <v>2499</v>
      </c>
      <c r="D4" s="3017" t="s">
        <v>2500</v>
      </c>
      <c r="E4" s="3017" t="s">
        <v>2501</v>
      </c>
      <c r="F4" s="3013"/>
      <c r="I4" s="3433" t="s">
        <v>2576</v>
      </c>
      <c r="J4" s="3433">
        <v>80</v>
      </c>
      <c r="K4" s="3433">
        <v>70</v>
      </c>
      <c r="L4" s="3433">
        <v>20</v>
      </c>
      <c r="M4" s="3433">
        <v>30</v>
      </c>
      <c r="N4" s="3017">
        <v>45</v>
      </c>
      <c r="O4" s="3017">
        <v>60</v>
      </c>
      <c r="P4" s="3017">
        <v>50</v>
      </c>
      <c r="Q4" s="3017">
        <v>20</v>
      </c>
      <c r="R4" s="3017">
        <v>375</v>
      </c>
    </row>
    <row r="5" spans="1:18">
      <c r="A5" s="3018">
        <v>40</v>
      </c>
      <c r="B5" s="3015">
        <v>46375</v>
      </c>
      <c r="C5" s="3017">
        <f>ROUNDDOWN(MIN((B5-B3)/365,A5),2)</f>
        <v>2.64</v>
      </c>
      <c r="D5" s="3019">
        <f>IF(ISERROR(ROUND(POWER(1+E5,A5-C5)*(POWER(1+E5,C5)-1)/(POWER(1+E5,A5)-1),3)),0,ROUND(POWER(1+E5,A5-C5)*(POWER(1+E5,C5)-1)/(POWER(1+E5,A5)-1),4))</f>
        <v>0.1242</v>
      </c>
      <c r="E5" s="3020">
        <v>0.04</v>
      </c>
      <c r="F5" s="3013"/>
      <c r="I5" s="3433" t="s">
        <v>2577</v>
      </c>
      <c r="J5" s="3433">
        <v>70</v>
      </c>
      <c r="K5" s="3433">
        <v>60</v>
      </c>
      <c r="L5" s="3433">
        <v>15</v>
      </c>
      <c r="M5" s="3433">
        <v>25</v>
      </c>
      <c r="N5" s="3017">
        <v>40</v>
      </c>
      <c r="O5" s="3017">
        <v>50</v>
      </c>
      <c r="P5" s="3017">
        <v>40</v>
      </c>
      <c r="Q5" s="3017">
        <v>15</v>
      </c>
      <c r="R5" s="3017">
        <v>315</v>
      </c>
    </row>
    <row r="6" spans="1:18">
      <c r="A6" s="3018">
        <v>50</v>
      </c>
      <c r="B6" s="3015">
        <v>50028</v>
      </c>
      <c r="C6" s="3017">
        <f>ROUNDDOWN(MIN((B6-B3)/365,A6),2)</f>
        <v>12.64</v>
      </c>
      <c r="D6" s="3019">
        <f>IF(ISERROR(ROUND(POWER(1+E6,A6-C6)*(POWER(1+E6,C6)-1)/(POWER(1+E6,A6)-1),3)),0,ROUND(POWER(1+E6,A6-C6)*(POWER(1+E6,C6)-1)/(POWER(1+E6,A6)-1),4))</f>
        <v>0.45490000000000003</v>
      </c>
      <c r="E6" s="3020">
        <v>0.04</v>
      </c>
      <c r="F6" s="3013"/>
      <c r="I6" s="3433" t="s">
        <v>2578</v>
      </c>
      <c r="J6" s="3433">
        <v>60</v>
      </c>
      <c r="K6" s="3433">
        <v>50</v>
      </c>
      <c r="L6" s="3433">
        <v>10</v>
      </c>
      <c r="M6" s="3433">
        <v>20</v>
      </c>
      <c r="N6" s="3017">
        <v>35</v>
      </c>
      <c r="O6" s="3017">
        <v>40</v>
      </c>
      <c r="P6" s="3017">
        <v>30</v>
      </c>
      <c r="Q6" s="3017">
        <v>10</v>
      </c>
      <c r="R6" s="3017">
        <v>255</v>
      </c>
    </row>
    <row r="7" spans="1:18">
      <c r="A7" s="3018">
        <v>70</v>
      </c>
      <c r="B7" s="3015">
        <v>57333</v>
      </c>
      <c r="C7" s="3017">
        <f>ROUNDDOWN(MIN((B7-B3)/365,A7),2)</f>
        <v>32.659999999999997</v>
      </c>
      <c r="D7" s="3019">
        <f>IF(ISERROR(ROUND(POWER(1+E7,A7-C7)*(POWER(1+E7,C7)-1)/(POWER(1+E7,A7)-1),3)),0,ROUND(POWER(1+E7,A7-C7)*(POWER(1+E7,C7)-1)/(POWER(1+E7,A7)-1),4))</f>
        <v>0.77180000000000004</v>
      </c>
      <c r="E7" s="3020">
        <v>0.04</v>
      </c>
      <c r="F7" s="3013"/>
    </row>
    <row r="8" spans="1:18">
      <c r="A8" s="3011"/>
      <c r="B8" s="3012"/>
      <c r="C8" s="3012"/>
      <c r="D8" s="3012"/>
      <c r="E8" s="3012"/>
      <c r="F8" s="3013"/>
    </row>
    <row r="9" spans="1:18">
      <c r="A9" s="3014" t="s">
        <v>2502</v>
      </c>
      <c r="B9" s="3017"/>
      <c r="C9" s="3017"/>
      <c r="D9" s="3017"/>
      <c r="E9" s="3017"/>
      <c r="F9" s="3021"/>
    </row>
    <row r="10" spans="1:18">
      <c r="A10" s="3014" t="s">
        <v>2503</v>
      </c>
      <c r="B10" s="3017"/>
      <c r="C10" s="3017"/>
      <c r="D10" s="3017" t="s">
        <v>2501</v>
      </c>
      <c r="E10" s="3017"/>
      <c r="F10" s="3021" t="s">
        <v>2500</v>
      </c>
    </row>
    <row r="11" spans="1:18">
      <c r="A11" s="3014" t="s">
        <v>2504</v>
      </c>
      <c r="B11" s="3022">
        <v>70</v>
      </c>
      <c r="C11" s="3017" t="s">
        <v>2505</v>
      </c>
      <c r="D11" s="3023">
        <v>4.4999999999999998E-2</v>
      </c>
      <c r="E11" s="3017" t="s">
        <v>2506</v>
      </c>
      <c r="F11" s="3024">
        <f>ROUND(1-(1/(POWER(1+D11,B11))),4)</f>
        <v>0.95409999999999995</v>
      </c>
    </row>
    <row r="12" spans="1:18">
      <c r="A12" s="3014" t="s">
        <v>2507</v>
      </c>
      <c r="B12" s="3022">
        <v>40</v>
      </c>
      <c r="C12" s="3017" t="s">
        <v>2508</v>
      </c>
      <c r="D12" s="3023">
        <v>4.4999999999999998E-2</v>
      </c>
      <c r="E12" s="3017" t="s">
        <v>2509</v>
      </c>
      <c r="F12" s="3024">
        <f>ROUND(1-(1/(POWER(1+D12,B12))),4)</f>
        <v>0.82809999999999995</v>
      </c>
    </row>
    <row r="13" spans="1:18">
      <c r="A13" s="3014" t="s">
        <v>2510</v>
      </c>
      <c r="B13" s="3017"/>
      <c r="C13" s="3017"/>
      <c r="D13" s="3012"/>
      <c r="E13" s="3012"/>
      <c r="F13" s="3013"/>
    </row>
    <row r="14" spans="1:18">
      <c r="A14" s="3014" t="s">
        <v>2511</v>
      </c>
      <c r="B14" s="3022">
        <v>5000</v>
      </c>
      <c r="C14" s="3016"/>
      <c r="D14" s="3012"/>
      <c r="E14" s="3012"/>
      <c r="F14" s="3013"/>
    </row>
    <row r="15" spans="1:18">
      <c r="A15" s="3014" t="s">
        <v>2512</v>
      </c>
      <c r="B15" s="3017">
        <f>ROUND(B14*F12/F11,2)</f>
        <v>4339.6899999999996</v>
      </c>
      <c r="C15" s="3017">
        <f>ROUND(F12/F11,4)</f>
        <v>0.8679</v>
      </c>
      <c r="D15" s="3012"/>
      <c r="E15" s="3012"/>
      <c r="F15" s="3013"/>
    </row>
    <row r="16" spans="1:18">
      <c r="A16" s="3014" t="s">
        <v>2513</v>
      </c>
      <c r="B16" s="3017"/>
      <c r="C16" s="3017"/>
      <c r="D16" s="3012"/>
      <c r="E16" s="3012"/>
      <c r="F16" s="3013"/>
    </row>
    <row r="17" spans="1:13">
      <c r="A17" s="3014" t="s">
        <v>2512</v>
      </c>
      <c r="B17" s="3023">
        <v>4810</v>
      </c>
      <c r="C17" s="3016"/>
      <c r="D17" s="3012"/>
      <c r="E17" s="3012"/>
      <c r="F17" s="3013"/>
    </row>
    <row r="18" spans="1:13" ht="14.25" thickBot="1">
      <c r="A18" s="3025" t="s">
        <v>2511</v>
      </c>
      <c r="B18" s="3026">
        <f>ROUND(B17*F11/F12,2)</f>
        <v>5541.87</v>
      </c>
      <c r="C18" s="3026">
        <f>ROUND(F11/F12,4)</f>
        <v>1.1521999999999999</v>
      </c>
      <c r="D18" s="3027"/>
      <c r="E18" s="3027"/>
      <c r="F18" s="3028"/>
    </row>
    <row r="19" spans="1:13" ht="14.25" thickBot="1"/>
    <row r="20" spans="1:13" s="3063" customFormat="1" ht="14.25" thickTop="1">
      <c r="A20" s="3060" t="s">
        <v>2514</v>
      </c>
      <c r="B20" s="3061"/>
      <c r="C20" s="3061"/>
      <c r="D20" s="3061"/>
      <c r="E20" s="3061"/>
      <c r="F20" s="3061"/>
      <c r="G20" s="3062"/>
      <c r="I20" s="3064" t="s">
        <v>2559</v>
      </c>
      <c r="J20" s="3064" t="s">
        <v>2564</v>
      </c>
      <c r="K20" s="3064"/>
      <c r="L20" s="3064"/>
      <c r="M20" s="3064"/>
    </row>
    <row r="21" spans="1:13">
      <c r="A21" s="3029"/>
      <c r="B21" s="3030" t="s">
        <v>2515</v>
      </c>
      <c r="C21" s="3030" t="s">
        <v>2516</v>
      </c>
      <c r="D21" s="3030" t="s">
        <v>2517</v>
      </c>
      <c r="E21" s="3030" t="s">
        <v>2518</v>
      </c>
      <c r="F21" s="3030" t="s">
        <v>2519</v>
      </c>
      <c r="G21" s="3031" t="s">
        <v>2520</v>
      </c>
      <c r="I21" s="3052">
        <v>5</v>
      </c>
      <c r="J21" s="3052">
        <v>54.2</v>
      </c>
    </row>
    <row r="22" spans="1:13">
      <c r="A22" s="3029" t="s">
        <v>2521</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2522</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2562</v>
      </c>
      <c r="M23" s="3052" t="s">
        <v>2563</v>
      </c>
    </row>
    <row r="24" spans="1:13">
      <c r="A24" s="3029" t="s">
        <v>2523</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2561</v>
      </c>
      <c r="M24" s="3052">
        <v>10</v>
      </c>
    </row>
    <row r="25" spans="1:13">
      <c r="A25" s="3029" t="s">
        <v>2524</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2565</v>
      </c>
      <c r="M25" s="3052">
        <v>8</v>
      </c>
    </row>
    <row r="26" spans="1:13">
      <c r="A26" s="3034"/>
      <c r="B26" s="3035"/>
      <c r="C26" s="3035"/>
      <c r="D26" s="3035"/>
      <c r="E26" s="3035"/>
      <c r="F26" s="3035"/>
      <c r="G26" s="3036"/>
      <c r="I26" s="3052">
        <v>30</v>
      </c>
      <c r="J26" s="3052">
        <v>90.5</v>
      </c>
      <c r="K26" s="3052">
        <f t="shared" si="2"/>
        <v>4.2000000000000028</v>
      </c>
      <c r="L26" s="3052" t="s">
        <v>2566</v>
      </c>
      <c r="M26" s="3052">
        <v>5</v>
      </c>
    </row>
    <row r="27" spans="1:13">
      <c r="A27" s="3034" t="s">
        <v>2525</v>
      </c>
      <c r="B27" s="3035"/>
      <c r="C27" s="3035"/>
      <c r="D27" s="3035"/>
      <c r="E27" s="3035"/>
      <c r="F27" s="3035"/>
      <c r="G27" s="3036"/>
      <c r="I27" s="3052">
        <v>35</v>
      </c>
      <c r="J27" s="3052">
        <v>93.8</v>
      </c>
      <c r="K27" s="3052">
        <f t="shared" si="2"/>
        <v>3.2999999999999972</v>
      </c>
      <c r="L27" s="3052" t="s">
        <v>2567</v>
      </c>
      <c r="M27" s="3052">
        <v>3</v>
      </c>
    </row>
    <row r="28" spans="1:13">
      <c r="A28" s="3034" t="s">
        <v>2526</v>
      </c>
      <c r="B28" s="3035"/>
      <c r="C28" s="3035"/>
      <c r="D28" s="3035"/>
      <c r="E28" s="3035"/>
      <c r="F28" s="3035"/>
      <c r="G28" s="3036"/>
      <c r="I28" s="3052">
        <v>40</v>
      </c>
      <c r="J28" s="3052">
        <v>96.4</v>
      </c>
      <c r="K28" s="3052">
        <f t="shared" si="2"/>
        <v>2.6000000000000085</v>
      </c>
      <c r="L28" s="3052" t="s">
        <v>2568</v>
      </c>
      <c r="M28" s="3052">
        <v>2</v>
      </c>
    </row>
    <row r="29" spans="1:13">
      <c r="A29" s="3034" t="s">
        <v>2527</v>
      </c>
      <c r="B29" s="3035"/>
      <c r="C29" s="3035"/>
      <c r="D29" s="3035"/>
      <c r="E29" s="3035"/>
      <c r="F29" s="3035"/>
      <c r="G29" s="3036"/>
      <c r="I29" s="3052">
        <v>45</v>
      </c>
      <c r="J29" s="3052">
        <v>98.4</v>
      </c>
      <c r="K29" s="3052">
        <f t="shared" si="2"/>
        <v>2</v>
      </c>
    </row>
    <row r="30" spans="1:13">
      <c r="A30" s="3034" t="s">
        <v>2528</v>
      </c>
      <c r="B30" s="3035"/>
      <c r="C30" s="3035"/>
      <c r="D30" s="3035"/>
      <c r="E30" s="3035"/>
      <c r="F30" s="3035"/>
      <c r="G30" s="3036"/>
      <c r="I30" s="3052">
        <v>50</v>
      </c>
      <c r="J30" s="3052">
        <v>100</v>
      </c>
      <c r="K30" s="3052">
        <f t="shared" si="2"/>
        <v>1.5999999999999943</v>
      </c>
    </row>
    <row r="31" spans="1:13">
      <c r="A31" s="3034" t="s">
        <v>2529</v>
      </c>
      <c r="B31" s="3035"/>
      <c r="C31" s="3035"/>
      <c r="D31" s="3035"/>
      <c r="E31" s="3035"/>
      <c r="F31" s="3035"/>
      <c r="G31" s="3036"/>
      <c r="I31" s="3052" t="s">
        <v>2560</v>
      </c>
    </row>
    <row r="32" spans="1:13">
      <c r="A32" s="3034" t="s">
        <v>2530</v>
      </c>
      <c r="B32" s="3035"/>
      <c r="C32" s="3035"/>
      <c r="D32" s="3035"/>
      <c r="E32" s="3035"/>
      <c r="F32" s="3035"/>
      <c r="G32" s="3036"/>
    </row>
    <row r="33" spans="1:13">
      <c r="A33" s="3034" t="s">
        <v>2531</v>
      </c>
      <c r="B33" s="3035"/>
      <c r="C33" s="3035"/>
      <c r="D33" s="3035"/>
      <c r="E33" s="3035"/>
      <c r="F33" s="3035"/>
      <c r="G33" s="3036"/>
      <c r="I33" s="3052" t="s">
        <v>2559</v>
      </c>
      <c r="J33" s="3052" t="s">
        <v>2569</v>
      </c>
    </row>
    <row r="34" spans="1:13">
      <c r="A34" s="3034" t="s">
        <v>2532</v>
      </c>
      <c r="B34" s="3035"/>
      <c r="C34" s="3035"/>
      <c r="D34" s="3035"/>
      <c r="E34" s="3035"/>
      <c r="F34" s="3035"/>
      <c r="G34" s="3036"/>
      <c r="I34" s="3052">
        <v>5</v>
      </c>
      <c r="J34" s="3052">
        <v>55.1</v>
      </c>
    </row>
    <row r="35" spans="1:13">
      <c r="A35" s="3034" t="s">
        <v>2533</v>
      </c>
      <c r="B35" s="3035"/>
      <c r="C35" s="3035"/>
      <c r="D35" s="3035"/>
      <c r="E35" s="3035"/>
      <c r="F35" s="3035"/>
      <c r="G35" s="3036"/>
      <c r="I35" s="3052">
        <v>10</v>
      </c>
      <c r="J35" s="3052">
        <v>67</v>
      </c>
      <c r="K35" s="3052">
        <f>J35-J34</f>
        <v>11.899999999999999</v>
      </c>
    </row>
    <row r="36" spans="1:13">
      <c r="A36" s="3034" t="s">
        <v>2534</v>
      </c>
      <c r="B36" s="3035"/>
      <c r="C36" s="3035"/>
      <c r="D36" s="3035"/>
      <c r="E36" s="3035"/>
      <c r="F36" s="3035"/>
      <c r="G36" s="3036"/>
      <c r="I36" s="3052">
        <v>15</v>
      </c>
      <c r="J36" s="3052">
        <v>76.3</v>
      </c>
      <c r="K36" s="3052">
        <f t="shared" ref="K36:K41" si="3">J36-J35</f>
        <v>9.2999999999999972</v>
      </c>
      <c r="L36" s="3052" t="s">
        <v>2562</v>
      </c>
      <c r="M36" s="3052" t="s">
        <v>2563</v>
      </c>
    </row>
    <row r="37" spans="1:13">
      <c r="A37" s="3034" t="s">
        <v>2535</v>
      </c>
      <c r="B37" s="3035"/>
      <c r="C37" s="3035"/>
      <c r="D37" s="3035"/>
      <c r="E37" s="3035"/>
      <c r="F37" s="3035"/>
      <c r="G37" s="3036"/>
      <c r="I37" s="3052">
        <v>20</v>
      </c>
      <c r="J37" s="3052">
        <v>83.6</v>
      </c>
      <c r="K37" s="3052">
        <f t="shared" si="3"/>
        <v>7.2999999999999972</v>
      </c>
      <c r="L37" s="3052" t="s">
        <v>2561</v>
      </c>
      <c r="M37" s="3052">
        <v>10</v>
      </c>
    </row>
    <row r="38" spans="1:13">
      <c r="A38" s="3034" t="s">
        <v>2536</v>
      </c>
      <c r="B38" s="3035"/>
      <c r="C38" s="3035"/>
      <c r="D38" s="3035"/>
      <c r="E38" s="3035"/>
      <c r="F38" s="3035"/>
      <c r="G38" s="3036"/>
      <c r="I38" s="3052">
        <v>25</v>
      </c>
      <c r="J38" s="3052">
        <v>89.3</v>
      </c>
      <c r="K38" s="3052">
        <f t="shared" si="3"/>
        <v>5.7000000000000028</v>
      </c>
      <c r="L38" s="3052" t="s">
        <v>2565</v>
      </c>
      <c r="M38" s="3052">
        <v>8</v>
      </c>
    </row>
    <row r="39" spans="1:13">
      <c r="A39" s="3034"/>
      <c r="B39" s="3035"/>
      <c r="C39" s="3035"/>
      <c r="D39" s="3035"/>
      <c r="E39" s="3035"/>
      <c r="F39" s="3035"/>
      <c r="G39" s="3036"/>
      <c r="I39" s="3052">
        <v>30</v>
      </c>
      <c r="J39" s="3052">
        <v>93.8</v>
      </c>
      <c r="K39" s="3052">
        <f t="shared" si="3"/>
        <v>4.5</v>
      </c>
      <c r="L39" s="3052" t="s">
        <v>2566</v>
      </c>
      <c r="M39" s="3052">
        <v>6</v>
      </c>
    </row>
    <row r="40" spans="1:13">
      <c r="A40" s="3037" t="s">
        <v>2537</v>
      </c>
      <c r="B40" s="3038"/>
      <c r="C40" s="3038"/>
      <c r="D40" s="3038"/>
      <c r="E40" s="3038"/>
      <c r="F40" s="3038"/>
      <c r="G40" s="3039"/>
      <c r="I40" s="3052">
        <v>35</v>
      </c>
      <c r="J40" s="3052">
        <v>97.2</v>
      </c>
      <c r="K40" s="3052">
        <f t="shared" si="3"/>
        <v>3.4000000000000057</v>
      </c>
      <c r="L40" s="3052" t="s">
        <v>2567</v>
      </c>
      <c r="M40" s="3052">
        <v>3</v>
      </c>
    </row>
    <row r="41" spans="1:13">
      <c r="A41" s="3040" t="s">
        <v>2538</v>
      </c>
      <c r="B41" s="3041" t="s">
        <v>2539</v>
      </c>
      <c r="C41" s="3042" t="s">
        <v>2540</v>
      </c>
      <c r="D41" s="3042" t="s">
        <v>2541</v>
      </c>
      <c r="E41" s="3043"/>
      <c r="F41" s="3044"/>
      <c r="G41" s="3045"/>
      <c r="I41" s="3052">
        <v>40</v>
      </c>
      <c r="J41" s="3052">
        <v>100</v>
      </c>
      <c r="K41" s="3052">
        <f t="shared" si="3"/>
        <v>2.7999999999999972</v>
      </c>
    </row>
    <row r="42" spans="1:13">
      <c r="A42" s="3040" t="s">
        <v>2542</v>
      </c>
      <c r="B42" s="3041" t="s">
        <v>2543</v>
      </c>
      <c r="C42" s="3042" t="s">
        <v>2544</v>
      </c>
      <c r="D42" s="3046" t="s">
        <v>2545</v>
      </c>
      <c r="E42" s="3038" t="s">
        <v>2546</v>
      </c>
      <c r="F42" s="3038"/>
      <c r="G42" s="3039"/>
    </row>
    <row r="43" spans="1:13">
      <c r="A43" s="3040" t="s">
        <v>2547</v>
      </c>
      <c r="B43" s="3041" t="s">
        <v>2548</v>
      </c>
      <c r="C43" s="3042" t="s">
        <v>2549</v>
      </c>
      <c r="D43" s="3042" t="s">
        <v>2550</v>
      </c>
      <c r="E43" s="3043" t="s">
        <v>2551</v>
      </c>
      <c r="F43" s="3044"/>
      <c r="G43" s="3045"/>
      <c r="I43" s="3052" t="s">
        <v>2559</v>
      </c>
      <c r="J43" s="3052" t="s">
        <v>2570</v>
      </c>
    </row>
    <row r="44" spans="1:13">
      <c r="A44" s="3040" t="s">
        <v>2552</v>
      </c>
      <c r="B44" s="3041" t="s">
        <v>2553</v>
      </c>
      <c r="C44" s="3042" t="s">
        <v>2554</v>
      </c>
      <c r="D44" s="3046">
        <v>0.5</v>
      </c>
      <c r="E44" s="3043" t="s">
        <v>2555</v>
      </c>
      <c r="F44" s="3044"/>
      <c r="G44" s="3045"/>
      <c r="I44" s="3052">
        <v>30</v>
      </c>
      <c r="J44" s="3052">
        <v>81.7</v>
      </c>
    </row>
    <row r="45" spans="1:13" ht="14.25" thickBot="1">
      <c r="A45" s="3047" t="s">
        <v>2556</v>
      </c>
      <c r="B45" s="3048" t="s">
        <v>2543</v>
      </c>
      <c r="C45" s="3049" t="s">
        <v>2543</v>
      </c>
      <c r="D45" s="3049" t="s">
        <v>2557</v>
      </c>
      <c r="E45" s="3050" t="s">
        <v>2558</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2" sqref="I42"/>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2168</v>
      </c>
      <c r="B1" s="3506" t="str">
        <f>IF(B10="北京市","北京市",C10)&amp;F10&amp;IF(结果表!G1="在建","出让国有建设用地使用权及在建建筑物",IF(结果表!G1="土地","出让国有建设用地使用权",))&amp;B9&amp;"预评估"</f>
        <v>预评估</v>
      </c>
      <c r="C1" s="3507"/>
      <c r="D1" s="3507"/>
      <c r="E1" s="3507"/>
      <c r="F1" s="3507"/>
      <c r="G1" s="3507"/>
      <c r="H1" s="3507"/>
      <c r="I1" s="3508"/>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房地产</v>
      </c>
      <c r="T2" s="1741"/>
      <c r="U2" s="1741"/>
      <c r="V2" s="1741"/>
      <c r="W2" s="1741"/>
      <c r="X2" s="1741"/>
      <c r="Y2" s="1741"/>
      <c r="Z2" s="1741"/>
      <c r="AA2" s="1741"/>
      <c r="AB2" s="1741"/>
    </row>
    <row r="3" spans="1:30">
      <c r="A3" s="302" t="s">
        <v>2170</v>
      </c>
      <c r="B3" s="2369">
        <v>45411</v>
      </c>
      <c r="C3" s="2370" t="s">
        <v>2171</v>
      </c>
      <c r="D3" s="2369">
        <f>B3</f>
        <v>45411</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3370</v>
      </c>
      <c r="C8" s="2386"/>
      <c r="D8" s="3509" t="s">
        <v>2177</v>
      </c>
      <c r="E8" s="2387"/>
      <c r="F8" s="2388"/>
      <c r="G8" s="2659"/>
      <c r="H8" s="2659"/>
      <c r="I8" s="2659"/>
      <c r="J8" s="2435"/>
      <c r="K8" s="2610"/>
      <c r="L8" s="2609"/>
      <c r="M8" s="2609"/>
      <c r="N8" s="2435"/>
      <c r="O8" s="2446"/>
      <c r="P8" s="2435"/>
      <c r="Q8" s="2435"/>
      <c r="R8" s="2435"/>
    </row>
    <row r="9" spans="1:30" ht="13.5" thickBot="1">
      <c r="A9" s="2389" t="s">
        <v>2178</v>
      </c>
      <c r="B9" s="2390"/>
      <c r="C9" s="2391"/>
      <c r="D9" s="3510"/>
      <c r="E9" s="2390"/>
      <c r="F9" s="2392"/>
      <c r="G9" s="2661"/>
      <c r="H9" s="2661"/>
      <c r="I9" s="2661"/>
      <c r="J9" s="2435"/>
      <c r="K9" s="2612"/>
      <c r="L9" s="2609"/>
      <c r="M9" s="2609"/>
      <c r="N9" s="2435"/>
      <c r="O9" s="2446"/>
      <c r="P9" s="2435"/>
      <c r="Q9" s="2435"/>
      <c r="R9" s="2435"/>
    </row>
    <row r="10" spans="1:30" ht="13.5" thickTop="1">
      <c r="A10" s="2393" t="s">
        <v>2179</v>
      </c>
      <c r="B10" s="2394"/>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c r="C11" s="2399"/>
      <c r="D11" s="2400"/>
      <c r="E11" s="2366"/>
      <c r="F11" s="2366"/>
      <c r="G11" s="2366"/>
      <c r="H11" s="2366"/>
      <c r="I11" s="2366"/>
      <c r="J11" s="3055"/>
      <c r="K11" s="3054"/>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3" t="s">
        <v>2571</v>
      </c>
      <c r="J12" s="3056"/>
      <c r="K12" s="2609"/>
      <c r="L12" s="2609"/>
      <c r="M12" s="2435"/>
      <c r="N12" s="2446"/>
      <c r="O12" s="2435"/>
      <c r="P12" s="2435"/>
      <c r="Q12" s="2435"/>
      <c r="AD12" s="1741"/>
    </row>
    <row r="13" spans="1:30">
      <c r="A13" s="3417" t="s">
        <v>3327</v>
      </c>
      <c r="B13" s="2403" t="s">
        <v>2190</v>
      </c>
      <c r="C13" s="853"/>
      <c r="D13" s="853">
        <v>52299</v>
      </c>
      <c r="E13" s="853"/>
      <c r="F13" s="853">
        <v>52299</v>
      </c>
      <c r="G13" s="853"/>
      <c r="H13" s="853"/>
      <c r="I13" s="853"/>
      <c r="J13" s="3056"/>
      <c r="K13" s="2609"/>
      <c r="L13" s="2609"/>
      <c r="M13" s="2435"/>
      <c r="N13" s="2446"/>
      <c r="O13" s="2435"/>
      <c r="P13" s="2435"/>
      <c r="Q13" s="2435"/>
      <c r="AD13" s="1741"/>
    </row>
    <row r="14" spans="1:30">
      <c r="A14" s="1078"/>
      <c r="B14" s="2403" t="s">
        <v>2191</v>
      </c>
      <c r="C14" s="2404"/>
      <c r="D14" s="2404">
        <v>40</v>
      </c>
      <c r="E14" s="2404"/>
      <c r="F14" s="2404">
        <v>40</v>
      </c>
      <c r="G14" s="2404"/>
      <c r="H14" s="2404"/>
      <c r="I14" s="2404"/>
      <c r="J14" s="3057"/>
      <c r="K14" s="2609"/>
      <c r="L14" s="2609"/>
      <c r="M14" s="2435"/>
      <c r="N14" s="2446"/>
      <c r="O14" s="2435"/>
      <c r="P14" s="2435"/>
      <c r="Q14" s="2435"/>
      <c r="AD14" s="1741"/>
    </row>
    <row r="15" spans="1:30">
      <c r="A15" s="320"/>
      <c r="B15" s="2405" t="s">
        <v>2192</v>
      </c>
      <c r="C15" s="2406" t="str">
        <f>IF(A13="出让",IF(C13="","",ROUNDDOWN(MIN((C13-$D$3)/365,C14),2)),C14)</f>
        <v/>
      </c>
      <c r="D15" s="2406">
        <f>IF(A13="出让",IF(D13="","",ROUNDDOWN(MIN((D13-$D$3)/365,D14),2)),D14)</f>
        <v>18.87</v>
      </c>
      <c r="E15" s="2406" t="str">
        <f>IF(A13="出让",IF(E13="","",ROUNDDOWN(MIN((E13-$D$3)/365,E14),2)),E14)</f>
        <v/>
      </c>
      <c r="F15" s="2406">
        <f>IF(A13="出让",IF(F13="","",ROUNDDOWN(MIN((F13-$D$3)/365,F14),2)),F14)</f>
        <v>18.87</v>
      </c>
      <c r="G15" s="2406" t="str">
        <f>IF(A13="出让",IF(G13="","",ROUNDDOWN(MIN((G13-$D$3)/365,G14),2)),G14)</f>
        <v/>
      </c>
      <c r="H15" s="2406" t="str">
        <f>IF(A13="出让",IF(H13="","",ROUNDDOWN(MIN((H13-$D$3)/365,H14),2)),H14)</f>
        <v/>
      </c>
      <c r="I15" s="2406" t="str">
        <f>IF(A13="出让",IF(I13="","",ROUNDDOWN(MIN((I13-$D$3)/365,I14),2)),I14)</f>
        <v/>
      </c>
      <c r="J15" s="3058"/>
      <c r="K15" s="2447"/>
      <c r="L15" s="2447"/>
      <c r="M15" s="2505"/>
      <c r="N15" s="2447"/>
      <c r="O15" s="2505"/>
      <c r="P15" s="2435"/>
      <c r="Q15" s="2435"/>
      <c r="AD15" s="1741"/>
    </row>
    <row r="16" spans="1:30">
      <c r="A16" s="2396" t="s">
        <v>2193</v>
      </c>
      <c r="B16" s="3516"/>
      <c r="C16" s="3517"/>
      <c r="D16" s="3518"/>
      <c r="E16" s="2409" t="s">
        <v>2194</v>
      </c>
      <c r="F16" s="3519"/>
      <c r="G16" s="3520"/>
      <c r="H16" s="3520"/>
      <c r="I16" s="3521"/>
      <c r="J16" s="2435"/>
      <c r="K16" s="2613"/>
      <c r="L16" s="2447"/>
      <c r="M16" s="2447"/>
      <c r="N16" s="2505"/>
      <c r="O16" s="2447"/>
      <c r="P16" s="2505"/>
      <c r="Q16" s="2435"/>
      <c r="R16" s="2435"/>
    </row>
    <row r="17" spans="1:28">
      <c r="A17" s="313" t="s">
        <v>2195</v>
      </c>
      <c r="B17" s="302" t="s">
        <v>2196</v>
      </c>
      <c r="C17" s="8">
        <f>'数据-汇总表'!E3</f>
        <v>10935.989999999998</v>
      </c>
      <c r="D17" s="2318" t="s">
        <v>2197</v>
      </c>
      <c r="E17" s="3522" t="s">
        <v>2198</v>
      </c>
      <c r="F17" s="3523"/>
      <c r="G17" s="3523"/>
      <c r="H17" s="3523"/>
      <c r="I17" s="3524"/>
      <c r="J17" s="2435"/>
      <c r="K17" s="2614"/>
      <c r="L17" s="2447"/>
      <c r="M17" s="2447"/>
      <c r="N17" s="2505"/>
      <c r="O17" s="2447"/>
      <c r="P17" s="2505"/>
      <c r="Q17" s="2435"/>
      <c r="R17" s="2435"/>
      <c r="S17" s="2435"/>
      <c r="T17" s="2435"/>
      <c r="U17" s="2435"/>
      <c r="V17" s="2435"/>
    </row>
    <row r="18" spans="1:28" ht="24.75" thickBot="1">
      <c r="A18" s="2410" t="s">
        <v>2199</v>
      </c>
      <c r="B18" s="1087" t="s">
        <v>2200</v>
      </c>
      <c r="C18" s="2411">
        <f>'数据-汇总表'!D3</f>
        <v>3258.72</v>
      </c>
      <c r="D18" s="1089" t="s">
        <v>2201</v>
      </c>
      <c r="E18" s="3525" t="s">
        <v>2202</v>
      </c>
      <c r="F18" s="3526"/>
      <c r="G18" s="3526"/>
      <c r="H18" s="3526"/>
      <c r="I18" s="3527"/>
      <c r="J18" s="2435"/>
      <c r="K18" s="2614"/>
      <c r="L18" s="2447"/>
      <c r="M18" s="2447"/>
      <c r="N18" s="2505"/>
      <c r="O18" s="2447"/>
      <c r="P18" s="2505"/>
      <c r="Q18" s="2435"/>
      <c r="R18" s="2435"/>
      <c r="S18" s="2435"/>
      <c r="T18" s="2435"/>
      <c r="U18" s="2435"/>
      <c r="V18" s="2435"/>
    </row>
    <row r="19" spans="1:28" ht="37.5" thickTop="1" thickBot="1">
      <c r="A19" s="327" t="s">
        <v>1055</v>
      </c>
      <c r="B19" s="307"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512" t="s">
        <v>2206</v>
      </c>
      <c r="C20" s="3513"/>
      <c r="D20" s="3514" t="s">
        <v>2207</v>
      </c>
      <c r="E20" s="3515"/>
      <c r="F20" s="2643" t="s">
        <v>1056</v>
      </c>
      <c r="G20" s="2660"/>
      <c r="H20" s="2660"/>
      <c r="I20" s="2660"/>
      <c r="J20" s="2435"/>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2209</v>
      </c>
      <c r="C21" s="2630" t="s">
        <v>1057</v>
      </c>
      <c r="D21" s="1564" t="s">
        <v>2210</v>
      </c>
      <c r="E21" s="2631" t="s">
        <v>1057</v>
      </c>
      <c r="F21" s="2644"/>
      <c r="G21" s="2660"/>
      <c r="H21" s="2660"/>
      <c r="I21" s="2660"/>
      <c r="J21" s="2435"/>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2211</v>
      </c>
      <c r="C22" s="2630" t="s">
        <v>1058</v>
      </c>
      <c r="D22" s="2659"/>
      <c r="E22" s="2659"/>
      <c r="F22" s="2659"/>
      <c r="G22" s="2660"/>
      <c r="H22" s="2660"/>
      <c r="I22" s="2660"/>
      <c r="J22" s="2435"/>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29"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29"/>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29"/>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30"/>
      <c r="B30" s="302" t="s">
        <v>2218</v>
      </c>
      <c r="C30" s="3531"/>
      <c r="D30" s="3532"/>
      <c r="E30" s="2660"/>
      <c r="F30" s="2660"/>
      <c r="G30" s="2660"/>
      <c r="H30" s="2660"/>
      <c r="I30" s="2660"/>
      <c r="J30" s="2435"/>
      <c r="K30" s="2612"/>
      <c r="L30" s="2609"/>
      <c r="M30" s="2609"/>
      <c r="N30" s="2435"/>
      <c r="O30" s="2446"/>
      <c r="P30" s="2435"/>
      <c r="Q30" s="2435"/>
      <c r="R30" s="2435"/>
      <c r="S30" s="2435"/>
      <c r="T30" s="2435"/>
      <c r="U30" s="2435"/>
      <c r="V30" s="2435"/>
    </row>
    <row r="31" spans="1:28">
      <c r="A31" s="3533" t="s">
        <v>2219</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34"/>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34"/>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28" t="s">
        <v>2228</v>
      </c>
      <c r="T34" s="2424" t="str">
        <f>NUMBERSTRING(7-K34,1)&amp;"通"</f>
        <v>七通</v>
      </c>
      <c r="U34" s="2435"/>
      <c r="V34" s="2435"/>
    </row>
    <row r="35" spans="1:30">
      <c r="A35" s="2425"/>
      <c r="B35" s="3535" t="s">
        <v>2229</v>
      </c>
      <c r="C35" s="3535"/>
      <c r="D35" s="3535"/>
      <c r="E35" s="3535"/>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8"/>
      <c r="T35" s="329" t="str">
        <f>IF(T34="一通",L35,IF(T34="二通",M35,IF(T34="三通",N35,IF(T34="四通",O35,IF(T34="五通",P35,IF(T34="六通",Q35,R35))))))</f>
        <v>、、、、、、</v>
      </c>
      <c r="U35" s="2435"/>
      <c r="V35" s="2435"/>
    </row>
    <row r="36" spans="1:30">
      <c r="A36" s="2426"/>
      <c r="B36" s="664" t="s">
        <v>2185</v>
      </c>
      <c r="C36" s="664" t="s">
        <v>2186</v>
      </c>
      <c r="D36" s="664" t="s">
        <v>2184</v>
      </c>
      <c r="E36" s="664" t="s">
        <v>2189</v>
      </c>
      <c r="F36" s="3059" t="s">
        <v>2574</v>
      </c>
      <c r="G36" s="2660"/>
      <c r="H36" s="2660"/>
      <c r="I36" s="2660"/>
      <c r="J36" s="2435"/>
      <c r="K36" s="2612"/>
      <c r="L36" s="2609"/>
      <c r="M36" s="2609"/>
      <c r="N36" s="2435"/>
      <c r="O36" s="2446"/>
      <c r="P36" s="2435"/>
      <c r="Q36" s="2435"/>
      <c r="R36" s="2435"/>
      <c r="S36" s="2435"/>
      <c r="T36" s="2435"/>
      <c r="U36" s="2435"/>
      <c r="V36" s="2435"/>
    </row>
    <row r="37" spans="1:30">
      <c r="A37" s="2626" t="s">
        <v>2230</v>
      </c>
      <c r="B37" s="2427" t="s">
        <v>303</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t="s">
        <v>2982</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0" sqref="M10"/>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11268.85</v>
      </c>
      <c r="B3" s="11">
        <f>IF(C3="否",G5-AT5,G5)</f>
        <v>37817.269999999997</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37817.269999999997</v>
      </c>
      <c r="H5" s="13">
        <f t="shared" ref="H5:AT5" si="0">SUM(H13:H656)</f>
        <v>37817.269999999997</v>
      </c>
      <c r="I5" s="13">
        <f t="shared" si="0"/>
        <v>15259.079999999998</v>
      </c>
      <c r="J5" s="13">
        <f t="shared" si="0"/>
        <v>0</v>
      </c>
      <c r="K5" s="13">
        <f t="shared" si="0"/>
        <v>14603.89</v>
      </c>
      <c r="L5" s="13">
        <f t="shared" si="0"/>
        <v>0</v>
      </c>
      <c r="M5" s="13">
        <f t="shared" si="0"/>
        <v>7954.3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10935.989999999998</v>
      </c>
      <c r="BA5" s="15">
        <f t="shared" si="1"/>
        <v>10935.989999999998</v>
      </c>
      <c r="BB5" s="15">
        <f t="shared" si="1"/>
        <v>10935.989999999998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11268.84</v>
      </c>
      <c r="F6" s="13" t="s">
        <v>0</v>
      </c>
      <c r="G6" s="13" t="s">
        <v>1</v>
      </c>
      <c r="H6" s="17">
        <f>SUMIF(I$12:AB$12,"总值",I6:AB6)</f>
        <v>11268.84</v>
      </c>
      <c r="I6" s="13">
        <f t="shared" ref="I6:AB6" si="2">ROUND($A$3*I5/$B$3,2)</f>
        <v>4546.92</v>
      </c>
      <c r="J6" s="13">
        <f t="shared" si="2"/>
        <v>0</v>
      </c>
      <c r="K6" s="13">
        <f t="shared" si="2"/>
        <v>4351.6899999999996</v>
      </c>
      <c r="L6" s="13">
        <f t="shared" si="2"/>
        <v>0</v>
      </c>
      <c r="M6" s="13">
        <f t="shared" si="2"/>
        <v>2370.23</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3258.72</v>
      </c>
      <c r="AZ6" s="13" t="s">
        <v>2</v>
      </c>
      <c r="BA6" s="13">
        <f>ROUND($AY$6*BA5/$AZ$5,2)</f>
        <v>3258.72</v>
      </c>
      <c r="BB6" s="13">
        <f>ROUND($AY$6*BB5/$AZ$5,2)</f>
        <v>3258.72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6"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3374</v>
      </c>
      <c r="J9" s="806"/>
      <c r="K9" s="1599" t="s">
        <v>3374</v>
      </c>
      <c r="L9" s="806"/>
      <c r="M9" s="1599" t="s">
        <v>3375</v>
      </c>
      <c r="N9" s="806"/>
      <c r="O9" s="1599"/>
      <c r="P9" s="806"/>
      <c r="Q9" s="1599"/>
      <c r="R9" s="806"/>
      <c r="S9" s="1599"/>
      <c r="T9" s="806"/>
      <c r="U9" s="1599"/>
      <c r="V9" s="806"/>
      <c r="W9" s="1599"/>
      <c r="X9" s="1600"/>
      <c r="Y9" s="1599"/>
      <c r="Z9" s="806"/>
      <c r="AA9" s="1599"/>
      <c r="AB9" s="806"/>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6"/>
      <c r="K10" s="1605" t="s">
        <v>673</v>
      </c>
      <c r="L10" s="806"/>
      <c r="M10" s="1605" t="s">
        <v>3328</v>
      </c>
      <c r="N10" s="806"/>
      <c r="O10" s="1605"/>
      <c r="P10" s="806"/>
      <c r="Q10" s="1605"/>
      <c r="R10" s="806"/>
      <c r="S10" s="1605"/>
      <c r="T10" s="806"/>
      <c r="U10" s="1605"/>
      <c r="V10" s="806"/>
      <c r="W10" s="1605"/>
      <c r="X10" s="806"/>
      <c r="Y10" s="1605"/>
      <c r="Z10" s="806"/>
      <c r="AA10" s="1605"/>
      <c r="AB10" s="806"/>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t="str">
        <f>K10</f>
        <v>商业</v>
      </c>
      <c r="BD11" s="1595" t="str">
        <f>M10</f>
        <v>车库</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3810" t="s">
        <v>3590</v>
      </c>
      <c r="D13" s="1621" t="s">
        <v>3376</v>
      </c>
      <c r="E13" s="13">
        <f>IF($C$3="是",ROUND($A$3*G13/$B$3,2),ROUND($A$3*(G13-AT13)/$B$3,2))</f>
        <v>3258.72</v>
      </c>
      <c r="F13" s="29"/>
      <c r="G13" s="30">
        <f>H13+AC13+AT13</f>
        <v>10935.989999999998</v>
      </c>
      <c r="H13" s="17">
        <f>SUMIF(I$12:AB$12,"总值",I13:AB13)</f>
        <v>10935.989999999998</v>
      </c>
      <c r="I13" s="1622">
        <f>Sheet2!H21</f>
        <v>10935.989999999998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办公</v>
      </c>
      <c r="AY13" s="1345">
        <f>ROUND($AY$6*AZ13/$AZ$5,2)</f>
        <v>3258.72</v>
      </c>
      <c r="AZ13" s="13">
        <f>BA13+BL13</f>
        <v>10935.989999999998</v>
      </c>
      <c r="BA13" s="13">
        <f>SUM(BB13:BK13)</f>
        <v>10935.989999999998</v>
      </c>
      <c r="BB13" s="13">
        <f>IF($D13="是",I13-J13,0)</f>
        <v>10935.989999999998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3443" t="s">
        <v>3591</v>
      </c>
      <c r="D14" s="1621" t="s">
        <v>3377</v>
      </c>
      <c r="E14" s="13">
        <f>IF($C$3="是",ROUND($A$3*G14/$B$3,2),ROUND($A$3*(G14-AT14)/$B$3,2))</f>
        <v>8010.13</v>
      </c>
      <c r="F14" s="29"/>
      <c r="G14" s="30">
        <f>H14+AC14+AT14</f>
        <v>26881.279999999999</v>
      </c>
      <c r="H14" s="17">
        <f>SUMIF(I$12:AB$12,"总值",I14:AB14)</f>
        <v>26881.279999999999</v>
      </c>
      <c r="I14" s="1622">
        <f>Sheet2!F25</f>
        <v>4323.09</v>
      </c>
      <c r="J14" s="1622"/>
      <c r="K14" s="1622">
        <f>Sheet2!H26+Sheet2!H27</f>
        <v>14603.89</v>
      </c>
      <c r="L14" s="1622"/>
      <c r="M14" s="1622">
        <f>Sheet2!J28:J28</f>
        <v>7954.3</v>
      </c>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t="str">
        <f t="shared" si="6"/>
        <v>商业</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3443"/>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3443"/>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3443"/>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6" sqref="D46"/>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45" t="s">
        <v>1131</v>
      </c>
      <c r="B2" s="3545"/>
      <c r="C2" s="3545"/>
      <c r="D2" s="793" t="s">
        <v>1107</v>
      </c>
      <c r="E2" s="1635" t="s">
        <v>1108</v>
      </c>
      <c r="F2" s="2655"/>
      <c r="G2" s="2646"/>
      <c r="H2" s="2647"/>
      <c r="I2" s="2321" t="s">
        <v>1132</v>
      </c>
      <c r="J2" s="2655"/>
      <c r="K2" s="2655"/>
      <c r="L2" s="2655"/>
      <c r="M2" s="2655"/>
      <c r="N2" s="2657"/>
      <c r="O2" s="2655"/>
      <c r="P2" s="2655"/>
    </row>
    <row r="3" spans="1:16" ht="15.75" thickBot="1">
      <c r="A3" s="3546" t="s">
        <v>1105</v>
      </c>
      <c r="B3" s="3546"/>
      <c r="C3" s="3546"/>
      <c r="D3" s="43">
        <f>'数据-基础表'!AY6</f>
        <v>3258.72</v>
      </c>
      <c r="E3" s="43">
        <f>'数据-基础表'!AZ5</f>
        <v>10935.989999999998</v>
      </c>
      <c r="F3" s="2655"/>
      <c r="G3" s="1142"/>
      <c r="H3" s="1023" t="s">
        <v>1106</v>
      </c>
      <c r="I3" s="852">
        <f>ROUND('数据-基础表'!B3/'数据-基础表'!A3,2)</f>
        <v>3.36</v>
      </c>
      <c r="J3" s="2655"/>
      <c r="K3" s="2655"/>
      <c r="L3" s="2655"/>
      <c r="M3" s="2655"/>
      <c r="N3" s="2657"/>
      <c r="O3" s="2655"/>
      <c r="P3" s="2655"/>
    </row>
    <row r="4" spans="1:16" ht="15">
      <c r="A4" s="3547"/>
      <c r="B4" s="3548"/>
      <c r="C4" s="3549"/>
      <c r="D4" s="1637" t="s">
        <v>1107</v>
      </c>
      <c r="E4" s="1638" t="s">
        <v>1108</v>
      </c>
      <c r="F4" s="2655"/>
      <c r="G4" s="2648" t="s">
        <v>1133</v>
      </c>
      <c r="H4" s="1023" t="s">
        <v>1113</v>
      </c>
      <c r="I4" s="852">
        <f>ROUND(SUMIF('数据-基础表'!I9:AS9,"地上",'数据-基础表'!I5:AS5)/'数据-基础表'!A3,2)</f>
        <v>2.65</v>
      </c>
      <c r="J4" s="2655"/>
      <c r="K4" s="2655"/>
      <c r="L4" s="2655"/>
      <c r="M4" s="2655"/>
      <c r="N4" s="2657"/>
      <c r="O4" s="2655"/>
      <c r="P4" s="2655"/>
    </row>
    <row r="5" spans="1:16">
      <c r="A5" s="44" t="s">
        <v>1109</v>
      </c>
      <c r="B5" s="3550" t="s">
        <v>1110</v>
      </c>
      <c r="C5" s="3550"/>
      <c r="D5" s="45">
        <f>ROUND($D$3*E5/$E$3,2)</f>
        <v>0</v>
      </c>
      <c r="E5" s="46">
        <f>SUMIF('数据-基础表'!$11:$11,"住宅",'数据-基础表'!$5:$5)</f>
        <v>0</v>
      </c>
      <c r="F5" s="2655"/>
      <c r="G5" s="1142"/>
      <c r="H5" s="1023" t="s">
        <v>1106</v>
      </c>
      <c r="I5" s="852">
        <f>ROUND(E31/D31,2)</f>
        <v>3.36</v>
      </c>
      <c r="J5" s="2655"/>
      <c r="K5" s="2655"/>
      <c r="L5" s="2655"/>
      <c r="M5" s="2655"/>
      <c r="N5" s="2655"/>
      <c r="O5" s="2655"/>
      <c r="P5" s="2655"/>
    </row>
    <row r="6" spans="1:16" ht="15" thickBot="1">
      <c r="A6" s="1640"/>
      <c r="B6" s="3550" t="s">
        <v>1111</v>
      </c>
      <c r="C6" s="3550"/>
      <c r="D6" s="45">
        <f>ROUND($D$3*E6/$E$3,2)</f>
        <v>3258.72</v>
      </c>
      <c r="E6" s="46">
        <f>E3-E5</f>
        <v>10935.989999999998</v>
      </c>
      <c r="F6" s="2655"/>
      <c r="G6" s="2649" t="s">
        <v>1112</v>
      </c>
      <c r="H6" s="1143" t="s">
        <v>1113</v>
      </c>
      <c r="I6" s="2650">
        <f>ROUND(F31/D31,2)</f>
        <v>3.36</v>
      </c>
      <c r="J6" s="2655"/>
      <c r="K6" s="2655"/>
      <c r="L6" s="2655"/>
      <c r="M6" s="2655"/>
      <c r="N6" s="2655"/>
      <c r="O6" s="2655"/>
      <c r="P6" s="2655"/>
    </row>
    <row r="7" spans="1:16" ht="15.75" thickBot="1">
      <c r="A7" s="3542"/>
      <c r="B7" s="3543"/>
      <c r="C7" s="3544"/>
      <c r="D7" s="1637" t="s">
        <v>1107</v>
      </c>
      <c r="E7" s="1641" t="s">
        <v>1114</v>
      </c>
      <c r="F7" s="2655"/>
      <c r="G7" s="2651" t="s">
        <v>1115</v>
      </c>
      <c r="H7" s="2652"/>
      <c r="I7" s="2653">
        <v>1.35</v>
      </c>
      <c r="J7" s="2655"/>
      <c r="K7" s="2655"/>
      <c r="L7" s="2655"/>
      <c r="M7" s="2655"/>
      <c r="N7" s="2655"/>
      <c r="O7" s="2655"/>
      <c r="P7" s="2655"/>
    </row>
    <row r="8" spans="1:16">
      <c r="A8" s="44" t="s">
        <v>1116</v>
      </c>
      <c r="B8" s="47" t="s">
        <v>1117</v>
      </c>
      <c r="C8" s="45" t="s">
        <v>1118</v>
      </c>
      <c r="D8" s="45">
        <f t="shared" ref="D8:D15" si="0">ROUND($D$3*E8/$E$3,2)</f>
        <v>3258.72</v>
      </c>
      <c r="E8" s="48">
        <f>SUMIF('数据-基础表'!BB10:BK10,"地上",'数据-基础表'!BB5:BK5)</f>
        <v>10935.989999999998</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3258.72</v>
      </c>
      <c r="E16" s="50">
        <f>SUM(E8:E15)</f>
        <v>10935.989999999998</v>
      </c>
      <c r="F16" s="2655"/>
      <c r="G16" s="2656"/>
      <c r="H16" s="1644" t="s">
        <v>1135</v>
      </c>
      <c r="I16" s="1645"/>
      <c r="J16" s="1136"/>
      <c r="K16" s="3539" t="s">
        <v>1135</v>
      </c>
      <c r="L16" s="3540"/>
      <c r="M16" s="3540"/>
      <c r="N16" s="3540"/>
      <c r="O16" s="3540"/>
      <c r="P16" s="3541"/>
    </row>
    <row r="17" spans="1:19" ht="15">
      <c r="A17" s="1646" t="s">
        <v>1136</v>
      </c>
      <c r="B17" s="1647" t="s">
        <v>1137</v>
      </c>
      <c r="C17" s="1648" t="s">
        <v>1138</v>
      </c>
      <c r="D17" s="1649" t="s">
        <v>1126</v>
      </c>
      <c r="E17" s="1650" t="s">
        <v>1127</v>
      </c>
      <c r="F17" s="1651"/>
      <c r="G17" s="1652"/>
      <c r="H17" s="1653" t="s">
        <v>1139</v>
      </c>
      <c r="I17" s="1654" t="s">
        <v>1124</v>
      </c>
      <c r="J17" s="1136"/>
      <c r="K17" s="3536" t="s">
        <v>1140</v>
      </c>
      <c r="L17" s="3537"/>
      <c r="M17" s="3538"/>
      <c r="N17" s="3536" t="s">
        <v>1141</v>
      </c>
      <c r="O17" s="3537"/>
      <c r="P17" s="3538"/>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11" t="s">
        <v>3602</v>
      </c>
      <c r="D19" s="45">
        <f>ROUND($D$3*E19/$E$3,2)</f>
        <v>3258.72</v>
      </c>
      <c r="E19" s="53">
        <f t="shared" ref="E19:E26" si="1">SUM(F19:G19)</f>
        <v>10935.989999999998</v>
      </c>
      <c r="F19" s="3445">
        <f>'数据-基础表'!I13</f>
        <v>10935.989999999998</v>
      </c>
      <c r="G19" s="3446"/>
      <c r="H19" s="670">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3258.72</v>
      </c>
      <c r="S19" s="1024">
        <f t="shared" si="5"/>
        <v>10935.989999999998</v>
      </c>
    </row>
    <row r="20" spans="1:19">
      <c r="A20" s="1666"/>
      <c r="B20" s="47" t="s">
        <v>1153</v>
      </c>
      <c r="C20" s="3411"/>
      <c r="D20" s="45">
        <f t="shared" ref="D20:D26" si="6">ROUND($D$3*E20/$E$3,2)</f>
        <v>0</v>
      </c>
      <c r="E20" s="53">
        <f t="shared" si="1"/>
        <v>0</v>
      </c>
      <c r="F20" s="3445"/>
      <c r="G20" s="3446">
        <f>'数据-基础表'!M16</f>
        <v>0</v>
      </c>
      <c r="H20" s="670">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44"/>
      <c r="D21" s="45">
        <f t="shared" si="6"/>
        <v>0</v>
      </c>
      <c r="E21" s="53">
        <f t="shared" si="1"/>
        <v>0</v>
      </c>
      <c r="F21" s="3445"/>
      <c r="G21" s="3446"/>
      <c r="H21" s="670">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44"/>
      <c r="D22" s="45">
        <f t="shared" si="6"/>
        <v>0</v>
      </c>
      <c r="E22" s="53">
        <f t="shared" si="1"/>
        <v>0</v>
      </c>
      <c r="F22" s="3447"/>
      <c r="G22" s="3448"/>
      <c r="H22" s="670">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2"/>
      <c r="D23" s="45">
        <f>ROUND($D$3*E23/$E$3,2)</f>
        <v>0</v>
      </c>
      <c r="E23" s="53">
        <f>SUM(F23:G23)</f>
        <v>0</v>
      </c>
      <c r="F23" s="2791"/>
      <c r="G23" s="2792"/>
      <c r="H23" s="670">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2"/>
      <c r="D24" s="45">
        <f>ROUND($D$3*E24/$E$3,2)</f>
        <v>0</v>
      </c>
      <c r="E24" s="53">
        <f>SUM(F24:G24)</f>
        <v>0</v>
      </c>
      <c r="F24" s="2791"/>
      <c r="G24" s="2792"/>
      <c r="H24" s="670">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2"/>
      <c r="D25" s="45">
        <f t="shared" si="6"/>
        <v>0</v>
      </c>
      <c r="E25" s="53">
        <f t="shared" si="1"/>
        <v>0</v>
      </c>
      <c r="F25" s="2791"/>
      <c r="G25" s="2792"/>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1"/>
      <c r="G26" s="2792"/>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3258.72</v>
      </c>
      <c r="E27" s="1138">
        <f>IF(SUM(E19:E26)='数据-基础表'!BA5,SUM(E19:E26),IF(F27="地上面积有误","面积有误","地下面积有误"))</f>
        <v>10935.989999999998</v>
      </c>
      <c r="F27" s="1137">
        <f>IF(SUM(F19:F26)=E8,SUM(F19:F26),"地上面积有误")</f>
        <v>10935.989999999998</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3258.72</v>
      </c>
      <c r="S27" s="1023">
        <f>IF(SUM(S19:S26)=$E$3,SUM(S19:S26),SUM(S19:S26)&amp;"误差"&amp;ROUND(SUM(S19:S26)-E3,2))</f>
        <v>10935.989999999998</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2" t="s">
        <v>1158</v>
      </c>
      <c r="D31" s="676">
        <f>D27+D30</f>
        <v>3258.72</v>
      </c>
      <c r="E31" s="676">
        <f>E27+E30</f>
        <v>10935.989999999998</v>
      </c>
      <c r="F31" s="677">
        <f>F27+F30</f>
        <v>10935.989999999998</v>
      </c>
      <c r="G31" s="678">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2">
        <f>项目基本情况!D3</f>
        <v>45411</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3378</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673</v>
      </c>
      <c r="D6" s="855">
        <f>SUMIF(项目基本情况!C$12:I$12,C6,项目基本情况!C$14:I$14)</f>
        <v>40</v>
      </c>
      <c r="E6" s="854">
        <f>IF(B6="","",SUMIF(项目基本情况!C$12:I$12,C6,项目基本情况!C$13:I$13))</f>
        <v>52299</v>
      </c>
      <c r="F6" s="64">
        <f>SUMIF(项目基本情况!C$12:I$12,C6,项目基本情况!C$15:I$15)</f>
        <v>18.87</v>
      </c>
      <c r="G6" s="65">
        <f>IF(ISERROR(ROUND(POWER(1+H6,D6-F6)*(POWER(1+H6,F6)-1)/(POWER(1+H6,D6)-1),3)),0,ROUND(POWER(1+H6,D6-F6)*(POWER(1+H6,F6)-1)/(POWER(1+H6,D6)-1),3))</f>
        <v>0.70099999999999996</v>
      </c>
      <c r="H6" s="732">
        <v>0.05</v>
      </c>
      <c r="I6" s="732">
        <v>0.06</v>
      </c>
      <c r="J6" s="66">
        <v>7.0000000000000007E-2</v>
      </c>
      <c r="K6" s="1027">
        <f>SUMIF('数据-汇总表'!C$19:C$33,A6,'数据-汇总表'!E$19:E$33)</f>
        <v>10935.989999999998</v>
      </c>
      <c r="L6" s="733">
        <v>5500</v>
      </c>
      <c r="M6" s="67">
        <f t="shared" ref="M6:M14" si="0">ROUND(K6*L6/10000,0)</f>
        <v>6015</v>
      </c>
      <c r="N6" s="731">
        <f>ROUND(1-(2024-2018)/60,2)</f>
        <v>0.9</v>
      </c>
      <c r="O6" s="67" t="str">
        <f>IF($N$5="成新度","——",ROUND(M6*N6,0))</f>
        <v>——</v>
      </c>
      <c r="P6" s="68" t="str">
        <f>IF($N$5="成新度","——",M6-O6)</f>
        <v>——</v>
      </c>
      <c r="Q6" s="734">
        <v>0.15</v>
      </c>
      <c r="R6" s="69">
        <f ca="1">SUMIF('数据-汇总表'!C$19:C$33,A6,'数据-汇总表'!R$19:R$27)</f>
        <v>3258.72</v>
      </c>
      <c r="S6" s="51">
        <f>IF('数据-汇总表'!$I$17="按面积比例",SUMIF('数据-汇总表'!C$19:C$33,A6,'数据-汇总表'!K$19:K$33),SUMIF('数据-汇总表'!C$19:C$33,A6,'数据-汇总表'!N$19:N$33))</f>
        <v>0</v>
      </c>
      <c r="T6" s="1169">
        <f>ROUND($L$14*S6/10000,0)</f>
        <v>0</v>
      </c>
      <c r="U6" s="3422">
        <v>6</v>
      </c>
      <c r="V6" s="70">
        <v>2.5000000000000001E-2</v>
      </c>
      <c r="W6" s="70">
        <v>0.15</v>
      </c>
      <c r="X6" s="1037"/>
      <c r="Y6" s="71">
        <f>N6</f>
        <v>0.9</v>
      </c>
      <c r="Z6" s="72"/>
      <c r="AA6" s="66"/>
      <c r="AB6" s="66"/>
      <c r="AC6" s="1037"/>
      <c r="AD6" s="73"/>
      <c r="AE6" s="1038">
        <f ca="1">IF(AN6="",0,SUMIF(INDIRECT("'"&amp;AN6&amp;"'"&amp;"!E:E"),$AE$5,INDIRECT("'"&amp;AN6&amp;"'"&amp;"!F:F")))</f>
        <v>18.87</v>
      </c>
      <c r="AF6" s="1344"/>
      <c r="AG6" s="138">
        <f>IF(AF6="",0,AE6-AF6)</f>
        <v>0</v>
      </c>
      <c r="AH6" s="74"/>
      <c r="AI6" s="76">
        <v>365</v>
      </c>
      <c r="AJ6" s="77"/>
      <c r="AK6" s="78">
        <v>0.01</v>
      </c>
      <c r="AL6" s="79">
        <v>1.5E-3</v>
      </c>
      <c r="AM6" s="80">
        <v>0.01</v>
      </c>
      <c r="AN6" s="1711" t="s">
        <v>3379</v>
      </c>
      <c r="AO6" s="52">
        <f ca="1">SUMIF(INDIRECT("'"&amp;AN6&amp;"'"&amp;"!A:A"),"总价",INDIRECT("'"&amp;AN6&amp;"'"&amp;"!B:B"))</f>
        <v>22270</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7">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2"/>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5">
        <f>SUMIF(项目基本情况!C$12:I$12,C8,项目基本情况!C$14:I$14)</f>
        <v>0</v>
      </c>
      <c r="E8" s="854" t="str">
        <f>IF(B8="","",SUMIF(项目基本情况!C$12:I$12,C8,项目基本情况!C$13:I$13))</f>
        <v/>
      </c>
      <c r="F8" s="64">
        <f>SUMIF(项目基本情况!C$12:I$12,C8,项目基本情况!C$15:I$15)</f>
        <v>0</v>
      </c>
      <c r="G8" s="65">
        <f t="shared" si="2"/>
        <v>0</v>
      </c>
      <c r="H8" s="732"/>
      <c r="I8" s="732"/>
      <c r="J8" s="66"/>
      <c r="K8" s="1027">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9">
        <f t="shared" si="5"/>
        <v>0</v>
      </c>
      <c r="U8" s="3423"/>
      <c r="V8" s="735"/>
      <c r="W8" s="735"/>
      <c r="X8" s="1037"/>
      <c r="Y8" s="71"/>
      <c r="Z8" s="72"/>
      <c r="AA8" s="66"/>
      <c r="AB8" s="66"/>
      <c r="AC8" s="1037"/>
      <c r="AD8" s="73"/>
      <c r="AE8" s="1038">
        <f t="shared" ca="1" si="6"/>
        <v>0</v>
      </c>
      <c r="AF8" s="1344"/>
      <c r="AG8" s="138">
        <f t="shared" si="7"/>
        <v>0</v>
      </c>
      <c r="AH8" s="736"/>
      <c r="AI8" s="76"/>
      <c r="AJ8" s="77"/>
      <c r="AK8" s="78"/>
      <c r="AL8" s="79"/>
      <c r="AM8" s="80"/>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5">
        <f>SUMIF(项目基本情况!C$12:I$12,C9,项目基本情况!C$14:I$14)</f>
        <v>0</v>
      </c>
      <c r="E9" s="854" t="str">
        <f>IF(B9="","",SUMIF(项目基本情况!C$12:I$12,C9,项目基本情况!C$13:I$13))</f>
        <v/>
      </c>
      <c r="F9" s="64">
        <f>SUMIF(项目基本情况!C$12:I$12,C9,项目基本情况!C$15:I$15)</f>
        <v>0</v>
      </c>
      <c r="G9" s="65">
        <f t="shared" si="2"/>
        <v>0</v>
      </c>
      <c r="H9" s="732"/>
      <c r="I9" s="732"/>
      <c r="J9" s="66"/>
      <c r="K9" s="1027">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2"/>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2"/>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2"/>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2"/>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4"/>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70"/>
      <c r="V14" s="1032"/>
      <c r="W14" s="1032"/>
      <c r="X14" s="1033"/>
      <c r="Y14" s="1034"/>
      <c r="Z14" s="1035"/>
      <c r="AA14" s="1036"/>
      <c r="AB14" s="1036"/>
      <c r="AC14" s="1037"/>
      <c r="AD14" s="1033"/>
      <c r="AE14" s="1038"/>
      <c r="AF14" s="52"/>
      <c r="AG14" s="138"/>
      <c r="AH14" s="1038"/>
      <c r="AI14" s="1353"/>
      <c r="AJ14" s="704"/>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3"/>
      <c r="AJ15" s="704"/>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0"/>
      <c r="D16" s="1716"/>
      <c r="E16" s="88"/>
      <c r="F16" s="88"/>
      <c r="G16" s="89">
        <f>ROUND(SUMPRODUCT(G6:G13,K6:K13)/SUMPRODUCT((G6:G13&gt;0)*(K6:K13)),3)</f>
        <v>0.70099999999999996</v>
      </c>
      <c r="H16" s="90">
        <f>ROUND(SUMPRODUCT(H6:H13,K6:K13)/SUMPRODUCT((H6:H13&gt;0)*(K6:K13)),3)</f>
        <v>0.05</v>
      </c>
      <c r="I16" s="91"/>
      <c r="J16" s="91"/>
      <c r="K16" s="92">
        <f>SUM(K6:K15)</f>
        <v>10935.989999999998</v>
      </c>
      <c r="L16" s="93">
        <f>ROUND(M16*10000/SUM(K6:K14),0)</f>
        <v>5500</v>
      </c>
      <c r="M16" s="93">
        <f>SUM(M6:M14)</f>
        <v>6015</v>
      </c>
      <c r="N16" s="94">
        <f>ROUND(SUMPRODUCT(M6:M14,N6:N14)/M16,3)</f>
        <v>0.9</v>
      </c>
      <c r="O16" s="93">
        <f>SUM(O6:O14)</f>
        <v>0</v>
      </c>
      <c r="P16" s="93">
        <f>SUM(P6:P14)</f>
        <v>0</v>
      </c>
      <c r="Q16" s="95">
        <f>ROUND(SUMPRODUCT(Q6:Q13,K6:K13)/SUMPRODUCT((Q6:Q13&gt;0)*(K6:K13)),2)</f>
        <v>0.15</v>
      </c>
      <c r="R16" s="1031">
        <f ca="1">SUM(R6:R13)</f>
        <v>3258.72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3" t="s">
        <v>2296</v>
      </c>
      <c r="D19" s="2672"/>
      <c r="E19" s="2669"/>
      <c r="F19" s="2669"/>
      <c r="G19" s="2669"/>
      <c r="H19" s="2669"/>
      <c r="I19" s="2669"/>
      <c r="J19" s="3449"/>
      <c r="K19" s="3450"/>
      <c r="L19" s="3450"/>
      <c r="M19" s="3450"/>
      <c r="N19" s="3451"/>
      <c r="O19" s="2667"/>
      <c r="P19" s="2667"/>
      <c r="Q19" s="2667"/>
      <c r="R19" s="2667"/>
      <c r="S19" s="2667"/>
      <c r="T19" s="3449"/>
      <c r="U19" s="3450" t="s">
        <v>3384</v>
      </c>
      <c r="V19" s="3450" t="s">
        <v>3385</v>
      </c>
      <c r="W19" s="3450" t="s">
        <v>3386</v>
      </c>
      <c r="X19" s="3451"/>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4" t="s">
        <v>2294</v>
      </c>
      <c r="D20" s="2672"/>
      <c r="E20" s="2669"/>
      <c r="F20" s="2669"/>
      <c r="G20" s="2669"/>
      <c r="H20" s="2669"/>
      <c r="I20" s="2669"/>
      <c r="J20" s="3449"/>
      <c r="K20" s="3451"/>
      <c r="L20" s="3451"/>
      <c r="M20" s="3451"/>
      <c r="N20" s="3451"/>
      <c r="O20" s="2667"/>
      <c r="P20" s="2667"/>
      <c r="Q20" s="2667"/>
      <c r="R20" s="2667"/>
      <c r="S20" s="2667"/>
      <c r="T20" s="3449" t="s">
        <v>3380</v>
      </c>
      <c r="U20" s="3451">
        <f>'数据-基础表'!I13</f>
        <v>10935.989999999998</v>
      </c>
      <c r="V20" s="3451">
        <v>10</v>
      </c>
      <c r="W20" s="3451"/>
      <c r="X20" s="3451">
        <f>U20*V20</f>
        <v>109359.89999999998</v>
      </c>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3449"/>
      <c r="K21" s="3451"/>
      <c r="L21" s="3451"/>
      <c r="M21" s="3451"/>
      <c r="N21" s="3451"/>
      <c r="O21" s="2667"/>
      <c r="P21" s="2667"/>
      <c r="Q21" s="2667"/>
      <c r="R21" s="2667"/>
      <c r="S21" s="2667"/>
      <c r="T21" s="3449" t="s">
        <v>3381</v>
      </c>
      <c r="U21" s="3451">
        <f>'数据-基础表'!K14</f>
        <v>14603.89</v>
      </c>
      <c r="V21" s="3451">
        <f>$V$20*W21</f>
        <v>5</v>
      </c>
      <c r="W21" s="3451">
        <v>0.5</v>
      </c>
      <c r="X21" s="3451">
        <f t="shared" ref="X21:X22" si="12">U21*V21</f>
        <v>73019.45</v>
      </c>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3449"/>
      <c r="K22" s="3451"/>
      <c r="L22" s="3451"/>
      <c r="M22" s="3451"/>
      <c r="N22" s="3451"/>
      <c r="O22" s="2667"/>
      <c r="P22" s="2667"/>
      <c r="Q22" s="2667"/>
      <c r="R22" s="2667"/>
      <c r="S22" s="2667"/>
      <c r="T22" s="3449" t="s">
        <v>3382</v>
      </c>
      <c r="U22" s="3451">
        <f>'数据-基础表'!K15</f>
        <v>0</v>
      </c>
      <c r="V22" s="3451">
        <f>$V$20*W22</f>
        <v>5</v>
      </c>
      <c r="W22" s="3451">
        <v>0.5</v>
      </c>
      <c r="X22" s="3451">
        <f t="shared" si="12"/>
        <v>0</v>
      </c>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3449"/>
      <c r="K23" s="3451"/>
      <c r="L23" s="3451"/>
      <c r="M23" s="3451"/>
      <c r="N23" s="3451"/>
      <c r="O23" s="2667"/>
      <c r="P23" s="2667"/>
      <c r="Q23" s="2667"/>
      <c r="R23" s="2667"/>
      <c r="S23" s="2667"/>
      <c r="T23" s="3449" t="s">
        <v>3383</v>
      </c>
      <c r="U23" s="3451">
        <f>'数据-基础表'!M16</f>
        <v>0</v>
      </c>
      <c r="V23" s="3451"/>
      <c r="W23" s="3451"/>
      <c r="X23" s="3451"/>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3449"/>
      <c r="K24" s="3451"/>
      <c r="L24" s="3451"/>
      <c r="M24" s="3451"/>
      <c r="N24" s="3451"/>
      <c r="O24" s="2667"/>
      <c r="P24" s="2667"/>
      <c r="Q24" s="2667"/>
      <c r="R24" s="2667"/>
      <c r="S24" s="2667"/>
      <c r="T24" s="3449"/>
      <c r="U24" s="3451">
        <f>SUM(U20:U22)</f>
        <v>25539.879999999997</v>
      </c>
      <c r="V24" s="3451">
        <f>X24/U24</f>
        <v>7.1409634657641305</v>
      </c>
      <c r="W24" s="3451"/>
      <c r="X24" s="3451">
        <f>SUM(X20:X22)</f>
        <v>182379.34999999998</v>
      </c>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160</v>
      </c>
      <c r="C27" s="2795" t="s">
        <v>2298</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 ca="1">成本法!C10</f>
        <v>219</v>
      </c>
      <c r="C29" s="2796" t="s">
        <v>2285</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3">
        <v>0.03</v>
      </c>
      <c r="C33" s="2797" t="s">
        <v>2286</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v>
      </c>
      <c r="C34" s="2797" t="s">
        <v>2287</v>
      </c>
      <c r="D34" s="2680" t="s">
        <v>2295</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7" t="s">
        <v>2288</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1.4999999999999999E-2</v>
      </c>
      <c r="C36" s="2797" t="s">
        <v>2289</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7" t="s">
        <v>2290</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7" t="s">
        <v>2290</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09" t="s">
        <v>2305</v>
      </c>
      <c r="B40" s="1075">
        <f ca="1">IF(A40="利息：取LPR",存贷款利率!G1,存贷款利率!G1+C40)</f>
        <v>3.4500000000000003E-2</v>
      </c>
      <c r="C40" s="2808">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7" t="s">
        <v>2299</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6" t="s">
        <v>2291</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6" t="s">
        <v>2292</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799" t="s">
        <v>2300</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6" t="s">
        <v>2291</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6" t="s">
        <v>2293</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798" t="s">
        <v>2297</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7"/>
      <c r="D69" s="1738"/>
      <c r="K69" s="728"/>
      <c r="L69" s="728"/>
    </row>
    <row r="70" spans="1:44" s="790" customFormat="1">
      <c r="A70" s="1737"/>
      <c r="D70" s="1738"/>
      <c r="K70" s="728"/>
      <c r="L70" s="728"/>
    </row>
    <row r="71" spans="1:44" s="790" customFormat="1">
      <c r="A71" s="1737"/>
      <c r="D71" s="1738"/>
      <c r="K71" s="728"/>
      <c r="L71" s="728"/>
    </row>
    <row r="72" spans="1:44" s="790" customFormat="1">
      <c r="A72" s="1737"/>
      <c r="D72" s="1738"/>
      <c r="K72" s="728"/>
      <c r="L72" s="728"/>
    </row>
    <row r="73" spans="1:44" s="790" customFormat="1">
      <c r="A73" s="1737"/>
      <c r="D73" s="1738"/>
      <c r="K73" s="728"/>
      <c r="L73" s="728"/>
    </row>
    <row r="74" spans="1:44" s="790" customFormat="1">
      <c r="A74" s="1737"/>
      <c r="D74" s="1738"/>
      <c r="K74" s="728"/>
      <c r="L74" s="728"/>
    </row>
    <row r="75" spans="1:44" s="790" customFormat="1">
      <c r="A75" s="1737"/>
      <c r="D75" s="1738"/>
      <c r="K75" s="728"/>
      <c r="L75" s="728"/>
    </row>
    <row r="76" spans="1:44" s="790" customFormat="1">
      <c r="A76" s="1737"/>
      <c r="D76" s="1738"/>
      <c r="K76" s="728"/>
      <c r="L76" s="728"/>
    </row>
    <row r="77" spans="1:44" s="790" customFormat="1">
      <c r="A77" s="1737"/>
      <c r="D77" s="1738"/>
      <c r="K77" s="728"/>
      <c r="L77" s="728"/>
    </row>
    <row r="78" spans="1:44" s="790" customFormat="1">
      <c r="A78" s="1737"/>
      <c r="D78" s="1738"/>
      <c r="K78" s="728"/>
      <c r="L78" s="728"/>
    </row>
    <row r="79" spans="1:44" s="790" customFormat="1">
      <c r="A79" s="1737"/>
      <c r="D79" s="1738"/>
      <c r="K79" s="728"/>
      <c r="L79" s="728"/>
    </row>
    <row r="80" spans="1:44" s="790" customFormat="1">
      <c r="A80" s="1737"/>
      <c r="D80" s="1738"/>
      <c r="K80" s="728"/>
      <c r="L80" s="728"/>
    </row>
    <row r="81" spans="1:12" s="790" customFormat="1">
      <c r="A81" s="1737"/>
      <c r="D81" s="1738"/>
      <c r="K81" s="728"/>
      <c r="L81" s="728"/>
    </row>
    <row r="82" spans="1:12" s="790" customFormat="1">
      <c r="A82" s="1737"/>
      <c r="D82" s="1738"/>
      <c r="K82" s="728"/>
      <c r="L82" s="728"/>
    </row>
    <row r="83" spans="1:12" s="790" customFormat="1">
      <c r="A83" s="1737"/>
      <c r="D83" s="1738"/>
      <c r="K83" s="728"/>
      <c r="L83" s="728"/>
    </row>
    <row r="84" spans="1:12" s="790" customFormat="1">
      <c r="A84" s="1737"/>
      <c r="D84" s="1738"/>
      <c r="K84" s="728"/>
      <c r="L84" s="728"/>
    </row>
    <row r="85" spans="1:12" s="790" customFormat="1">
      <c r="A85" s="1737"/>
      <c r="D85" s="1738"/>
      <c r="K85" s="728"/>
      <c r="L85" s="728"/>
    </row>
    <row r="86" spans="1:12" s="790" customFormat="1">
      <c r="A86" s="1737"/>
      <c r="D86" s="1738"/>
      <c r="K86" s="728"/>
      <c r="L86" s="728"/>
    </row>
    <row r="87" spans="1:12" s="790" customFormat="1">
      <c r="A87" s="1737"/>
      <c r="D87" s="1738"/>
      <c r="K87" s="728"/>
      <c r="L87" s="728"/>
    </row>
    <row r="88" spans="1:12" s="790" customFormat="1">
      <c r="A88" s="1737"/>
      <c r="D88" s="1738"/>
      <c r="K88" s="728"/>
      <c r="L88" s="728"/>
    </row>
    <row r="89" spans="1:12" s="790" customFormat="1">
      <c r="A89" s="1737"/>
      <c r="D89" s="1738"/>
      <c r="K89" s="728"/>
      <c r="L89" s="728"/>
    </row>
    <row r="90" spans="1:12" s="790" customFormat="1">
      <c r="A90" s="1737"/>
      <c r="D90" s="1738"/>
      <c r="K90" s="728"/>
      <c r="L90" s="728"/>
    </row>
    <row r="91" spans="1:12" s="790" customFormat="1">
      <c r="A91" s="1737"/>
      <c r="D91" s="1738"/>
      <c r="K91" s="728"/>
      <c r="L91" s="728"/>
    </row>
    <row r="92" spans="1:12" s="790" customFormat="1">
      <c r="A92" s="1737"/>
      <c r="D92" s="1738"/>
      <c r="K92" s="728"/>
      <c r="L92" s="728"/>
    </row>
    <row r="93" spans="1:12" s="790" customFormat="1">
      <c r="A93" s="1737"/>
      <c r="D93" s="1738"/>
      <c r="K93" s="728"/>
      <c r="L93" s="728"/>
    </row>
    <row r="94" spans="1:12" s="790" customFormat="1">
      <c r="A94" s="1737"/>
      <c r="D94" s="1738"/>
      <c r="K94" s="728"/>
      <c r="L94" s="728"/>
    </row>
    <row r="95" spans="1:12" s="790" customFormat="1">
      <c r="A95" s="1737"/>
      <c r="D95" s="1738"/>
      <c r="K95" s="728"/>
      <c r="L95" s="728"/>
    </row>
    <row r="96" spans="1:12" s="790" customFormat="1">
      <c r="A96" s="1737"/>
      <c r="D96" s="1738"/>
      <c r="K96" s="728"/>
      <c r="L96" s="728"/>
    </row>
    <row r="97" spans="1:12" s="790" customFormat="1">
      <c r="A97" s="1737"/>
      <c r="D97" s="1738"/>
      <c r="K97" s="728"/>
      <c r="L97" s="728"/>
    </row>
    <row r="98" spans="1:12" s="790" customFormat="1">
      <c r="A98" s="1737"/>
      <c r="D98" s="1738"/>
      <c r="K98" s="728"/>
      <c r="L98" s="728"/>
    </row>
    <row r="99" spans="1:12" s="790" customFormat="1">
      <c r="A99" s="1737"/>
      <c r="D99" s="1738"/>
      <c r="K99" s="728"/>
      <c r="L99" s="728"/>
    </row>
    <row r="100" spans="1:12" s="790" customFormat="1">
      <c r="A100" s="1737"/>
      <c r="D100" s="1738"/>
      <c r="K100" s="728"/>
      <c r="L100" s="728"/>
    </row>
    <row r="101" spans="1:12" s="790" customFormat="1">
      <c r="A101" s="1737"/>
      <c r="D101" s="1738"/>
      <c r="K101" s="728"/>
      <c r="L101" s="728"/>
    </row>
    <row r="102" spans="1:12" s="790" customFormat="1">
      <c r="A102" s="1737"/>
      <c r="D102" s="1738"/>
      <c r="K102" s="728"/>
      <c r="L102" s="728"/>
    </row>
    <row r="103" spans="1:12" s="790" customFormat="1">
      <c r="A103" s="1737"/>
      <c r="D103" s="1738"/>
      <c r="K103" s="728"/>
      <c r="L103" s="728"/>
    </row>
    <row r="104" spans="1:12" s="790" customFormat="1">
      <c r="A104" s="1737"/>
      <c r="D104" s="1738"/>
      <c r="K104" s="728"/>
      <c r="L104" s="728"/>
    </row>
    <row r="105" spans="1:12" s="790" customFormat="1">
      <c r="A105" s="1737"/>
      <c r="D105" s="1738"/>
      <c r="K105" s="728"/>
      <c r="L105" s="728"/>
    </row>
    <row r="106" spans="1:12" s="790" customFormat="1">
      <c r="A106" s="1737"/>
      <c r="D106" s="1738"/>
      <c r="K106" s="728"/>
      <c r="L106" s="728"/>
    </row>
    <row r="107" spans="1:12" s="790" customFormat="1">
      <c r="A107" s="1737"/>
      <c r="D107" s="1738"/>
      <c r="K107" s="728"/>
      <c r="L107" s="728"/>
    </row>
    <row r="108" spans="1:12" s="790" customFormat="1">
      <c r="A108" s="1737"/>
      <c r="D108" s="1738"/>
      <c r="K108" s="728"/>
      <c r="L108" s="728"/>
    </row>
    <row r="109" spans="1:12" s="790" customFormat="1">
      <c r="A109" s="1737"/>
      <c r="D109" s="1738"/>
      <c r="K109" s="728"/>
      <c r="L109" s="728"/>
    </row>
    <row r="110" spans="1:12" s="790" customFormat="1">
      <c r="A110" s="1737"/>
      <c r="D110" s="1738"/>
      <c r="K110" s="728"/>
      <c r="L110" s="728"/>
    </row>
    <row r="111" spans="1:12" s="790" customFormat="1">
      <c r="A111" s="1737"/>
      <c r="D111" s="1738"/>
      <c r="K111" s="728"/>
      <c r="L111" s="728"/>
    </row>
    <row r="112" spans="1:12" s="790" customFormat="1">
      <c r="A112" s="1737"/>
      <c r="D112" s="1738"/>
      <c r="K112" s="728"/>
      <c r="L112" s="728"/>
    </row>
    <row r="113" spans="1:12" s="790" customFormat="1">
      <c r="A113" s="1737"/>
      <c r="D113" s="1738"/>
      <c r="K113" s="728"/>
      <c r="L113" s="728"/>
    </row>
    <row r="114" spans="1:12" s="790" customFormat="1">
      <c r="A114" s="1737"/>
      <c r="D114" s="1738"/>
      <c r="K114" s="728"/>
      <c r="L114" s="728"/>
    </row>
    <row r="115" spans="1:12" s="790" customFormat="1">
      <c r="A115" s="1737"/>
      <c r="D115" s="1738"/>
      <c r="K115" s="728"/>
      <c r="L115" s="728"/>
    </row>
    <row r="116" spans="1:12" s="790" customFormat="1">
      <c r="A116" s="1737"/>
      <c r="D116" s="1738"/>
      <c r="K116" s="728"/>
      <c r="L116" s="728"/>
    </row>
    <row r="117" spans="1:12" s="790" customFormat="1">
      <c r="A117" s="1737"/>
      <c r="D117" s="1738"/>
      <c r="K117" s="728"/>
      <c r="L117" s="728"/>
    </row>
    <row r="118" spans="1:12" s="790" customFormat="1">
      <c r="A118" s="1737"/>
      <c r="D118" s="1738"/>
      <c r="K118" s="728"/>
      <c r="L118" s="728"/>
    </row>
    <row r="119" spans="1:12" s="790" customFormat="1">
      <c r="A119" s="1737"/>
      <c r="D119" s="1738"/>
      <c r="K119" s="728"/>
      <c r="L119" s="728"/>
    </row>
    <row r="120" spans="1:12" s="790" customFormat="1">
      <c r="A120" s="1737"/>
      <c r="D120" s="1738"/>
      <c r="K120" s="728"/>
      <c r="L120" s="728"/>
    </row>
    <row r="121" spans="1:12" s="790" customFormat="1">
      <c r="A121" s="1737"/>
      <c r="D121" s="1738"/>
      <c r="K121" s="728"/>
      <c r="L121" s="728"/>
    </row>
    <row r="122" spans="1:12" s="790" customFormat="1">
      <c r="A122" s="1737"/>
      <c r="D122" s="1738"/>
      <c r="K122" s="728"/>
      <c r="L122" s="728"/>
    </row>
    <row r="123" spans="1:12" s="790" customFormat="1">
      <c r="A123" s="1737"/>
      <c r="D123" s="1738"/>
      <c r="K123" s="728"/>
      <c r="L123" s="728"/>
    </row>
    <row r="124" spans="1:12" s="790" customFormat="1">
      <c r="A124" s="1737"/>
      <c r="D124" s="1738"/>
      <c r="K124" s="728"/>
      <c r="L124" s="728"/>
    </row>
    <row r="125" spans="1:12" s="790" customFormat="1">
      <c r="A125" s="1737"/>
      <c r="D125" s="1738"/>
      <c r="K125" s="728"/>
      <c r="L125" s="728"/>
    </row>
    <row r="126" spans="1:12" s="790" customFormat="1">
      <c r="A126" s="1737"/>
      <c r="D126" s="1738"/>
      <c r="K126" s="728"/>
      <c r="L126" s="728"/>
    </row>
    <row r="127" spans="1:12" s="790" customFormat="1">
      <c r="A127" s="1737"/>
      <c r="D127" s="1738"/>
      <c r="K127" s="728"/>
      <c r="L127" s="728"/>
    </row>
    <row r="128" spans="1:12" s="790" customFormat="1">
      <c r="A128" s="1737"/>
      <c r="D128" s="1738"/>
      <c r="K128" s="728"/>
      <c r="L128" s="728"/>
    </row>
    <row r="129" spans="1:12" s="790" customFormat="1">
      <c r="A129" s="1737"/>
      <c r="D129" s="1738"/>
      <c r="K129" s="728"/>
      <c r="L129" s="728"/>
    </row>
    <row r="130" spans="1:12" s="790" customFormat="1">
      <c r="A130" s="1737"/>
      <c r="D130" s="1738"/>
      <c r="K130" s="728"/>
      <c r="L130" s="728"/>
    </row>
    <row r="131" spans="1:12" s="790" customFormat="1">
      <c r="A131" s="1737"/>
      <c r="D131" s="1738"/>
      <c r="K131" s="728"/>
      <c r="L131" s="728"/>
    </row>
    <row r="132" spans="1:12" s="790" customFormat="1">
      <c r="A132" s="1737"/>
      <c r="D132" s="1738"/>
      <c r="K132" s="728"/>
      <c r="L132" s="728"/>
    </row>
    <row r="133" spans="1:12" s="790"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2"/>
  </cols>
  <sheetData>
    <row r="1" spans="1:29" s="2453" customFormat="1" ht="18.75" thickBot="1">
      <c r="A1" s="3551" t="s">
        <v>2277</v>
      </c>
      <c r="B1" s="3552"/>
      <c r="C1" s="3552"/>
      <c r="D1" s="3552"/>
      <c r="E1" s="3552"/>
      <c r="F1" s="3552"/>
      <c r="G1" s="355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2274</v>
      </c>
      <c r="D2" s="2457"/>
      <c r="E2" s="2454"/>
      <c r="F2" s="2458"/>
      <c r="G2" s="2456" t="s">
        <v>2275</v>
      </c>
      <c r="H2" s="796"/>
      <c r="I2" s="796"/>
      <c r="J2" s="796"/>
      <c r="K2" s="796"/>
      <c r="L2" s="796"/>
      <c r="M2" s="796"/>
      <c r="N2" s="796"/>
      <c r="O2" s="796"/>
      <c r="P2" s="796"/>
      <c r="Q2" s="796"/>
      <c r="R2" s="796"/>
    </row>
    <row r="3" spans="1:29" ht="24">
      <c r="A3" s="2437" t="s">
        <v>2276</v>
      </c>
      <c r="B3" s="2459" t="s">
        <v>2252</v>
      </c>
      <c r="C3" s="2460"/>
      <c r="D3" s="2461"/>
      <c r="E3" s="2438" t="s">
        <v>2276</v>
      </c>
      <c r="F3" s="2462" t="s">
        <v>2253</v>
      </c>
      <c r="G3" s="2463"/>
      <c r="H3" s="796"/>
      <c r="I3" s="796"/>
      <c r="J3" s="796"/>
      <c r="K3" s="796"/>
      <c r="L3" s="796"/>
      <c r="M3" s="796"/>
      <c r="N3" s="796"/>
      <c r="O3" s="796"/>
      <c r="P3" s="796"/>
      <c r="Q3" s="796"/>
      <c r="R3" s="796"/>
    </row>
    <row r="4" spans="1:29">
      <c r="A4" s="2438"/>
      <c r="B4" s="323" t="s">
        <v>2254</v>
      </c>
      <c r="C4" s="2464"/>
      <c r="D4" s="2461"/>
      <c r="E4" s="2465"/>
      <c r="F4" s="1369" t="s">
        <v>2255</v>
      </c>
      <c r="G4" s="2466"/>
      <c r="H4" s="796"/>
      <c r="I4" s="796"/>
      <c r="J4" s="796"/>
      <c r="K4" s="796"/>
      <c r="L4" s="796"/>
      <c r="M4" s="796"/>
      <c r="N4" s="796"/>
      <c r="O4" s="796"/>
      <c r="P4" s="796"/>
      <c r="Q4" s="796"/>
      <c r="R4" s="796"/>
    </row>
    <row r="5" spans="1:29">
      <c r="A5" s="2438"/>
      <c r="B5" s="323" t="s">
        <v>2256</v>
      </c>
      <c r="C5" s="2464"/>
      <c r="D5" s="2461"/>
      <c r="E5" s="2465"/>
      <c r="F5" s="323" t="s">
        <v>2257</v>
      </c>
      <c r="G5" s="2466"/>
      <c r="H5" s="796"/>
      <c r="I5" s="796"/>
      <c r="J5" s="796"/>
      <c r="K5" s="796"/>
      <c r="L5" s="796"/>
      <c r="M5" s="796"/>
      <c r="N5" s="796"/>
      <c r="O5" s="796"/>
      <c r="P5" s="796"/>
      <c r="Q5" s="796"/>
      <c r="R5" s="796"/>
    </row>
    <row r="6" spans="1:29">
      <c r="A6" s="2438"/>
      <c r="B6" s="323" t="s">
        <v>2258</v>
      </c>
      <c r="C6" s="2466"/>
      <c r="D6" s="2461"/>
      <c r="E6" s="2465"/>
      <c r="F6" s="323" t="s">
        <v>2259</v>
      </c>
      <c r="G6" s="2466"/>
      <c r="H6" s="796"/>
      <c r="I6" s="796"/>
      <c r="J6" s="796"/>
      <c r="K6" s="796"/>
      <c r="L6" s="796"/>
      <c r="M6" s="796"/>
      <c r="N6" s="796"/>
      <c r="O6" s="796"/>
      <c r="P6" s="796"/>
      <c r="Q6" s="796"/>
      <c r="R6" s="796"/>
    </row>
    <row r="7" spans="1:29" ht="15" thickBot="1">
      <c r="A7" s="2438"/>
      <c r="B7" s="323" t="s">
        <v>2257</v>
      </c>
      <c r="C7" s="2466"/>
      <c r="D7" s="2467"/>
      <c r="E7" s="2468"/>
      <c r="F7" s="2469" t="s">
        <v>2260</v>
      </c>
      <c r="G7" s="2470"/>
      <c r="H7" s="796"/>
      <c r="I7" s="796"/>
      <c r="J7" s="796"/>
      <c r="K7" s="796"/>
      <c r="L7" s="796"/>
      <c r="M7" s="796"/>
      <c r="N7" s="796"/>
      <c r="O7" s="796"/>
      <c r="P7" s="796"/>
      <c r="Q7" s="796"/>
      <c r="R7" s="796"/>
    </row>
    <row r="8" spans="1:29">
      <c r="A8" s="2438"/>
      <c r="B8" s="323" t="s">
        <v>2259</v>
      </c>
      <c r="C8" s="2466"/>
      <c r="D8" s="2467"/>
      <c r="E8" s="2467"/>
      <c r="F8" s="2471"/>
      <c r="G8" s="2471"/>
      <c r="H8" s="796"/>
      <c r="I8" s="796"/>
      <c r="J8" s="796"/>
      <c r="K8" s="796"/>
      <c r="L8" s="796"/>
      <c r="M8" s="796"/>
      <c r="N8" s="796"/>
      <c r="O8" s="796"/>
      <c r="P8" s="796"/>
      <c r="Q8" s="796"/>
      <c r="R8" s="796"/>
    </row>
    <row r="9" spans="1:29">
      <c r="A9" s="2438"/>
      <c r="B9" s="323" t="s">
        <v>2261</v>
      </c>
      <c r="C9" s="2464"/>
      <c r="D9" s="2461"/>
      <c r="E9" s="2467"/>
      <c r="F9" s="2471"/>
      <c r="G9" s="2471"/>
      <c r="H9" s="796"/>
      <c r="I9" s="796"/>
      <c r="J9" s="796"/>
      <c r="K9" s="796"/>
      <c r="L9" s="796"/>
      <c r="M9" s="796"/>
      <c r="N9" s="796"/>
      <c r="O9" s="796"/>
      <c r="P9" s="796"/>
      <c r="Q9" s="796"/>
      <c r="R9" s="796"/>
    </row>
    <row r="10" spans="1:29" s="2477" customFormat="1" ht="15" thickBot="1">
      <c r="A10" s="2439"/>
      <c r="B10" s="2472" t="s">
        <v>2262</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2278</v>
      </c>
      <c r="B13" s="2480"/>
      <c r="C13" s="2480"/>
      <c r="D13" s="2478"/>
      <c r="E13" s="2480"/>
      <c r="F13" s="2480"/>
      <c r="G13" s="2480"/>
    </row>
    <row r="14" spans="1:29" ht="15" thickBot="1">
      <c r="A14" s="2490"/>
      <c r="B14" s="2490"/>
      <c r="C14" s="2491" t="s">
        <v>2263</v>
      </c>
      <c r="D14" s="2461"/>
      <c r="E14" s="2492"/>
      <c r="F14" s="2492"/>
      <c r="G14" s="2456" t="s">
        <v>2264</v>
      </c>
    </row>
    <row r="15" spans="1:29" ht="24">
      <c r="A15" s="2440" t="s">
        <v>2265</v>
      </c>
      <c r="B15" s="2493" t="s">
        <v>2252</v>
      </c>
      <c r="C15" s="2494">
        <f>C3</f>
        <v>0</v>
      </c>
      <c r="D15" s="2461"/>
      <c r="E15" s="2441" t="s">
        <v>2266</v>
      </c>
      <c r="F15" s="2493" t="s">
        <v>2267</v>
      </c>
      <c r="G15" s="2495">
        <f>G3</f>
        <v>0</v>
      </c>
    </row>
    <row r="16" spans="1:29">
      <c r="A16" s="2442"/>
      <c r="B16" s="2496" t="s">
        <v>2254</v>
      </c>
      <c r="C16" s="2497">
        <f>C4</f>
        <v>0</v>
      </c>
      <c r="D16" s="2461"/>
      <c r="E16" s="2443"/>
      <c r="F16" s="2498" t="s">
        <v>2255</v>
      </c>
      <c r="G16" s="2499">
        <f>G4</f>
        <v>0</v>
      </c>
    </row>
    <row r="17" spans="1:18">
      <c r="A17" s="2442"/>
      <c r="B17" s="2496" t="s">
        <v>2256</v>
      </c>
      <c r="C17" s="2497">
        <f>C5</f>
        <v>0</v>
      </c>
      <c r="D17" s="2467"/>
      <c r="E17" s="2443"/>
      <c r="F17" s="2498" t="s">
        <v>2268</v>
      </c>
      <c r="G17" s="2500"/>
    </row>
    <row r="18" spans="1:18">
      <c r="A18" s="2442"/>
      <c r="B18" s="2498" t="s">
        <v>2258</v>
      </c>
      <c r="C18" s="2499">
        <f>C6</f>
        <v>0</v>
      </c>
      <c r="D18" s="2467"/>
      <c r="E18" s="2443"/>
      <c r="F18" s="2498" t="s">
        <v>2260</v>
      </c>
      <c r="G18" s="2499">
        <f>G7</f>
        <v>0</v>
      </c>
    </row>
    <row r="19" spans="1:18">
      <c r="A19" s="2442"/>
      <c r="B19" s="2498" t="s">
        <v>2269</v>
      </c>
      <c r="C19" s="2500"/>
      <c r="D19" s="2461"/>
      <c r="E19" s="2443"/>
      <c r="F19" s="323" t="s">
        <v>2257</v>
      </c>
      <c r="G19" s="2499">
        <f>G5</f>
        <v>0</v>
      </c>
    </row>
    <row r="20" spans="1:18">
      <c r="A20" s="2442"/>
      <c r="B20" s="2498" t="s">
        <v>2270</v>
      </c>
      <c r="C20" s="2497">
        <f>C9</f>
        <v>0</v>
      </c>
      <c r="D20" s="2467"/>
      <c r="E20" s="2443"/>
      <c r="F20" s="323" t="s">
        <v>2259</v>
      </c>
      <c r="G20" s="2499">
        <f>G6</f>
        <v>0</v>
      </c>
    </row>
    <row r="21" spans="1:18">
      <c r="A21" s="2442"/>
      <c r="B21" s="323" t="s">
        <v>2257</v>
      </c>
      <c r="C21" s="2499">
        <f>C7</f>
        <v>0</v>
      </c>
      <c r="D21" s="2461"/>
      <c r="E21" s="2443"/>
      <c r="F21" s="2498" t="s">
        <v>2271</v>
      </c>
      <c r="G21" s="2501"/>
    </row>
    <row r="22" spans="1:18" ht="13.5" customHeight="1">
      <c r="A22" s="2442"/>
      <c r="B22" s="323" t="s">
        <v>2259</v>
      </c>
      <c r="C22" s="2499">
        <f>C8</f>
        <v>0</v>
      </c>
      <c r="D22" s="2461"/>
      <c r="E22" s="2443"/>
      <c r="F22" s="2498" t="s">
        <v>2262</v>
      </c>
      <c r="G22" s="2500"/>
    </row>
    <row r="23" spans="1:18" s="796" customFormat="1" ht="15" thickBot="1">
      <c r="A23" s="2442"/>
      <c r="B23" s="2498" t="s">
        <v>2271</v>
      </c>
      <c r="C23" s="2501"/>
      <c r="D23" s="1737"/>
      <c r="E23" s="2444"/>
      <c r="F23" s="2502" t="s">
        <v>2272</v>
      </c>
      <c r="G23" s="2503"/>
      <c r="H23" s="2487"/>
      <c r="I23" s="2488"/>
      <c r="J23" s="2487"/>
      <c r="K23" s="2487"/>
      <c r="L23" s="2488"/>
      <c r="M23" s="2487"/>
      <c r="N23" s="2487"/>
      <c r="O23" s="2488"/>
      <c r="P23" s="2487"/>
      <c r="Q23" s="2487"/>
      <c r="R23" s="2489"/>
    </row>
    <row r="24" spans="1:18" s="796" customFormat="1" ht="15" thickBot="1">
      <c r="A24" s="2445"/>
      <c r="B24" s="2502" t="s">
        <v>2273</v>
      </c>
      <c r="C24" s="2504">
        <f>C10</f>
        <v>0</v>
      </c>
      <c r="D24" s="1737"/>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0</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45411</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SUM(D14:D23)</f>
        <v>0</v>
      </c>
      <c r="C5" s="2508">
        <f ca="1">IF(B5=D14,结果表!H102,ROUND(B5*10000/$B$1,0))</f>
        <v>0</v>
      </c>
      <c r="D5" s="2508" t="e">
        <f>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3350</v>
      </c>
      <c r="D10" s="2508" t="s">
        <v>3351</v>
      </c>
      <c r="E10" s="3435"/>
      <c r="F10" s="3439" t="s">
        <v>3352</v>
      </c>
      <c r="G10" s="3436"/>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c r="C14" s="2514"/>
      <c r="D14" s="2514"/>
      <c r="E14" s="2514" t="e">
        <f>ROUND(D14*10000/B14,0)</f>
        <v>#DIV/0!</v>
      </c>
      <c r="F14" s="2514" t="e">
        <f>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6" sqref="I26"/>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20" t="str">
        <f>项目基本情况!S2</f>
        <v>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0" t="s">
        <v>1265</v>
      </c>
      <c r="B4" s="1751" t="s">
        <v>1266</v>
      </c>
      <c r="C4" s="1752" t="s">
        <v>3394</v>
      </c>
      <c r="D4" s="1752" t="s">
        <v>3379</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623">
        <v>25</v>
      </c>
      <c r="C5" s="3626"/>
      <c r="D5" s="3614"/>
      <c r="E5" s="131" t="s">
        <v>1269</v>
      </c>
      <c r="F5" s="1753"/>
      <c r="G5" s="1753"/>
      <c r="H5" s="1753"/>
      <c r="I5" s="1369"/>
    </row>
    <row r="6" spans="1:12" ht="12.75">
      <c r="A6" s="3568"/>
      <c r="B6" s="3623"/>
      <c r="C6" s="3628"/>
      <c r="D6" s="3614"/>
      <c r="E6" s="131" t="s">
        <v>1270</v>
      </c>
      <c r="F6" s="1753"/>
      <c r="G6" s="1753"/>
      <c r="H6" s="1753"/>
      <c r="I6" s="1369"/>
    </row>
    <row r="7" spans="1:12" ht="12.75">
      <c r="A7" s="3568"/>
      <c r="B7" s="3623"/>
      <c r="C7" s="3627"/>
      <c r="D7" s="3614"/>
      <c r="E7" s="131" t="s">
        <v>1271</v>
      </c>
      <c r="F7" s="1753"/>
      <c r="G7" s="1753"/>
      <c r="H7" s="1753"/>
      <c r="I7" s="1369"/>
    </row>
    <row r="8" spans="1:12" ht="12.75">
      <c r="A8" s="3568" t="s">
        <v>1272</v>
      </c>
      <c r="B8" s="3623">
        <v>15</v>
      </c>
      <c r="C8" s="3626"/>
      <c r="D8" s="3614"/>
      <c r="E8" s="131" t="s">
        <v>1273</v>
      </c>
      <c r="F8" s="1753"/>
      <c r="G8" s="1753"/>
      <c r="H8" s="1753"/>
      <c r="I8" s="1369"/>
    </row>
    <row r="9" spans="1:12" ht="12.75">
      <c r="A9" s="3568"/>
      <c r="B9" s="3623"/>
      <c r="C9" s="3627"/>
      <c r="D9" s="3614"/>
      <c r="E9" s="131" t="s">
        <v>1274</v>
      </c>
      <c r="F9" s="1753"/>
      <c r="G9" s="1753"/>
      <c r="H9" s="1753"/>
      <c r="I9" s="1369"/>
    </row>
    <row r="10" spans="1:12" ht="12.75">
      <c r="A10" s="3568" t="s">
        <v>1275</v>
      </c>
      <c r="B10" s="3623">
        <v>15</v>
      </c>
      <c r="C10" s="3626"/>
      <c r="D10" s="3614"/>
      <c r="E10" s="131" t="s">
        <v>1276</v>
      </c>
      <c r="F10" s="1753"/>
      <c r="G10" s="1753"/>
      <c r="H10" s="1753"/>
      <c r="I10" s="1369"/>
    </row>
    <row r="11" spans="1:12" ht="12.75">
      <c r="A11" s="3568"/>
      <c r="B11" s="3623"/>
      <c r="C11" s="3627"/>
      <c r="D11" s="3614"/>
      <c r="E11" s="131" t="s">
        <v>1277</v>
      </c>
      <c r="F11" s="1753"/>
      <c r="G11" s="1753"/>
      <c r="H11" s="1753"/>
      <c r="I11" s="1369"/>
    </row>
    <row r="12" spans="1:12" ht="12.75">
      <c r="A12" s="3568" t="s">
        <v>1278</v>
      </c>
      <c r="B12" s="3623">
        <v>15</v>
      </c>
      <c r="C12" s="3626"/>
      <c r="D12" s="3614"/>
      <c r="E12" s="131" t="s">
        <v>1279</v>
      </c>
      <c r="F12" s="1753"/>
      <c r="G12" s="1753"/>
      <c r="H12" s="1753"/>
      <c r="I12" s="1369"/>
    </row>
    <row r="13" spans="1:12" ht="12.75">
      <c r="A13" s="3568"/>
      <c r="B13" s="3623"/>
      <c r="C13" s="3627"/>
      <c r="D13" s="3614"/>
      <c r="E13" s="131" t="s">
        <v>1280</v>
      </c>
      <c r="F13" s="1753"/>
      <c r="G13" s="1753"/>
      <c r="H13" s="1753"/>
      <c r="I13" s="1369"/>
    </row>
    <row r="14" spans="1:12" ht="12.75">
      <c r="A14" s="3568" t="s">
        <v>1281</v>
      </c>
      <c r="B14" s="3623">
        <v>30</v>
      </c>
      <c r="C14" s="3626">
        <v>4</v>
      </c>
      <c r="D14" s="3614">
        <v>6</v>
      </c>
      <c r="E14" s="131" t="s">
        <v>1282</v>
      </c>
      <c r="F14" s="1753"/>
      <c r="G14" s="1753"/>
      <c r="H14" s="1753"/>
      <c r="I14" s="1369"/>
    </row>
    <row r="15" spans="1:12" ht="12.75">
      <c r="A15" s="3568"/>
      <c r="B15" s="3623"/>
      <c r="C15" s="3628"/>
      <c r="D15" s="3614"/>
      <c r="E15" s="131" t="s">
        <v>1283</v>
      </c>
      <c r="F15" s="1753"/>
      <c r="G15" s="1753"/>
      <c r="H15" s="1753"/>
      <c r="I15" s="1369"/>
    </row>
    <row r="16" spans="1:12" ht="12.75">
      <c r="A16" s="3568"/>
      <c r="B16" s="3623"/>
      <c r="C16" s="3627"/>
      <c r="D16" s="3614"/>
      <c r="E16" s="131" t="s">
        <v>1284</v>
      </c>
      <c r="F16" s="1753"/>
      <c r="G16" s="1753"/>
      <c r="H16" s="1753"/>
      <c r="I16" s="1369"/>
    </row>
    <row r="17" spans="1:36" ht="15">
      <c r="A17" s="1754" t="s">
        <v>1285</v>
      </c>
      <c r="B17" s="56"/>
      <c r="C17" s="132">
        <f>SUM(C5:C16)</f>
        <v>4</v>
      </c>
      <c r="D17" s="132">
        <f>SUM(D5:D16)</f>
        <v>6</v>
      </c>
      <c r="E17" s="129"/>
      <c r="F17" s="129"/>
      <c r="G17" s="129"/>
      <c r="H17" s="129"/>
      <c r="I17" s="129"/>
      <c r="K17" s="302"/>
      <c r="L17" s="302" t="s">
        <v>1286</v>
      </c>
      <c r="M17" s="302" t="s">
        <v>1287</v>
      </c>
    </row>
    <row r="18" spans="1:36" ht="31.9" customHeight="1" thickBot="1">
      <c r="A18" s="1755" t="s">
        <v>1288</v>
      </c>
      <c r="B18" s="1756"/>
      <c r="C18" s="133">
        <f>ROUND(C17/SUM(C17:D17),2)</f>
        <v>0.4</v>
      </c>
      <c r="D18" s="133">
        <f>1-C18</f>
        <v>0.6</v>
      </c>
      <c r="E18" s="3645" t="s">
        <v>2131</v>
      </c>
      <c r="F18" s="3646"/>
      <c r="G18" s="3646"/>
      <c r="H18" s="3646"/>
      <c r="I18" s="3646"/>
      <c r="K18" s="302" t="s">
        <v>1289</v>
      </c>
      <c r="L18" s="302">
        <f>IF(C1="",'数据-汇总表'!E3,SUMIF(项目类型,C1,'数据-汇总表'!E17:E26)+SUMIF(项目类型,C1,'数据-汇总表'!I17:I26))</f>
        <v>10935.989999999998</v>
      </c>
      <c r="M18" s="302">
        <f>IF(C1="",'数据-汇总表'!E3,SUMIF(项目类型,C1,'数据-汇总表'!E17:E26))</f>
        <v>10935.989999999998</v>
      </c>
    </row>
    <row r="19" spans="1:36" ht="15">
      <c r="A19" s="1757" t="s">
        <v>1290</v>
      </c>
      <c r="B19" s="1758" t="s">
        <v>1291</v>
      </c>
      <c r="C19" s="134">
        <f ca="1">SUMIF(INDIRECT("'"&amp;C4&amp;"'"&amp;"!A:A"),结果表!B19,INDIRECT("'"&amp;C4&amp;"'"&amp;"!B:B"))</f>
        <v>29948</v>
      </c>
      <c r="D19" s="135">
        <f ca="1">SUMIF(INDIRECT("'"&amp;D4&amp;"'"&amp;"!A:A"),结果表!B19,INDIRECT("'"&amp;D4&amp;"'"&amp;"!B:B"))</f>
        <v>22270</v>
      </c>
      <c r="E19" s="1757" t="s">
        <v>1292</v>
      </c>
      <c r="F19" s="1758" t="s">
        <v>1291</v>
      </c>
      <c r="G19" s="136">
        <f ca="1">ROUND(C19*$C$18+D19*$D$18,0)</f>
        <v>25341</v>
      </c>
      <c r="H19" s="1759" t="s">
        <v>1293</v>
      </c>
      <c r="I19" s="129"/>
      <c r="K19" s="302" t="s">
        <v>1294</v>
      </c>
      <c r="L19" s="302">
        <f>IF(C1="",'数据-汇总表'!D3,SUMIF(项目类型,C1,'数据-汇总表'!D17:D26)+SUMIF(项目类型,C1,'数据-汇总表'!H17:H27))</f>
        <v>3258.72</v>
      </c>
      <c r="M19" s="302">
        <f>IF(C1="",'数据-汇总表'!D3,SUMIF(项目类型,C1,'数据-汇总表'!D17:D26))</f>
        <v>3258.72</v>
      </c>
    </row>
    <row r="20" spans="1:36" ht="15">
      <c r="A20" s="1760"/>
      <c r="B20" s="1023" t="s">
        <v>1295</v>
      </c>
      <c r="C20" s="137">
        <f ca="1">SUMIF(INDIRECT("'"&amp;C4&amp;"'"&amp;"!A:A"),结果表!B20,INDIRECT("'"&amp;C4&amp;"'"&amp;"!B:B"))</f>
        <v>27385</v>
      </c>
      <c r="D20" s="138">
        <f ca="1">SUMIF(INDIRECT("'"&amp;D4&amp;"'"&amp;"!A:A"),结果表!B20,INDIRECT("'"&amp;D4&amp;"'"&amp;"!B:B"))</f>
        <v>20364</v>
      </c>
      <c r="E20" s="1760"/>
      <c r="F20" s="1023" t="s">
        <v>1295</v>
      </c>
      <c r="G20" s="139">
        <f ca="1">ROUND(C20*$C$18+D20*$D$18,0)</f>
        <v>23172</v>
      </c>
      <c r="H20" s="805" t="s">
        <v>1296</v>
      </c>
      <c r="I20" s="129"/>
    </row>
    <row r="21" spans="1:36" ht="15" customHeight="1" thickBot="1">
      <c r="A21" s="825"/>
      <c r="B21" s="1761" t="s">
        <v>1297</v>
      </c>
      <c r="C21" s="719">
        <f ca="1">ROUND(C19*10000/L19,0)</f>
        <v>91901</v>
      </c>
      <c r="D21" s="720">
        <f ca="1">ROUND(D19*10000/L19,0)</f>
        <v>68340</v>
      </c>
      <c r="E21" s="825"/>
      <c r="F21" s="1761" t="s">
        <v>1297</v>
      </c>
      <c r="G21" s="140">
        <f ca="1">ROUND(G19*10000/L19,0)</f>
        <v>77764</v>
      </c>
      <c r="H21" s="1762" t="s">
        <v>1296</v>
      </c>
      <c r="I21" s="129"/>
    </row>
    <row r="22" spans="1:36" ht="25.5" thickBot="1">
      <c r="A22" s="1684" t="s">
        <v>1298</v>
      </c>
      <c r="B22" s="1763"/>
      <c r="C22" s="1764"/>
      <c r="D22" s="721">
        <f ca="1">IF(C19&lt;D19,D19/C19-1,C19/D19-1)</f>
        <v>0.3447687471935339</v>
      </c>
      <c r="E22" s="129"/>
      <c r="F22" s="3452"/>
      <c r="G22" s="3452" t="s">
        <v>3398</v>
      </c>
      <c r="H22" s="3453" t="s">
        <v>3399</v>
      </c>
      <c r="I22" s="129"/>
    </row>
    <row r="23" spans="1:36" ht="13.5" thickBot="1">
      <c r="A23" s="1743"/>
      <c r="B23" s="1743"/>
      <c r="C23" s="1743"/>
      <c r="D23" s="1743"/>
      <c r="E23" s="129"/>
      <c r="F23" s="3454" t="s">
        <v>3400</v>
      </c>
      <c r="G23" s="3455">
        <v>34484</v>
      </c>
      <c r="H23" s="3455">
        <f ca="1">D19</f>
        <v>22270</v>
      </c>
      <c r="I23" s="129"/>
    </row>
    <row r="24" spans="1:36" ht="14.25">
      <c r="A24" s="3638" t="s">
        <v>1299</v>
      </c>
      <c r="B24" s="1758" t="s">
        <v>1291</v>
      </c>
      <c r="C24" s="136">
        <f>IF(B30=0,0,D30)</f>
        <v>0</v>
      </c>
      <c r="D24" s="1765"/>
      <c r="E24" s="129"/>
      <c r="F24" s="3454" t="s">
        <v>3401</v>
      </c>
      <c r="G24" s="3455">
        <v>31533</v>
      </c>
      <c r="H24" s="3455">
        <f ca="1">D20</f>
        <v>20364</v>
      </c>
      <c r="I24" s="129"/>
    </row>
    <row r="25" spans="1:36" ht="14.25">
      <c r="A25" s="3639"/>
      <c r="B25" s="1023" t="s">
        <v>1295</v>
      </c>
      <c r="C25" s="141">
        <f>IF(B30=0,0,C30)</f>
        <v>0</v>
      </c>
      <c r="D25" s="1766"/>
      <c r="E25" s="129"/>
      <c r="F25" s="3456" t="s">
        <v>3402</v>
      </c>
      <c r="G25" s="3457"/>
      <c r="H25" s="3455"/>
      <c r="I25" s="129"/>
    </row>
    <row r="26" spans="1:36" ht="13.5" customHeight="1">
      <c r="A26" s="1767" t="s">
        <v>1300</v>
      </c>
      <c r="B26" s="142" t="s">
        <v>1301</v>
      </c>
      <c r="C26" s="142" t="s">
        <v>1302</v>
      </c>
      <c r="D26" s="143" t="s">
        <v>1303</v>
      </c>
      <c r="E26" s="129"/>
      <c r="F26" s="3454" t="s">
        <v>3403</v>
      </c>
      <c r="G26" s="3458">
        <f ca="1">G23/H23-1</f>
        <v>0.54845083071396505</v>
      </c>
      <c r="H26" s="3455"/>
      <c r="I26" s="129"/>
    </row>
    <row r="27" spans="1:36" ht="14.25">
      <c r="A27" s="1767"/>
      <c r="B27" s="142">
        <v>0</v>
      </c>
      <c r="C27" s="142">
        <v>0</v>
      </c>
      <c r="D27" s="143">
        <f>ROUND(C27*B27/10000,0)</f>
        <v>0</v>
      </c>
      <c r="E27" s="129"/>
      <c r="F27" s="3459" t="s">
        <v>3404</v>
      </c>
      <c r="G27" s="3458">
        <v>0.4</v>
      </c>
      <c r="H27" s="3460">
        <v>0.6</v>
      </c>
      <c r="I27" s="129"/>
    </row>
    <row r="28" spans="1:36" ht="14.25">
      <c r="A28" s="1767"/>
      <c r="B28" s="142"/>
      <c r="C28" s="142"/>
      <c r="D28" s="143"/>
      <c r="E28" s="129"/>
      <c r="F28" s="3456" t="s">
        <v>3405</v>
      </c>
      <c r="G28" s="3457">
        <f ca="1">G23*G27+H23*H27</f>
        <v>27155.599999999999</v>
      </c>
      <c r="H28" s="3460"/>
      <c r="I28" s="129"/>
    </row>
    <row r="29" spans="1:36" ht="14.25">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23172</v>
      </c>
      <c r="D32" s="1771"/>
      <c r="E32" s="129"/>
      <c r="F32" s="129"/>
      <c r="G32" s="129"/>
      <c r="H32" s="129"/>
      <c r="I32" s="129"/>
    </row>
    <row r="33" spans="1:15" ht="15">
      <c r="A33" s="783" t="s">
        <v>1306</v>
      </c>
      <c r="B33" s="1772"/>
      <c r="C33" s="1773"/>
      <c r="D33" s="1774"/>
      <c r="E33" s="1775" t="s">
        <v>1307</v>
      </c>
      <c r="F33" s="1776" t="str">
        <f>IF(D32="楼面单价","取值（单价）","取值（总价）")</f>
        <v>取值（总价）</v>
      </c>
      <c r="G33" s="129"/>
      <c r="H33" s="129"/>
      <c r="I33" s="129"/>
    </row>
    <row r="34" spans="1:15" ht="15">
      <c r="A34" s="1777"/>
      <c r="B34" s="1778" t="s">
        <v>1308</v>
      </c>
      <c r="C34" s="148" t="e">
        <f ca="1">IF(C33="自定义",F34,C32-C35)</f>
        <v>#REF!</v>
      </c>
      <c r="D34" s="858" t="e">
        <f ca="1">IF(C33="自定义",ROUND(C34/C32,3),IF(C33="收益比率",SUMIF(INDIRECT("'"&amp;D33&amp;"'"&amp;"!b:b"),"土地收益比率",INDIRECT("'"&amp;D33&amp;"'"&amp;"!c:c")),SUMIF(INDIRECT("'"&amp;D33&amp;"'"&amp;"!b:b"),"土地成本比率",INDIRECT("'"&amp;D33&amp;"'"&amp;"!c:c"))))</f>
        <v>#REF!</v>
      </c>
      <c r="E34" s="1779" t="s">
        <v>1309</v>
      </c>
      <c r="F34" s="1326"/>
      <c r="G34" s="129"/>
      <c r="H34" s="129"/>
      <c r="I34" s="129"/>
    </row>
    <row r="35" spans="1:15" ht="15.75" thickBot="1">
      <c r="A35" s="1780"/>
      <c r="B35" s="1781"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2" t="s">
        <v>1311</v>
      </c>
      <c r="F35" s="154"/>
      <c r="G35" s="129"/>
      <c r="H35" s="129"/>
      <c r="I35" s="129"/>
    </row>
    <row r="36" spans="1:15" ht="15.75" thickBot="1">
      <c r="A36" s="3615" t="s">
        <v>1312</v>
      </c>
      <c r="B36" s="1783" t="s">
        <v>1313</v>
      </c>
      <c r="C36" s="145"/>
      <c r="D36" s="1784"/>
      <c r="E36" s="1785"/>
      <c r="F36" s="1786"/>
      <c r="G36" s="129"/>
      <c r="H36" s="129"/>
      <c r="I36" s="129"/>
    </row>
    <row r="37" spans="1:15" ht="15.75" thickBot="1">
      <c r="A37" s="3616"/>
      <c r="B37" s="1670" t="s">
        <v>1314</v>
      </c>
      <c r="C37" s="147"/>
      <c r="D37" s="1136"/>
      <c r="E37" s="1136"/>
      <c r="F37" s="1786"/>
      <c r="G37" s="129"/>
      <c r="H37" s="129"/>
      <c r="I37" s="129"/>
    </row>
    <row r="38" spans="1:15" ht="15.75" thickBot="1">
      <c r="A38" s="3617"/>
      <c r="B38" s="1787" t="s">
        <v>1315</v>
      </c>
      <c r="C38" s="674"/>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35" t="s">
        <v>1326</v>
      </c>
      <c r="B45" s="3636"/>
      <c r="C45" s="3637"/>
      <c r="D45" s="155" t="e">
        <f ca="1">ROUND(H101*F45,0)</f>
        <v>#REF!</v>
      </c>
      <c r="E45" s="156" t="s">
        <v>1327</v>
      </c>
      <c r="F45" s="157">
        <v>1</v>
      </c>
      <c r="G45" s="158" t="s">
        <v>1328</v>
      </c>
      <c r="H45" s="129"/>
      <c r="I45" s="129"/>
      <c r="J45" s="3555" t="s">
        <v>1329</v>
      </c>
      <c r="K45" s="3555"/>
      <c r="L45" s="3555"/>
      <c r="M45" s="3555"/>
      <c r="N45" s="3555"/>
      <c r="O45" s="3555"/>
    </row>
    <row r="46" spans="1:15" ht="14.25" customHeight="1">
      <c r="A46" s="3632" t="s">
        <v>1330</v>
      </c>
      <c r="B46" s="3633"/>
      <c r="C46" s="3633"/>
      <c r="D46" s="3633"/>
      <c r="E46" s="3633"/>
      <c r="F46" s="3633"/>
      <c r="G46" s="3634"/>
      <c r="H46" s="1802"/>
      <c r="I46" s="159"/>
      <c r="J46" s="2519">
        <v>1</v>
      </c>
      <c r="K46" s="3556" t="s">
        <v>1331</v>
      </c>
      <c r="L46" s="3556"/>
      <c r="M46" s="3557"/>
      <c r="N46" s="3557"/>
      <c r="O46" s="3557"/>
    </row>
    <row r="47" spans="1:15" ht="12" customHeight="1">
      <c r="A47" s="160" t="s">
        <v>1332</v>
      </c>
      <c r="B47" s="161"/>
      <c r="C47" s="162"/>
      <c r="D47" s="1084" t="s">
        <v>1333</v>
      </c>
      <c r="E47" s="302" t="s">
        <v>1334</v>
      </c>
      <c r="F47" s="163" t="s">
        <v>1335</v>
      </c>
      <c r="G47" s="2542" t="s">
        <v>1336</v>
      </c>
      <c r="H47" s="2543"/>
      <c r="I47" s="159"/>
      <c r="J47" s="2519">
        <v>2</v>
      </c>
      <c r="K47" s="3556" t="s">
        <v>1337</v>
      </c>
      <c r="L47" s="3556"/>
      <c r="M47" s="3558">
        <f>'数据-取费表'!B2</f>
        <v>45411</v>
      </c>
      <c r="N47" s="3558"/>
      <c r="O47" s="3558"/>
    </row>
    <row r="48" spans="1:15" ht="25.5">
      <c r="A48" s="3618" t="s">
        <v>1338</v>
      </c>
      <c r="B48" s="3619"/>
      <c r="C48" s="3619"/>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556" t="s">
        <v>1340</v>
      </c>
      <c r="L48" s="3556"/>
      <c r="M48" s="3559" t="e">
        <f ca="1">H101</f>
        <v>#REF!</v>
      </c>
      <c r="N48" s="3559"/>
      <c r="O48" s="3559"/>
    </row>
    <row r="49" spans="1:35" ht="25.5" customHeight="1">
      <c r="A49" s="2329" t="s">
        <v>1341</v>
      </c>
      <c r="B49" s="3604" t="s">
        <v>1342</v>
      </c>
      <c r="C49" s="3604"/>
      <c r="D49" s="1586">
        <v>0</v>
      </c>
      <c r="E49" s="324" t="s">
        <v>1343</v>
      </c>
      <c r="F49" s="2420" t="s">
        <v>28</v>
      </c>
      <c r="G49" s="3587"/>
      <c r="H49" s="2306" t="s">
        <v>2134</v>
      </c>
      <c r="I49" s="2307"/>
      <c r="J49" s="2519">
        <v>4</v>
      </c>
      <c r="K49" s="3556" t="str">
        <f>IF(项目基本情况!E8="房地产抵押价值","房地产抵押价值","抵押担保权已注销时的房地产抵押价值")</f>
        <v>抵押担保权已注销时的房地产抵押价值</v>
      </c>
      <c r="L49" s="3556"/>
      <c r="M49" s="3559" t="str">
        <f>IF(项目基本情况!E8="房地产抵押价值",H107,H109)</f>
        <v>——</v>
      </c>
      <c r="N49" s="3559"/>
      <c r="O49" s="3559"/>
    </row>
    <row r="50" spans="1:35" ht="25.5" customHeight="1">
      <c r="A50" s="2547"/>
      <c r="B50" s="3604" t="s">
        <v>1344</v>
      </c>
      <c r="C50" s="3604"/>
      <c r="D50" s="2548"/>
      <c r="E50" s="332"/>
      <c r="F50" s="2420"/>
      <c r="G50" s="3588"/>
      <c r="H50" s="2308" t="s">
        <v>2135</v>
      </c>
      <c r="I50" s="2307"/>
      <c r="J50" s="3555" t="s">
        <v>1345</v>
      </c>
      <c r="K50" s="3555"/>
      <c r="L50" s="3555"/>
      <c r="M50" s="3555"/>
      <c r="N50" s="3555"/>
      <c r="O50" s="3555"/>
    </row>
    <row r="51" spans="1:35" ht="20.45" customHeight="1">
      <c r="A51" s="2549"/>
      <c r="B51" s="3604" t="s">
        <v>1346</v>
      </c>
      <c r="C51" s="3604"/>
      <c r="D51" s="1084"/>
      <c r="E51" s="327"/>
      <c r="F51" s="2420"/>
      <c r="G51" s="3589"/>
      <c r="H51" s="2308" t="s">
        <v>2136</v>
      </c>
      <c r="I51" s="2307"/>
      <c r="J51" s="2520" t="s">
        <v>1347</v>
      </c>
      <c r="K51" s="3556" t="s">
        <v>1348</v>
      </c>
      <c r="L51" s="3556"/>
      <c r="M51" s="2520" t="s">
        <v>1349</v>
      </c>
      <c r="N51" s="2520" t="s">
        <v>1350</v>
      </c>
      <c r="O51" s="2520" t="s">
        <v>1351</v>
      </c>
    </row>
    <row r="52" spans="1:35" ht="24" customHeight="1">
      <c r="A52" s="2331" t="s">
        <v>1352</v>
      </c>
      <c r="B52" s="3604" t="s">
        <v>1353</v>
      </c>
      <c r="C52" s="3604"/>
      <c r="D52" s="1084" t="e">
        <f ca="1">ROUND(D45*'数据-取费表'!B41/(1+'数据-取费表'!C42),0)</f>
        <v>#REF!</v>
      </c>
      <c r="E52" s="2330" t="s">
        <v>1354</v>
      </c>
      <c r="F52" s="2550">
        <f>'数据-取费表'!B41</f>
        <v>5.6000000000000001E-2</v>
      </c>
      <c r="G52" s="2551"/>
      <c r="H52" s="2540"/>
      <c r="I52" s="1803"/>
      <c r="J52" s="2519">
        <v>1</v>
      </c>
      <c r="K52" s="3581" t="s">
        <v>1355</v>
      </c>
      <c r="L52" s="3581"/>
      <c r="M52" s="2521" t="b">
        <f>D48</f>
        <v>0</v>
      </c>
      <c r="N52" s="2519" t="str">
        <f>E48</f>
        <v>销售额×税（费）率</v>
      </c>
      <c r="O52" s="2522">
        <f>F48</f>
        <v>5.6000000000000001E-2</v>
      </c>
    </row>
    <row r="53" spans="1:35" ht="12" customHeight="1">
      <c r="A53" s="2331" t="s">
        <v>1356</v>
      </c>
      <c r="B53" s="3605" t="s">
        <v>2282</v>
      </c>
      <c r="C53" s="3606"/>
      <c r="D53" s="1084" t="e">
        <f ca="1">ROUND(D45*'数据-取费表'!B41/(1+'数据-取费表'!C42),0)</f>
        <v>#REF!</v>
      </c>
      <c r="E53" s="2330" t="s">
        <v>1354</v>
      </c>
      <c r="F53" s="2550">
        <f>'数据-取费表'!B41</f>
        <v>5.6000000000000001E-2</v>
      </c>
      <c r="G53" s="2551"/>
      <c r="H53" s="2540"/>
      <c r="I53" s="1803"/>
      <c r="J53" s="2519">
        <v>2</v>
      </c>
      <c r="K53" s="3581" t="s">
        <v>1357</v>
      </c>
      <c r="L53" s="3581"/>
      <c r="M53" s="2521" t="e">
        <f t="shared" ref="M53:O54" ca="1" si="0">D55</f>
        <v>#REF!</v>
      </c>
      <c r="N53" s="2519" t="str">
        <f t="shared" si="0"/>
        <v>销售额×税（费）率</v>
      </c>
      <c r="O53" s="2522" t="str">
        <f t="shared" si="0"/>
        <v>免征</v>
      </c>
    </row>
    <row r="54" spans="1:35" ht="12" customHeight="1">
      <c r="A54" s="2331" t="s">
        <v>1358</v>
      </c>
      <c r="B54" s="3605" t="s">
        <v>2283</v>
      </c>
      <c r="C54" s="3606"/>
      <c r="D54" s="1084" t="e">
        <f ca="1">C68</f>
        <v>#REF!</v>
      </c>
      <c r="E54" s="327" t="s">
        <v>1359</v>
      </c>
      <c r="F54" s="2550">
        <f>'数据-取费表'!B41</f>
        <v>5.6000000000000001E-2</v>
      </c>
      <c r="G54" s="2551"/>
      <c r="H54" s="2552"/>
      <c r="I54" s="1803"/>
      <c r="J54" s="2519">
        <v>3</v>
      </c>
      <c r="K54" s="3581" t="s">
        <v>1360</v>
      </c>
      <c r="L54" s="3581"/>
      <c r="M54" s="2521" t="e">
        <f t="shared" ca="1" si="0"/>
        <v>#REF!</v>
      </c>
      <c r="N54" s="2519" t="str">
        <f t="shared" si="0"/>
        <v>增值额×税（费）率</v>
      </c>
      <c r="O54" s="2523" t="str">
        <f t="shared" si="0"/>
        <v>免征</v>
      </c>
    </row>
    <row r="55" spans="1:35" ht="24" customHeight="1">
      <c r="A55" s="3641" t="s">
        <v>1361</v>
      </c>
      <c r="B55" s="3619"/>
      <c r="C55" s="3619"/>
      <c r="D55" s="2320" t="e">
        <f ca="1">IF(H55="个人住宅",0,ROUND(D45*I55,0))</f>
        <v>#REF!</v>
      </c>
      <c r="E55" s="2330" t="s">
        <v>1362</v>
      </c>
      <c r="F55" s="2550" t="str">
        <f>IF(H55="正常",I55,"免征")</f>
        <v>免征</v>
      </c>
      <c r="G55" s="2551"/>
      <c r="H55" s="2546"/>
      <c r="I55" s="165">
        <f>'数据-取费表'!B49</f>
        <v>5.0000000000000001E-4</v>
      </c>
      <c r="J55" s="2519">
        <f>IF(H59="非个人房产","",4)</f>
        <v>4</v>
      </c>
      <c r="K55" s="3581" t="str">
        <f>IF(H59="非个人房产","——","个人所得税")</f>
        <v>个人所得税</v>
      </c>
      <c r="L55" s="3581"/>
      <c r="M55" s="2524" t="e">
        <f ca="1">D59</f>
        <v>#REF!</v>
      </c>
      <c r="N55" s="2036" t="str">
        <f>E59</f>
        <v>差额计税</v>
      </c>
      <c r="O55" s="2525">
        <f>F59</f>
        <v>0.01</v>
      </c>
    </row>
    <row r="56" spans="1:35" ht="24.75">
      <c r="A56" s="3641" t="s">
        <v>1363</v>
      </c>
      <c r="B56" s="3619"/>
      <c r="C56" s="3619"/>
      <c r="D56" s="2320" t="e">
        <f ca="1">IF(H56="个人住宅",D57,D58)</f>
        <v>#REF!</v>
      </c>
      <c r="E56" s="2330" t="s">
        <v>1364</v>
      </c>
      <c r="F56" s="2550" t="str">
        <f>IF(H56="正常",F58,"免征")</f>
        <v>免征</v>
      </c>
      <c r="G56" s="2553" t="s">
        <v>1365</v>
      </c>
      <c r="H56" s="2554"/>
      <c r="I56" s="1804"/>
      <c r="J56" s="2519" t="str">
        <f>IF(项目基本情况!K6="上海银行",IF(J55="",4,J55+1),"")</f>
        <v/>
      </c>
      <c r="K56" s="3562" t="str">
        <f>IF(项目基本情况!K6="上海银行","其他处置费用","")</f>
        <v/>
      </c>
      <c r="L56" s="3563"/>
      <c r="M56" s="2521" t="str">
        <f>IF(项目基本情况!K6="上海银行",M69,"")</f>
        <v/>
      </c>
      <c r="N56" s="3562" t="str">
        <f>IF(项目基本情况!K6="上海银行","包含处置中涉及的律师、诉讼、拍卖、评估等费用","")</f>
        <v/>
      </c>
      <c r="O56" s="3565"/>
    </row>
    <row r="57" spans="1:35" ht="12.75">
      <c r="A57" s="2331" t="s">
        <v>1341</v>
      </c>
      <c r="B57" s="3605" t="s">
        <v>1366</v>
      </c>
      <c r="C57" s="3606"/>
      <c r="D57" s="1586">
        <v>0</v>
      </c>
      <c r="E57" s="324" t="s">
        <v>1343</v>
      </c>
      <c r="F57" s="302"/>
      <c r="G57" s="2551"/>
      <c r="H57" s="2555"/>
      <c r="I57" s="1804"/>
      <c r="J57" s="3581">
        <f>IF(AND(J55="",J56=""),4,IF(项目基本情况!K6="上海银行",结果表!J56+1,结果表!J55+1))</f>
        <v>5</v>
      </c>
      <c r="K57" s="3581" t="s">
        <v>1367</v>
      </c>
      <c r="L57" s="2526" t="s">
        <v>1368</v>
      </c>
      <c r="M57" s="2527"/>
      <c r="N57" s="2528">
        <f ca="1">SUMIF(M52:M56,"&lt;9e307")</f>
        <v>0</v>
      </c>
      <c r="O57" s="2529"/>
      <c r="P57" s="2686" t="e">
        <f ca="1">N57/M49</f>
        <v>#VALUE!</v>
      </c>
    </row>
    <row r="58" spans="1:35" ht="24.75">
      <c r="A58" s="2331" t="s">
        <v>1352</v>
      </c>
      <c r="B58" s="3605" t="s">
        <v>1369</v>
      </c>
      <c r="C58" s="3604"/>
      <c r="D58" s="2320" t="e">
        <f ca="1">IF(H58="转让取得",C81,C97)</f>
        <v>#REF!</v>
      </c>
      <c r="E58" s="2330" t="s">
        <v>1364</v>
      </c>
      <c r="F58" s="302" t="s">
        <v>28</v>
      </c>
      <c r="G58" s="2551"/>
      <c r="H58" s="2554"/>
      <c r="I58" s="1804"/>
      <c r="J58" s="3581"/>
      <c r="K58" s="3581"/>
      <c r="L58" s="2526" t="s">
        <v>1370</v>
      </c>
      <c r="M58" s="2530"/>
      <c r="N58" s="2531" t="str">
        <f ca="1">NUMBERSTRING(INT(N57*10000),2)&amp;"元整"</f>
        <v>零元整</v>
      </c>
      <c r="O58" s="2532"/>
    </row>
    <row r="59" spans="1:35" ht="24.75" thickBot="1">
      <c r="A59" s="3585" t="s">
        <v>1371</v>
      </c>
      <c r="B59" s="3586"/>
      <c r="C59" s="3586"/>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583">
        <f>J57+1</f>
        <v>6</v>
      </c>
      <c r="K59" s="3581" t="s">
        <v>1372</v>
      </c>
      <c r="L59" s="2519" t="s">
        <v>1368</v>
      </c>
      <c r="M59" s="2533"/>
      <c r="N59" s="2534" t="e">
        <f ca="1">M49-N57</f>
        <v>#VALUE!</v>
      </c>
      <c r="O59" s="2535"/>
    </row>
    <row r="60" spans="1:35" ht="12" customHeight="1">
      <c r="A60" s="1805"/>
      <c r="B60" s="1743"/>
      <c r="C60" s="1743"/>
      <c r="D60" s="1743"/>
      <c r="E60" s="1574"/>
      <c r="F60" s="1804"/>
      <c r="G60" s="1804"/>
      <c r="H60" s="1806"/>
      <c r="I60" s="129"/>
      <c r="J60" s="3584"/>
      <c r="K60" s="3581"/>
      <c r="L60" s="2526" t="s">
        <v>1370</v>
      </c>
      <c r="M60" s="2530"/>
      <c r="N60" s="2531" t="e">
        <f ca="1">NUMBERSTRING(INT(N59*10000),2)&amp;"元整"</f>
        <v>#VALUE!</v>
      </c>
      <c r="O60" s="2532"/>
    </row>
    <row r="61" spans="1:35" ht="13.5" thickBot="1">
      <c r="A61" s="3640" t="s">
        <v>1373</v>
      </c>
      <c r="B61" s="3640"/>
      <c r="C61" s="3640"/>
      <c r="D61" s="3640"/>
      <c r="E61" s="3640"/>
      <c r="F61" s="1804"/>
      <c r="G61" s="1804"/>
      <c r="H61" s="1806"/>
      <c r="I61" s="129"/>
      <c r="J61" s="2519">
        <f>J59+1</f>
        <v>7</v>
      </c>
      <c r="K61" s="3581" t="s">
        <v>1374</v>
      </c>
      <c r="L61" s="3581"/>
      <c r="M61" s="2536"/>
      <c r="N61" s="2537" t="e">
        <f ca="1">ROUND(N59*10000/'数据-汇总表'!E3,0)</f>
        <v>#VALUE!</v>
      </c>
      <c r="O61" s="2538"/>
    </row>
    <row r="62" spans="1:35" ht="12.75">
      <c r="A62" s="3600" t="s">
        <v>1375</v>
      </c>
      <c r="B62" s="3601"/>
      <c r="C62" s="2017"/>
      <c r="D62" s="2017" t="s">
        <v>1376</v>
      </c>
      <c r="E62" s="166" t="s">
        <v>1377</v>
      </c>
      <c r="F62" s="1804"/>
      <c r="G62" s="1804"/>
      <c r="H62" s="1806"/>
      <c r="I62" s="129"/>
    </row>
    <row r="63" spans="1:35" ht="12.75">
      <c r="A63" s="173" t="s">
        <v>330</v>
      </c>
      <c r="B63" s="167" t="s">
        <v>1378</v>
      </c>
      <c r="C63" s="2560" t="e">
        <f ca="1">ROUND((C64+C65)/(1+'数据-取费表'!C42),0)</f>
        <v>#REF!</v>
      </c>
      <c r="D63" s="167"/>
      <c r="E63" s="168"/>
      <c r="F63" s="1804"/>
      <c r="G63" s="1804"/>
      <c r="H63" s="1806"/>
      <c r="I63" s="129"/>
      <c r="J63" s="3564" t="s">
        <v>1379</v>
      </c>
      <c r="K63" s="1328" t="s">
        <v>1380</v>
      </c>
      <c r="L63" s="1328" t="e">
        <f>IF(M49&gt;10000,M49*0.5%,IF(AND(M49&gt;1000,M49&lt;=10000),M49*1%,IF(AND(M49&gt;100,M49&lt;=1000),M49*3%,IF(AND(M49&gt;10,M49&lt;=100),M49*5%,M49*8%))))</f>
        <v>#VALUE!</v>
      </c>
      <c r="M63" s="302" t="e">
        <f>ROUND(L63,1)</f>
        <v>#VALUE!</v>
      </c>
      <c r="N63" s="2539"/>
      <c r="Z63" s="1748"/>
      <c r="AI63" s="1749"/>
    </row>
    <row r="64" spans="1:35" ht="14.25" customHeight="1">
      <c r="A64" s="169" t="s">
        <v>325</v>
      </c>
      <c r="B64" s="170" t="s">
        <v>1381</v>
      </c>
      <c r="C64" s="2561" t="e">
        <f ca="1">D45</f>
        <v>#REF!</v>
      </c>
      <c r="D64" s="170" t="s">
        <v>26</v>
      </c>
      <c r="E64" s="172"/>
      <c r="F64" s="1804"/>
      <c r="G64" s="1804"/>
      <c r="H64" s="1806"/>
      <c r="I64" s="129"/>
      <c r="J64" s="3564"/>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48"/>
      <c r="AI64" s="1749"/>
    </row>
    <row r="65" spans="1:35" ht="14.25" customHeight="1">
      <c r="A65" s="169" t="s">
        <v>326</v>
      </c>
      <c r="B65" s="170" t="s">
        <v>1384</v>
      </c>
      <c r="C65" s="2562"/>
      <c r="D65" s="170"/>
      <c r="E65" s="172"/>
      <c r="F65" s="1804"/>
      <c r="G65" s="1804"/>
      <c r="H65" s="1806"/>
      <c r="I65" s="129"/>
      <c r="J65" s="3564"/>
      <c r="K65" s="1328" t="s">
        <v>1385</v>
      </c>
      <c r="L65" s="1328" t="e">
        <f>IF(M49&gt;1000,M49*0.1%,IF(AND(M49&gt;500,M49&lt;=1000),M49*0.5%,IF(AND(M49&gt;50,M49&lt;=500),M49*1%,IF(AND(M49&gt;1,M49&lt;=50),M49*1.5%))))</f>
        <v>#VALUE!</v>
      </c>
      <c r="M65" s="302" t="e">
        <f t="shared" si="1"/>
        <v>#VALUE!</v>
      </c>
      <c r="N65" s="2540" t="s">
        <v>1383</v>
      </c>
      <c r="Z65" s="1748"/>
      <c r="AI65" s="1749"/>
    </row>
    <row r="66" spans="1:35" ht="14.25" customHeight="1">
      <c r="A66" s="173" t="s">
        <v>327</v>
      </c>
      <c r="B66" s="174" t="s">
        <v>1386</v>
      </c>
      <c r="C66" s="2563"/>
      <c r="D66" s="174" t="s">
        <v>26</v>
      </c>
      <c r="E66" s="1334" t="s">
        <v>671</v>
      </c>
      <c r="F66" s="1804"/>
      <c r="G66" s="1804"/>
      <c r="H66" s="1806"/>
      <c r="I66" s="129"/>
      <c r="J66" s="3564"/>
      <c r="K66" s="1328" t="s">
        <v>1387</v>
      </c>
      <c r="L66" s="1328" t="e">
        <f>M49*0.5%</f>
        <v>#VALUE!</v>
      </c>
      <c r="M66" s="302" t="e">
        <f>IF(L66&gt;0.5,0.5,ROUND(L66,0))</f>
        <v>#VALUE!</v>
      </c>
      <c r="N66" s="2540" t="s">
        <v>1388</v>
      </c>
      <c r="Z66" s="1748"/>
      <c r="AI66" s="1749"/>
    </row>
    <row r="67" spans="1:35" ht="14.25" customHeight="1">
      <c r="A67" s="173" t="s">
        <v>328</v>
      </c>
      <c r="B67" s="174" t="s">
        <v>1389</v>
      </c>
      <c r="C67" s="2564" t="e">
        <f ca="1">C63-C66</f>
        <v>#REF!</v>
      </c>
      <c r="D67" s="170" t="s">
        <v>26</v>
      </c>
      <c r="E67" s="172"/>
      <c r="F67" s="1804"/>
      <c r="G67" s="1804"/>
      <c r="H67" s="1806"/>
      <c r="I67" s="129"/>
      <c r="J67" s="3564"/>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48"/>
      <c r="AI67" s="1749"/>
    </row>
    <row r="68" spans="1:35" ht="14.25" customHeight="1" thickBot="1">
      <c r="A68" s="176" t="s">
        <v>329</v>
      </c>
      <c r="B68" s="177" t="s">
        <v>1391</v>
      </c>
      <c r="C68" s="2565" t="e">
        <f ca="1">IF(C67&lt;=0,0,ROUND(C67*D68,0))</f>
        <v>#REF!</v>
      </c>
      <c r="D68" s="2566">
        <f>'数据-取费表'!B41</f>
        <v>5.6000000000000001E-2</v>
      </c>
      <c r="E68" s="178"/>
      <c r="F68" s="1804"/>
      <c r="G68" s="1804"/>
      <c r="H68" s="1806"/>
      <c r="I68" s="129"/>
      <c r="J68" s="3564"/>
      <c r="K68" s="1328" t="s">
        <v>1392</v>
      </c>
      <c r="L68" s="1328" t="e">
        <f>IF(M49&gt;10000,M49*0.5%,IF(AND(M49&gt;5000,M49&lt;=10000),M49*1%,IF(AND(M49&gt;1000,M49&lt;=5000),M49*2%,IF(AND(M49&gt;200,M49&lt;=1000),M49*3%,M49*5%))))</f>
        <v>#VALUE!</v>
      </c>
      <c r="M68" s="302" t="e">
        <f>ROUND(L68,1)</f>
        <v>#VALUE!</v>
      </c>
      <c r="N68" s="2539"/>
      <c r="Z68" s="1748"/>
      <c r="AI68" s="1749"/>
    </row>
    <row r="69" spans="1:35" s="1768" customFormat="1" ht="16.5" customHeight="1">
      <c r="A69" s="1807"/>
      <c r="B69" s="1808"/>
      <c r="C69" s="1809"/>
      <c r="D69" s="1810"/>
      <c r="E69" s="1811"/>
      <c r="F69" s="1574"/>
      <c r="G69" s="1574"/>
      <c r="H69" s="1573"/>
      <c r="I69" s="1743"/>
      <c r="J69" s="3564"/>
      <c r="K69" s="1328" t="s">
        <v>1393</v>
      </c>
      <c r="L69" s="1328"/>
      <c r="M69" s="302" t="e">
        <f>ROUND(SUM(M63:M68),0)</f>
        <v>#VALUE!</v>
      </c>
      <c r="N69" s="2541" t="e">
        <f>M69/M49</f>
        <v>#VALUE!</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08" t="s">
        <v>1394</v>
      </c>
      <c r="B70" s="3609"/>
      <c r="C70" s="3609"/>
      <c r="D70" s="3609"/>
      <c r="E70" s="3609"/>
      <c r="F70" s="3609"/>
      <c r="G70" s="3609"/>
      <c r="H70" s="360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00" t="s">
        <v>1375</v>
      </c>
      <c r="B71" s="3601"/>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t="e">
        <f ca="1">ROUND(D45/(1+'数据-取费表'!C42),0)</f>
        <v>#REF!</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t="e">
        <f ca="1">C74+C78</f>
        <v>#REF!</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05" t="s">
        <v>1402</v>
      </c>
      <c r="F76" s="3604"/>
      <c r="G76" s="3604"/>
      <c r="H76" s="360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t="e">
        <f ca="1">ROUND(D45*D78/(1+'数据-取费表'!C42),0)</f>
        <v>#REF!</v>
      </c>
      <c r="D78" s="2573">
        <f>'数据-取费表'!B43</f>
        <v>6.000000000000001E-3</v>
      </c>
      <c r="E78" s="3597" t="s">
        <v>1406</v>
      </c>
      <c r="F78" s="3598"/>
      <c r="G78" s="3598"/>
      <c r="H78" s="359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t="e">
        <f ca="1">C72-C73</f>
        <v>#REF!</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08" t="s">
        <v>1410</v>
      </c>
      <c r="B83" s="3609"/>
      <c r="C83" s="3609"/>
      <c r="D83" s="3609"/>
      <c r="E83" s="3609"/>
      <c r="F83" s="3609"/>
      <c r="G83" s="3609"/>
      <c r="H83" s="360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00" t="s">
        <v>1375</v>
      </c>
      <c r="B84" s="3601"/>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t="e">
        <f ca="1">ROUND(D45/(1+'数据-取费表'!C42),0)</f>
        <v>#REF!</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t="e">
        <f ca="1">IF(H88="仅含出让金",C87+C90+C91+C92+C93+C94,C87+C91+C92+C93+C94)</f>
        <v>#REF!</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566" t="s">
        <v>2129</v>
      </c>
      <c r="H90" s="3567"/>
      <c r="I90" s="1817"/>
      <c r="J90" s="2517"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597" t="s">
        <v>1419</v>
      </c>
      <c r="F91" s="3598"/>
      <c r="G91" s="359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597" t="s">
        <v>1422</v>
      </c>
      <c r="F92" s="3598"/>
      <c r="G92" s="3598"/>
      <c r="H92" s="3599"/>
      <c r="I92" s="1817"/>
      <c r="J92" s="2518"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t="e">
        <f ca="1">ROUND(D45*D93/(1+'数据-取费表'!C42),0)</f>
        <v>#REF!</v>
      </c>
      <c r="D93" s="2573">
        <f>'数据-取费表'!B43</f>
        <v>6.000000000000001E-3</v>
      </c>
      <c r="E93" s="3597" t="s">
        <v>1406</v>
      </c>
      <c r="F93" s="3598"/>
      <c r="G93" s="3598"/>
      <c r="H93" s="359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42" t="s">
        <v>1426</v>
      </c>
      <c r="F94" s="3643"/>
      <c r="G94" s="3643"/>
      <c r="H94" s="364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t="e">
        <f ca="1">ROUND(C85-C86,0)</f>
        <v>#REF!</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47" t="s">
        <v>1428</v>
      </c>
      <c r="B100" s="3548"/>
      <c r="C100" s="3548"/>
      <c r="D100" s="3582"/>
      <c r="E100" s="3548" t="s">
        <v>1429</v>
      </c>
      <c r="F100" s="3548"/>
      <c r="G100" s="3548"/>
      <c r="H100" s="3582"/>
      <c r="I100" s="129"/>
    </row>
    <row r="101" spans="1:35" ht="18.75" customHeight="1">
      <c r="A101" s="3590" t="s">
        <v>1430</v>
      </c>
      <c r="B101" s="3591"/>
      <c r="C101" s="2581" t="str">
        <f>C4</f>
        <v>成本法</v>
      </c>
      <c r="D101" s="2582" t="str">
        <f>D4</f>
        <v>收益法</v>
      </c>
      <c r="E101" s="3560" t="s">
        <v>1431</v>
      </c>
      <c r="F101" s="3561"/>
      <c r="G101" s="1823" t="s">
        <v>1432</v>
      </c>
      <c r="H101" s="2591" t="e">
        <f ca="1">H118</f>
        <v>#REF!</v>
      </c>
      <c r="I101" s="129"/>
    </row>
    <row r="102" spans="1:35" ht="18.75" customHeight="1">
      <c r="A102" s="3592" t="s">
        <v>1433</v>
      </c>
      <c r="B102" s="2580" t="s">
        <v>1432</v>
      </c>
      <c r="C102" s="2581">
        <f ca="1">IF(D32="楼面单价",ROUND(C19,0),C19)</f>
        <v>29948</v>
      </c>
      <c r="D102" s="2582">
        <f ca="1">IF(D32="楼面单价",ROUND(D19,0),D19)</f>
        <v>22270</v>
      </c>
      <c r="E102" s="3560"/>
      <c r="F102" s="3561"/>
      <c r="G102" s="1823" t="s">
        <v>1434</v>
      </c>
      <c r="H102" s="2551" t="e">
        <f ca="1">I118</f>
        <v>#REF!</v>
      </c>
      <c r="I102" s="129"/>
    </row>
    <row r="103" spans="1:35" ht="42.75" customHeight="1">
      <c r="A103" s="3592"/>
      <c r="B103" s="2580" t="s">
        <v>1434</v>
      </c>
      <c r="C103" s="2583">
        <f ca="1">C20</f>
        <v>27385</v>
      </c>
      <c r="D103" s="2584">
        <f ca="1">D20</f>
        <v>20364</v>
      </c>
      <c r="E103" s="3553" t="s">
        <v>1435</v>
      </c>
      <c r="F103" s="3554"/>
      <c r="G103" s="1824" t="s">
        <v>1436</v>
      </c>
      <c r="H103" s="2591">
        <f>IF(D36="正常操作",H104+H105+H106,H105+H106)</f>
        <v>0</v>
      </c>
      <c r="I103" s="129"/>
    </row>
    <row r="104" spans="1:35" ht="18.75" customHeight="1">
      <c r="A104" s="3592" t="s">
        <v>1437</v>
      </c>
      <c r="B104" s="2585" t="s">
        <v>1432</v>
      </c>
      <c r="C104" s="2586" t="e">
        <f ca="1">H118</f>
        <v>#REF!</v>
      </c>
      <c r="D104" s="2587"/>
      <c r="E104" s="1670" t="s">
        <v>1438</v>
      </c>
      <c r="F104" s="1662"/>
      <c r="G104" s="1824" t="s">
        <v>1436</v>
      </c>
      <c r="H104" s="2592">
        <f>IF(D36="同一抵押权人同一抵押物续贷",C36&amp;"（续贷，未扣减，详见特别提示）",C36)</f>
        <v>0</v>
      </c>
      <c r="I104" s="129"/>
    </row>
    <row r="105" spans="1:35" ht="18.75" customHeight="1" thickBot="1">
      <c r="A105" s="3602"/>
      <c r="B105" s="2588" t="s">
        <v>1434</v>
      </c>
      <c r="C105" s="2589" t="e">
        <f ca="1">I118</f>
        <v>#REF!</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593" t="str">
        <f>IF(项目基本情况!E8="已注销","——","3.房地产抵押价值")</f>
        <v>3.房地产抵押价值</v>
      </c>
      <c r="F107" s="3561"/>
      <c r="G107" s="1823" t="s">
        <v>1432</v>
      </c>
      <c r="H107" s="2591" t="e">
        <f ca="1">IF(E107="——","——",H101-H103)</f>
        <v>#REF!</v>
      </c>
      <c r="I107" s="129"/>
    </row>
    <row r="108" spans="1:35" ht="18.75" customHeight="1">
      <c r="A108" s="129"/>
      <c r="B108" s="129"/>
      <c r="C108" s="129"/>
      <c r="D108" s="129"/>
      <c r="E108" s="3593"/>
      <c r="F108" s="3561"/>
      <c r="G108" s="1823" t="s">
        <v>1434</v>
      </c>
      <c r="H108" s="2551">
        <f ca="1">IF(H107=H101,H102,ROUND(H107*10000/'数据-汇总表'!E3,0))</f>
        <v>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61"/>
      <c r="G109" s="1823" t="s">
        <v>1432</v>
      </c>
      <c r="H109" s="2594" t="str">
        <f>IF(E109="——","——",H101-H105-H106)</f>
        <v>——</v>
      </c>
      <c r="I109" s="129"/>
    </row>
    <row r="110" spans="1:35" ht="18.75" customHeight="1">
      <c r="A110" s="129"/>
      <c r="B110" s="129"/>
      <c r="C110" s="129"/>
      <c r="D110" s="129"/>
      <c r="E110" s="3593"/>
      <c r="F110" s="3561"/>
      <c r="G110" s="1823" t="s">
        <v>1434</v>
      </c>
      <c r="H110" s="2551" t="str">
        <f>IF(H109="——","——",ROUND(H109*10000/'数据-汇总表'!E3,0))</f>
        <v>——</v>
      </c>
      <c r="I110" s="129"/>
    </row>
    <row r="111" spans="1:35" ht="18.75" customHeight="1">
      <c r="A111" s="129"/>
      <c r="B111" s="129"/>
      <c r="C111" s="129"/>
      <c r="D111" s="129"/>
      <c r="E111" s="3594" t="str">
        <f>IF(项目基本情况!E9="抵押净值",IF(OR(项目基本情况!E8="已注销",项目基本情况!E8="房地产抵押价值"),"4.抵押净值","5.抵押净值"),"——")</f>
        <v>——</v>
      </c>
      <c r="F111" s="3580"/>
      <c r="G111" s="1823" t="s">
        <v>1432</v>
      </c>
      <c r="H111" s="2591" t="str">
        <f>IF(E111="——","——",N59)</f>
        <v>——</v>
      </c>
      <c r="I111" s="129"/>
    </row>
    <row r="112" spans="1:35" ht="18.75" customHeight="1" thickBot="1">
      <c r="A112" s="129"/>
      <c r="B112" s="129"/>
      <c r="C112" s="129"/>
      <c r="D112" s="129"/>
      <c r="E112" s="3595"/>
      <c r="F112" s="3596"/>
      <c r="G112" s="1826" t="s">
        <v>1434</v>
      </c>
      <c r="H112" s="2595" t="str">
        <f>IF(E111="——","——",N61)</f>
        <v>——</v>
      </c>
      <c r="I112" s="129"/>
    </row>
    <row r="113" spans="1:27" ht="18.75" customHeight="1">
      <c r="A113" s="129"/>
      <c r="B113" s="129"/>
      <c r="C113" s="129"/>
      <c r="D113" s="129"/>
      <c r="E113" s="3603" t="s">
        <v>1440</v>
      </c>
      <c r="F113" s="3603"/>
      <c r="G113" s="3603"/>
      <c r="H113" s="3603"/>
      <c r="I113" s="129"/>
    </row>
    <row r="114" spans="1:27" ht="3.75" customHeight="1">
      <c r="A114" s="1743"/>
      <c r="B114" s="1743"/>
      <c r="C114" s="1743"/>
      <c r="D114" s="1743"/>
      <c r="E114" s="1805"/>
      <c r="F114" s="1805"/>
      <c r="G114" s="1805"/>
      <c r="H114" s="1805"/>
      <c r="I114" s="1743"/>
    </row>
    <row r="115" spans="1:27" ht="18.75" customHeight="1">
      <c r="A115" s="3611" t="s">
        <v>1442</v>
      </c>
      <c r="B115" s="3612"/>
      <c r="C115" s="3612"/>
      <c r="D115" s="3612"/>
      <c r="E115" s="3612"/>
      <c r="F115" s="3612"/>
      <c r="G115" s="3612"/>
      <c r="H115" s="3612"/>
      <c r="I115" s="3613"/>
    </row>
    <row r="116" spans="1:27" ht="27" customHeight="1">
      <c r="A116" s="3568" t="s">
        <v>1443</v>
      </c>
      <c r="B116" s="3572" t="s">
        <v>1444</v>
      </c>
      <c r="C116" s="3572" t="s">
        <v>1445</v>
      </c>
      <c r="D116" s="3578" t="s">
        <v>1446</v>
      </c>
      <c r="E116" s="3579"/>
      <c r="F116" s="3610" t="s">
        <v>1447</v>
      </c>
      <c r="G116" s="3610"/>
      <c r="H116" s="3568" t="s">
        <v>1448</v>
      </c>
      <c r="I116" s="3568"/>
    </row>
    <row r="117" spans="1:27" ht="18.75" customHeight="1">
      <c r="A117" s="3568"/>
      <c r="B117" s="3573"/>
      <c r="C117" s="3573"/>
      <c r="D117" s="2325" t="s">
        <v>1449</v>
      </c>
      <c r="E117" s="2325" t="s">
        <v>1450</v>
      </c>
      <c r="F117" s="2325" t="s">
        <v>1449</v>
      </c>
      <c r="G117" s="2325" t="s">
        <v>1451</v>
      </c>
      <c r="H117" s="2325" t="s">
        <v>1449</v>
      </c>
      <c r="I117" s="2325" t="s">
        <v>1451</v>
      </c>
    </row>
    <row r="118" spans="1:27" ht="24.75" customHeight="1">
      <c r="A118" s="2596" t="str">
        <f>项目基本情况!S2</f>
        <v>房地产</v>
      </c>
      <c r="B118" s="2325">
        <f>M18</f>
        <v>10935.989999999998</v>
      </c>
      <c r="C118" s="2325">
        <f>M19</f>
        <v>3258.72</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68" t="s">
        <v>1452</v>
      </c>
      <c r="B119" s="3568"/>
      <c r="C119" s="3568"/>
      <c r="D119" s="3574" t="e">
        <f ca="1">NUMBERSTRING(INT(D118*10000),2)&amp;"元整"</f>
        <v>#REF!</v>
      </c>
      <c r="E119" s="3575"/>
      <c r="F119" s="3574" t="e">
        <f ca="1">NUMBERSTRING(INT(F118*10000),2)&amp;"元整"</f>
        <v>#REF!</v>
      </c>
      <c r="G119" s="3575"/>
      <c r="H119" s="3574" t="e">
        <f ca="1">NUMBERSTRING(INT(H118*10000),2)&amp;"元整"</f>
        <v>#REF!</v>
      </c>
      <c r="I119" s="3575"/>
    </row>
    <row r="120" spans="1:27" ht="18.75" customHeight="1">
      <c r="A120" s="3569" t="str">
        <f>IF(项目基本情况!B9="房地产市场价值","",MID(E103,3,LEN(E103)-2))</f>
        <v>估价师知悉的法定优先受偿款</v>
      </c>
      <c r="B120" s="3570"/>
      <c r="C120" s="3571"/>
      <c r="D120" s="3569">
        <f>H103</f>
        <v>0</v>
      </c>
      <c r="E120" s="3570"/>
      <c r="F120" s="3570"/>
      <c r="G120" s="3570"/>
      <c r="H120" s="3570"/>
      <c r="I120" s="3571"/>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74" t="s">
        <v>1452</v>
      </c>
      <c r="B121" s="3576"/>
      <c r="C121" s="3575"/>
      <c r="D121" s="3574" t="str">
        <f>IF(D120=0,"零元整",NUMBERSTRING(INT(D120*10000),2)&amp;"元整")</f>
        <v>零元整</v>
      </c>
      <c r="E121" s="3576"/>
      <c r="F121" s="3576"/>
      <c r="G121" s="3576"/>
      <c r="H121" s="3576"/>
      <c r="I121" s="3575"/>
      <c r="AA121" s="725"/>
    </row>
    <row r="122" spans="1:27" ht="18.75" customHeight="1">
      <c r="A122" s="3580" t="str">
        <f>IF(项目基本情况!B9="房地产市场价值","",MID(E107,3,LEN(E107)-2))</f>
        <v>房地产抵押价值</v>
      </c>
      <c r="B122" s="3580"/>
      <c r="C122" s="3580"/>
      <c r="D122" s="3569" t="e">
        <f ca="1">H107</f>
        <v>#REF!</v>
      </c>
      <c r="E122" s="3570"/>
      <c r="F122" s="3570"/>
      <c r="G122" s="3570"/>
      <c r="H122" s="3570"/>
      <c r="I122" s="3571"/>
      <c r="AA122" s="725"/>
    </row>
    <row r="123" spans="1:27" ht="18.75" customHeight="1">
      <c r="A123" s="3568" t="s">
        <v>1452</v>
      </c>
      <c r="B123" s="3568"/>
      <c r="C123" s="3568"/>
      <c r="D123" s="3574" t="e">
        <f ca="1">NUMBERSTRING(INT(D122*10000),2)&amp;"元整"</f>
        <v>#REF!</v>
      </c>
      <c r="E123" s="3576"/>
      <c r="F123" s="3576"/>
      <c r="G123" s="3576"/>
      <c r="H123" s="3576"/>
      <c r="I123" s="3575"/>
      <c r="AA123" s="725"/>
    </row>
    <row r="124" spans="1:27" ht="18.75" customHeight="1">
      <c r="A124" s="3580" t="str">
        <f>IF(项目基本情况!B9="房地产市场价值","",MID(E109,3,LEN(E109)-2))</f>
        <v/>
      </c>
      <c r="B124" s="3580"/>
      <c r="C124" s="3580"/>
      <c r="D124" s="3569" t="str">
        <f>H109</f>
        <v>——</v>
      </c>
      <c r="E124" s="3570"/>
      <c r="F124" s="3570"/>
      <c r="G124" s="3570"/>
      <c r="H124" s="3570"/>
      <c r="I124" s="3571"/>
      <c r="AA124" s="725"/>
    </row>
    <row r="125" spans="1:27" ht="18.75" customHeight="1">
      <c r="A125" s="3568" t="s">
        <v>1452</v>
      </c>
      <c r="B125" s="3568"/>
      <c r="C125" s="3568"/>
      <c r="D125" s="3574" t="e">
        <f>NUMBERSTRING(INT(D124*10000),2)&amp;"元整"</f>
        <v>#VALUE!</v>
      </c>
      <c r="E125" s="3576"/>
      <c r="F125" s="3576"/>
      <c r="G125" s="3576"/>
      <c r="H125" s="3576"/>
      <c r="I125" s="3575"/>
      <c r="AA125" s="725"/>
    </row>
    <row r="126" spans="1:27" ht="18.75" customHeight="1">
      <c r="A126" s="3580" t="str">
        <f>IF(项目基本情况!B9="房地产市场价值","",MID(E111,3,LEN(E111)-2))</f>
        <v/>
      </c>
      <c r="B126" s="3580"/>
      <c r="C126" s="3580"/>
      <c r="D126" s="3569" t="str">
        <f>H111</f>
        <v>——</v>
      </c>
      <c r="E126" s="3570"/>
      <c r="F126" s="3570"/>
      <c r="G126" s="3570"/>
      <c r="H126" s="3570"/>
      <c r="I126" s="3571"/>
      <c r="AA126" s="725"/>
    </row>
    <row r="127" spans="1:27" ht="18.75" customHeight="1">
      <c r="A127" s="3568" t="s">
        <v>1452</v>
      </c>
      <c r="B127" s="3568"/>
      <c r="C127" s="3568"/>
      <c r="D127" s="3574" t="e">
        <f>NUMBERSTRING(INT(D126*10000),2)&amp;"元整"</f>
        <v>#VALUE!</v>
      </c>
      <c r="E127" s="3576"/>
      <c r="F127" s="3576"/>
      <c r="G127" s="3576"/>
      <c r="H127" s="3576"/>
      <c r="I127" s="3575"/>
      <c r="AA127" s="725"/>
    </row>
    <row r="128" spans="1:27" ht="21.75" customHeight="1">
      <c r="A128" s="3577" t="s">
        <v>1453</v>
      </c>
      <c r="B128" s="3577"/>
      <c r="C128" s="3577"/>
      <c r="D128" s="3577"/>
      <c r="E128" s="3577"/>
      <c r="F128" s="3577"/>
      <c r="G128" s="3577"/>
      <c r="H128" s="3577"/>
      <c r="I128" s="3577"/>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7</v>
      </c>
    </row>
    <row r="2" spans="1:9" s="200" customFormat="1" ht="18" customHeight="1">
      <c r="A2" s="201" t="s">
        <v>1462</v>
      </c>
      <c r="B2" s="202">
        <f ca="1">IF(D2="——",C52,C52-E2)</f>
        <v>29948</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27385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16538</v>
      </c>
      <c r="D5" s="211" t="s">
        <v>1469</v>
      </c>
      <c r="E5" s="212" t="s">
        <v>1470</v>
      </c>
      <c r="F5" s="212" t="s">
        <v>1471</v>
      </c>
      <c r="G5" s="213"/>
    </row>
    <row r="6" spans="1:9" s="214" customFormat="1" ht="13.5" customHeight="1">
      <c r="A6" s="775" t="s">
        <v>1472</v>
      </c>
      <c r="B6" s="215" t="s">
        <v>1473</v>
      </c>
      <c r="C6" s="216">
        <f>基准地价修正!B2</f>
        <v>15836</v>
      </c>
      <c r="D6" s="217"/>
      <c r="E6" s="218"/>
      <c r="F6" s="218"/>
      <c r="G6" s="219"/>
    </row>
    <row r="7" spans="1:9" s="214" customFormat="1" ht="13.5" customHeight="1">
      <c r="A7" s="775" t="s">
        <v>1474</v>
      </c>
      <c r="B7" s="215" t="s">
        <v>1475</v>
      </c>
      <c r="C7" s="220">
        <f>ROUND(C6*F7,0)</f>
        <v>483</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219</v>
      </c>
      <c r="D8" s="222"/>
      <c r="E8" s="220"/>
      <c r="F8" s="221"/>
      <c r="G8" s="1852" t="s">
        <v>3391</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160</v>
      </c>
      <c r="F9" s="221"/>
      <c r="G9" s="1853" t="s">
        <v>3392</v>
      </c>
      <c r="H9" s="1134"/>
      <c r="I9" s="1854" t="s">
        <v>1479</v>
      </c>
    </row>
    <row r="10" spans="1:9" s="214" customFormat="1" ht="13.5" customHeight="1">
      <c r="A10" s="776" t="s">
        <v>356</v>
      </c>
      <c r="B10" s="224" t="s">
        <v>1480</v>
      </c>
      <c r="C10" s="225">
        <f ca="1">ROUND(D10*E10/10000,0)</f>
        <v>219</v>
      </c>
      <c r="D10" s="842">
        <f ca="1">IF(B1="",'数据-汇总表'!E6,IF(INDIRECT("'数据-取费表'!c"&amp;$G$1)="住宅",INDIRECT("'数据-取费表'!s"&amp;$G$1),INDIRECT("'数据-取费表'!k"&amp;$G$1)+INDIRECT("'数据-取费表'!s"&amp;$G$1)))</f>
        <v>10935.989999999998</v>
      </c>
      <c r="E10" s="225">
        <f>'数据-取费表'!B28</f>
        <v>200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10935.989999999998</v>
      </c>
      <c r="E19" s="211">
        <f>'数据-取费表'!B31</f>
        <v>200</v>
      </c>
      <c r="F19" s="231"/>
      <c r="G19" s="1852" t="s">
        <v>3393</v>
      </c>
    </row>
    <row r="20" spans="1:7" s="214" customFormat="1" ht="13.5" customHeight="1">
      <c r="A20" s="255" t="s">
        <v>1493</v>
      </c>
      <c r="B20" s="210" t="s">
        <v>1494</v>
      </c>
      <c r="C20" s="232">
        <f ca="1">ROUND((C5+C19)*F20,0)</f>
        <v>331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1172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1161</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11</v>
      </c>
      <c r="D25" s="238"/>
      <c r="E25" s="241"/>
      <c r="F25" s="239"/>
      <c r="G25" s="242" t="s">
        <v>1510</v>
      </c>
    </row>
    <row r="26" spans="1:7" s="214" customFormat="1">
      <c r="A26" s="777"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2530</v>
      </c>
      <c r="D27" s="235">
        <f ca="1">C29</f>
        <v>3.0000000000000001E-3</v>
      </c>
      <c r="E27" s="236" t="s">
        <v>1514</v>
      </c>
      <c r="F27" s="246">
        <f ca="1">IF(B1="",'数据-取费表'!Q16,INDIRECT("'数据-取费表'!q"&amp;$G$1))</f>
        <v>0.15</v>
      </c>
      <c r="G27" s="247" t="s">
        <v>1515</v>
      </c>
    </row>
    <row r="28" spans="1:7" s="214" customFormat="1" ht="13.5" customHeight="1">
      <c r="A28" s="777" t="s">
        <v>346</v>
      </c>
      <c r="B28" s="248" t="s">
        <v>1516</v>
      </c>
      <c r="C28" s="249">
        <f ca="1">ROUND((C5+C19+C20)*F27*'数据-取费表'!B21/'数据-取费表'!B20,0)</f>
        <v>2530</v>
      </c>
      <c r="D28" s="235"/>
      <c r="E28" s="236"/>
      <c r="F28" s="246"/>
      <c r="G28" s="247"/>
    </row>
    <row r="29" spans="1:7" s="214" customFormat="1" ht="13.5" customHeight="1">
      <c r="A29" s="777"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22287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6504</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6015</v>
      </c>
      <c r="D34" s="217"/>
      <c r="E34" s="220"/>
      <c r="F34" s="257">
        <f ca="1">IF('数据-取费表'!B24=0,1,IF(B1="",'数据-取费表'!N16,INDIRECT("'数据-取费表'!n"&amp;$G$1)))</f>
        <v>1</v>
      </c>
      <c r="G34" s="219" t="s">
        <v>1526</v>
      </c>
    </row>
    <row r="35" spans="1:7" ht="13.5" customHeight="1">
      <c r="A35" s="777" t="s">
        <v>351</v>
      </c>
      <c r="B35" s="215" t="s">
        <v>1527</v>
      </c>
      <c r="C35" s="220">
        <f ca="1">ROUND(C34*F35,0)</f>
        <v>180</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219</v>
      </c>
      <c r="D37" s="217">
        <f ca="1">D19</f>
        <v>10935.989999999998</v>
      </c>
      <c r="E37" s="249">
        <f>'数据-取费表'!B35</f>
        <v>200</v>
      </c>
      <c r="F37" s="259"/>
      <c r="G37" s="261" t="s">
        <v>1532</v>
      </c>
    </row>
    <row r="38" spans="1:7" ht="13.5" customHeight="1">
      <c r="A38" s="777" t="s">
        <v>354</v>
      </c>
      <c r="B38" s="215" t="s">
        <v>1533</v>
      </c>
      <c r="C38" s="220">
        <f ca="1">ROUND(C34*F38,0)</f>
        <v>90</v>
      </c>
      <c r="D38" s="220"/>
      <c r="E38" s="220"/>
      <c r="F38" s="259">
        <f>'数据-取费表'!B36</f>
        <v>1.4999999999999999E-2</v>
      </c>
      <c r="G38" s="219" t="s">
        <v>1528</v>
      </c>
    </row>
    <row r="39" spans="1:7" s="214" customFormat="1" ht="13.5" customHeight="1">
      <c r="A39" s="255" t="s">
        <v>1534</v>
      </c>
      <c r="B39" s="210" t="s">
        <v>1535</v>
      </c>
      <c r="C39" s="232">
        <f ca="1">ROUND(C33*F20,0)</f>
        <v>130</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228</v>
      </c>
      <c r="D41" s="235">
        <f ca="1">C44</f>
        <v>6.9999999999999999E-4</v>
      </c>
      <c r="E41" s="236" t="s">
        <v>1539</v>
      </c>
      <c r="F41" s="237">
        <f ca="1">F22</f>
        <v>3.4500000000000003E-2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224</v>
      </c>
      <c r="D42" s="238"/>
      <c r="E42" s="238"/>
      <c r="F42" s="239"/>
      <c r="G42" s="3647" t="s">
        <v>1544</v>
      </c>
    </row>
    <row r="43" spans="1:7" ht="13.5" customHeight="1">
      <c r="A43" s="777" t="s">
        <v>347</v>
      </c>
      <c r="B43" s="215" t="s">
        <v>1545</v>
      </c>
      <c r="C43" s="238">
        <f ca="1">ROUND(IF('数据-取费表'!B22&lt;=1,C39*F22*'数据-取费表'!B21/2,C39*(POWER((1+F22),'数据-取费表'!B21/2)-1)),0)</f>
        <v>4</v>
      </c>
      <c r="D43" s="238"/>
      <c r="E43" s="238"/>
      <c r="F43" s="239"/>
      <c r="G43" s="3648"/>
    </row>
    <row r="44" spans="1:7" ht="13.5" customHeight="1">
      <c r="A44" s="777" t="s">
        <v>348</v>
      </c>
      <c r="B44" s="215" t="s">
        <v>1546</v>
      </c>
      <c r="C44" s="238">
        <f ca="1">ROUND(IF('数据-取费表'!B22&lt;=1,C40*F22*'数据-取费表'!B21/2,C40*(POWER((1+F22),'数据-取费表'!B21/2)-1)),4)</f>
        <v>6.9999999999999999E-4</v>
      </c>
      <c r="D44" s="238"/>
      <c r="E44" s="238"/>
      <c r="F44" s="239"/>
      <c r="G44" s="3649"/>
    </row>
    <row r="45" spans="1:7" s="214" customFormat="1" ht="13.5" customHeight="1">
      <c r="A45" s="255" t="s">
        <v>1547</v>
      </c>
      <c r="B45" s="244" t="s">
        <v>1513</v>
      </c>
      <c r="C45" s="245">
        <f ca="1">C46</f>
        <v>995</v>
      </c>
      <c r="D45" s="235">
        <f ca="1">C47</f>
        <v>3.0000000000000001E-3</v>
      </c>
      <c r="E45" s="236" t="s">
        <v>1539</v>
      </c>
      <c r="F45" s="246">
        <f ca="1">F27</f>
        <v>0.15</v>
      </c>
      <c r="G45" s="247" t="s">
        <v>1548</v>
      </c>
    </row>
    <row r="46" spans="1:7" s="214" customFormat="1" ht="13.5" customHeight="1">
      <c r="A46" s="777" t="s">
        <v>346</v>
      </c>
      <c r="B46" s="248" t="s">
        <v>1549</v>
      </c>
      <c r="C46" s="249">
        <f ca="1">ROUND((C33+C39)*F27,0)</f>
        <v>995</v>
      </c>
      <c r="D46" s="263"/>
      <c r="E46" s="236"/>
      <c r="F46" s="246"/>
      <c r="G46" s="247"/>
    </row>
    <row r="47" spans="1:7" s="214" customFormat="1" ht="13.5" customHeight="1">
      <c r="A47" s="777" t="s">
        <v>347</v>
      </c>
      <c r="B47" s="248" t="s">
        <v>1550</v>
      </c>
      <c r="C47" s="238">
        <f ca="1">ROUND(C40*F27,4)</f>
        <v>3.0000000000000001E-3</v>
      </c>
      <c r="D47" s="263"/>
      <c r="E47" s="236"/>
      <c r="F47" s="246"/>
      <c r="G47" s="247"/>
    </row>
    <row r="48" spans="1:7" s="214" customFormat="1" ht="13.5" customHeight="1">
      <c r="A48" s="255" t="s">
        <v>1512</v>
      </c>
      <c r="B48" s="210" t="s">
        <v>1551</v>
      </c>
      <c r="C48" s="1323">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8512</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7661</v>
      </c>
      <c r="D51" s="232"/>
      <c r="E51" s="232"/>
      <c r="F51" s="264"/>
      <c r="G51" s="234" t="s">
        <v>1560</v>
      </c>
    </row>
    <row r="52" spans="1:7" s="208" customFormat="1" ht="16.5" thickBot="1">
      <c r="A52" s="265" t="s">
        <v>1561</v>
      </c>
      <c r="B52" s="266"/>
      <c r="C52" s="267">
        <f ca="1">C31+C51</f>
        <v>29948</v>
      </c>
      <c r="D52" s="266"/>
      <c r="E52" s="266"/>
      <c r="F52" s="266"/>
      <c r="G52" s="268"/>
    </row>
    <row r="55" spans="1:7" ht="15">
      <c r="B55" s="270" t="s">
        <v>1562</v>
      </c>
      <c r="C55" s="271"/>
    </row>
    <row r="56" spans="1:7">
      <c r="B56" s="273" t="s">
        <v>802</v>
      </c>
      <c r="C56" s="275">
        <f ca="1">1-C57</f>
        <v>0.74399999999999999</v>
      </c>
    </row>
    <row r="57" spans="1:7">
      <c r="B57" s="273" t="s">
        <v>803</v>
      </c>
      <c r="C57" s="274">
        <f ca="1">ROUND(C51/C52,3)</f>
        <v>0.25600000000000001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4" t="str">
        <f>项目基本情况!B1</f>
        <v>预评估</v>
      </c>
      <c r="C37" s="3464"/>
      <c r="D37" s="3464"/>
      <c r="E37" s="3464"/>
      <c r="F37" s="3464"/>
      <c r="G37" s="3464"/>
      <c r="H37" s="3464"/>
      <c r="I37" s="3464"/>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项目基本情况!K4</f>
        <v>（注册号：0)、（注册号：0)</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1" sqref="J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7</v>
      </c>
      <c r="H1" s="1058" t="str">
        <f>IF(ISERROR(FIND("住宅",B1)),"非住宅","住宅")</f>
        <v>非住宅</v>
      </c>
    </row>
    <row r="2" spans="1:8" s="200" customFormat="1" ht="18" customHeight="1">
      <c r="A2" s="201" t="s">
        <v>1462</v>
      </c>
      <c r="B2" s="3418">
        <f ca="1">ROUND(IF(D2="——",C52/10000,C52/10000-E2),4)</f>
        <v>8251.9817999999996</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7546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2187198</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2187198</v>
      </c>
      <c r="D8" s="222"/>
      <c r="E8" s="220"/>
      <c r="F8" s="221"/>
      <c r="G8" s="1852"/>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1480</v>
      </c>
      <c r="C10" s="225">
        <f ca="1">ROUND(D10*E10,0)</f>
        <v>2187198</v>
      </c>
      <c r="D10" s="842">
        <f ca="1">IF(B1="",'数据-汇总表'!E6,IF(INDIRECT("'数据-取费表'!c"&amp;$G$1)="住宅",INDIRECT("'数据-取费表'!s"&amp;$G$1),INDIRECT("'数据-取费表'!k"&amp;$G$1)+INDIRECT("'数据-取费表'!s"&amp;$G$1)))</f>
        <v>10935.989999999998</v>
      </c>
      <c r="E10" s="225">
        <f>'数据-取费表'!B28</f>
        <v>200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2187198</v>
      </c>
      <c r="D19" s="846">
        <f ca="1">D9+D10</f>
        <v>10935.989999999998</v>
      </c>
      <c r="E19" s="211">
        <f>'数据-取费表'!B31</f>
        <v>200</v>
      </c>
      <c r="F19" s="231"/>
      <c r="G19" s="1852"/>
    </row>
    <row r="20" spans="1:7" s="214" customFormat="1" ht="13.5" customHeight="1">
      <c r="A20" s="255" t="s">
        <v>1574</v>
      </c>
      <c r="B20" s="210" t="s">
        <v>1575</v>
      </c>
      <c r="C20" s="232">
        <f ca="1">ROUND((C5+C19)*F20,0)</f>
        <v>87488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310058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153520</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153520</v>
      </c>
      <c r="D24" s="238"/>
      <c r="E24" s="238"/>
      <c r="F24" s="239"/>
      <c r="G24" s="240" t="s">
        <v>1586</v>
      </c>
    </row>
    <row r="25" spans="1:7" s="214" customFormat="1" ht="24">
      <c r="A25" s="777" t="s">
        <v>1476</v>
      </c>
      <c r="B25" s="215" t="s">
        <v>1587</v>
      </c>
      <c r="C25" s="1125">
        <f ca="1">ROUND(IF('数据-取费表'!B22&lt;=1,C20*F22*'数据-取费表'!B22/2,C20*(POWER((1+F22),'数据-取费表'!B22/2)-1)),0)</f>
        <v>3018</v>
      </c>
      <c r="D25" s="238"/>
      <c r="E25" s="241"/>
      <c r="F25" s="239"/>
      <c r="G25" s="242" t="s">
        <v>1588</v>
      </c>
    </row>
    <row r="26" spans="1:7" s="214" customFormat="1">
      <c r="A26" s="777"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669283</v>
      </c>
      <c r="D27" s="235">
        <f ca="1">C29</f>
        <v>3.0000000000000001E-3</v>
      </c>
      <c r="E27" s="236" t="s">
        <v>1514</v>
      </c>
      <c r="F27" s="246">
        <f ca="1">IF(B1="",'数据-取费表'!Q16,INDIRECT("'数据-取费表'!q"&amp;$G$1))</f>
        <v>0.15</v>
      </c>
      <c r="G27" s="247" t="s">
        <v>1515</v>
      </c>
    </row>
    <row r="28" spans="1:7" s="214" customFormat="1" ht="13.5" customHeight="1">
      <c r="A28" s="777" t="s">
        <v>346</v>
      </c>
      <c r="B28" s="248" t="s">
        <v>1516</v>
      </c>
      <c r="C28" s="249">
        <f ca="1">ROUND((C5+C19+C20)*F27,0)</f>
        <v>669283</v>
      </c>
      <c r="D28" s="235"/>
      <c r="E28" s="236"/>
      <c r="F28" s="246"/>
      <c r="G28" s="247"/>
    </row>
    <row r="29" spans="1:7" s="214" customFormat="1" ht="13.5" customHeight="1">
      <c r="A29" s="777"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5895152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65041800</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60147945</v>
      </c>
      <c r="D34" s="217"/>
      <c r="E34" s="220"/>
      <c r="F34" s="257"/>
      <c r="G34" s="219"/>
    </row>
    <row r="35" spans="1:7" ht="13.5" customHeight="1">
      <c r="A35" s="777" t="s">
        <v>351</v>
      </c>
      <c r="B35" s="215" t="s">
        <v>1527</v>
      </c>
      <c r="C35" s="220">
        <f ca="1">ROUND(C34*F35,0)</f>
        <v>1804438</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2187198</v>
      </c>
      <c r="D37" s="217">
        <f ca="1">D19</f>
        <v>10935.989999999998</v>
      </c>
      <c r="E37" s="249">
        <f>'数据-取费表'!B35</f>
        <v>200</v>
      </c>
      <c r="F37" s="259"/>
      <c r="G37" s="261"/>
    </row>
    <row r="38" spans="1:7" ht="13.5" customHeight="1">
      <c r="A38" s="777" t="s">
        <v>354</v>
      </c>
      <c r="B38" s="215" t="s">
        <v>1533</v>
      </c>
      <c r="C38" s="220">
        <f ca="1">ROUND(C34*F38,0)</f>
        <v>902219</v>
      </c>
      <c r="D38" s="220"/>
      <c r="E38" s="220"/>
      <c r="F38" s="259">
        <f>'数据-取费表'!B36</f>
        <v>1.4999999999999999E-2</v>
      </c>
      <c r="G38" s="219" t="s">
        <v>1528</v>
      </c>
    </row>
    <row r="39" spans="1:7" s="214" customFormat="1" ht="13.5" customHeight="1">
      <c r="A39" s="255" t="s">
        <v>1534</v>
      </c>
      <c r="B39" s="210" t="s">
        <v>1535</v>
      </c>
      <c r="C39" s="232">
        <f ca="1">ROUND(C33*F20,0)</f>
        <v>1300836</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2288821</v>
      </c>
      <c r="D41" s="235">
        <f ca="1">C44</f>
        <v>6.9999999999999999E-4</v>
      </c>
      <c r="E41" s="236" t="s">
        <v>1539</v>
      </c>
      <c r="F41" s="237">
        <f ca="1">F22</f>
        <v>3.4500000000000003E-2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2243942</v>
      </c>
      <c r="D42" s="238"/>
      <c r="E42" s="238"/>
      <c r="F42" s="239"/>
      <c r="G42" s="3647" t="s">
        <v>1591</v>
      </c>
    </row>
    <row r="43" spans="1:7" ht="13.5" customHeight="1">
      <c r="A43" s="777" t="s">
        <v>347</v>
      </c>
      <c r="B43" s="215" t="s">
        <v>1545</v>
      </c>
      <c r="C43" s="238">
        <f ca="1">ROUND(IF('数据-取费表'!B22&lt;=1,C39*F22*'数据-取费表'!B20/2,C39*(POWER((1+F22),'数据-取费表'!B20/2)-1)),0)</f>
        <v>44879</v>
      </c>
      <c r="D43" s="238"/>
      <c r="E43" s="238"/>
      <c r="F43" s="239"/>
      <c r="G43" s="3648"/>
    </row>
    <row r="44" spans="1:7" ht="13.5" customHeight="1">
      <c r="A44" s="777" t="s">
        <v>348</v>
      </c>
      <c r="B44" s="215" t="s">
        <v>1546</v>
      </c>
      <c r="C44" s="238">
        <f ca="1">ROUND(IF('数据-取费表'!B22&lt;=1,C40*F22*'数据-取费表'!B20/2,C40*(POWER((1+F22),'数据-取费表'!B20/2)-1)),4)</f>
        <v>6.9999999999999999E-4</v>
      </c>
      <c r="D44" s="238"/>
      <c r="E44" s="238"/>
      <c r="F44" s="239"/>
      <c r="G44" s="3649"/>
    </row>
    <row r="45" spans="1:7" s="214" customFormat="1" ht="13.5" customHeight="1">
      <c r="A45" s="255" t="s">
        <v>1547</v>
      </c>
      <c r="B45" s="244" t="s">
        <v>1513</v>
      </c>
      <c r="C45" s="245">
        <f ca="1">C46</f>
        <v>9951395</v>
      </c>
      <c r="D45" s="235">
        <f ca="1">C47</f>
        <v>3.0000000000000001E-3</v>
      </c>
      <c r="E45" s="236" t="s">
        <v>1539</v>
      </c>
      <c r="F45" s="246">
        <f ca="1">F27</f>
        <v>0.15</v>
      </c>
      <c r="G45" s="247" t="s">
        <v>1548</v>
      </c>
    </row>
    <row r="46" spans="1:7" s="214" customFormat="1" ht="13.5" customHeight="1">
      <c r="A46" s="777" t="s">
        <v>346</v>
      </c>
      <c r="B46" s="248" t="s">
        <v>1549</v>
      </c>
      <c r="C46" s="249">
        <f ca="1">ROUND((C33+C39)*F27,0)</f>
        <v>9951395</v>
      </c>
      <c r="D46" s="263"/>
      <c r="E46" s="236"/>
      <c r="F46" s="246"/>
      <c r="G46" s="247"/>
    </row>
    <row r="47" spans="1:7" s="214" customFormat="1" ht="13.5" customHeight="1">
      <c r="A47" s="777"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85138518</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76624666</v>
      </c>
      <c r="D51" s="232"/>
      <c r="E51" s="232"/>
      <c r="F51" s="264"/>
      <c r="G51" s="234" t="s">
        <v>1560</v>
      </c>
    </row>
    <row r="52" spans="1:7" s="208" customFormat="1" ht="16.5" thickBot="1">
      <c r="A52" s="265" t="s">
        <v>1561</v>
      </c>
      <c r="B52" s="266"/>
      <c r="C52" s="267">
        <f ca="1">C31+C51</f>
        <v>82519818</v>
      </c>
      <c r="D52" s="266"/>
      <c r="E52" s="266"/>
      <c r="F52" s="266"/>
      <c r="G52" s="268"/>
    </row>
    <row r="55" spans="1:7" ht="15">
      <c r="B55" s="270" t="s">
        <v>1562</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7"/>
      <c r="C1" s="1188"/>
      <c r="D1" s="1186"/>
      <c r="E1" s="2800"/>
      <c r="F1" s="2800"/>
      <c r="G1" s="2667"/>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6"/>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10935.989999999998</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10935.989999999998</v>
      </c>
      <c r="E17" s="21">
        <f>'数据-取费表'!B32</f>
        <v>0</v>
      </c>
      <c r="F17" s="803"/>
      <c r="G17" s="131"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c r="H18" s="1183"/>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160</v>
      </c>
      <c r="F19" s="801"/>
      <c r="G19" s="12"/>
      <c r="H19" s="1185"/>
      <c r="I19" s="806"/>
      <c r="J19" s="806"/>
      <c r="K19" s="807"/>
    </row>
    <row r="20" spans="1:33" s="800" customFormat="1" ht="13.5" customHeight="1">
      <c r="A20" s="797" t="s">
        <v>361</v>
      </c>
      <c r="B20" s="798" t="s">
        <v>1627</v>
      </c>
      <c r="C20" s="21">
        <f ca="1">ROUND(D20*E20/10000,0)</f>
        <v>219</v>
      </c>
      <c r="D20" s="843">
        <f ca="1">IF(C1="",'数据-汇总表'!E6,IF(INDIRECT("'数据-取费表'!c"&amp;$K$1)="住宅",INDIRECT("'数据-取费表'!s"&amp;$K$1),INDIRECT("'数据-取费表'!k"&amp;$K$1)+INDIRECT("'数据-取费表'!s"&amp;$K$1)))</f>
        <v>10935.989999999998</v>
      </c>
      <c r="E20" s="21">
        <f>'数据-取费表'!B28</f>
        <v>200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1641</v>
      </c>
      <c r="B28" s="1861" t="s">
        <v>1642</v>
      </c>
      <c r="C28" s="287">
        <f ca="1">C30</f>
        <v>0</v>
      </c>
      <c r="D28" s="280">
        <f ca="1">C29</f>
        <v>0</v>
      </c>
      <c r="E28" s="282" t="s">
        <v>12</v>
      </c>
      <c r="F28" s="288">
        <f ca="1">IF(C1="",'数据-取费表'!Q16,INDIRECT("'数据-取费表'!q"&amp;$K$1))</f>
        <v>0.15</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2"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14" sqref="I1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21</v>
      </c>
      <c r="D1" s="1358" t="s">
        <v>43</v>
      </c>
      <c r="E1" s="1359" t="s">
        <v>678</v>
      </c>
      <c r="F1" s="1059">
        <f ca="1">J53</f>
        <v>18.87</v>
      </c>
      <c r="G1" s="1374">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22270</v>
      </c>
      <c r="C2" s="1383" t="s">
        <v>805</v>
      </c>
      <c r="D2" s="1383"/>
      <c r="E2" s="1384"/>
      <c r="F2" s="1385"/>
      <c r="G2" s="2702"/>
      <c r="H2" s="2691"/>
      <c r="I2" s="2691"/>
      <c r="J2" s="2691"/>
      <c r="K2" s="2692"/>
      <c r="L2" s="2691"/>
      <c r="M2" s="2691"/>
    </row>
    <row r="3" spans="1:37" ht="18" customHeight="1" thickBot="1">
      <c r="A3" s="1386" t="s">
        <v>806</v>
      </c>
      <c r="B3" s="1387">
        <f ca="1">IF(ISERROR(B2*10000/F43),0,ROUND(B2*10000/F43,0))</f>
        <v>20364</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2039</v>
      </c>
      <c r="D5" s="1360" t="s">
        <v>693</v>
      </c>
      <c r="E5" s="1068"/>
      <c r="F5" s="1069"/>
      <c r="G5" s="1380"/>
      <c r="H5" s="299">
        <v>1</v>
      </c>
      <c r="I5" s="300" t="s">
        <v>692</v>
      </c>
      <c r="J5" s="1067">
        <f ca="1">J6+J10+J12</f>
        <v>0</v>
      </c>
      <c r="K5" s="1360" t="s">
        <v>693</v>
      </c>
      <c r="L5" s="1068"/>
      <c r="M5" s="1069"/>
    </row>
    <row r="6" spans="1:37" ht="18" customHeight="1">
      <c r="A6" s="1066" t="s">
        <v>398</v>
      </c>
      <c r="B6" s="3652" t="s">
        <v>694</v>
      </c>
      <c r="C6" s="1071">
        <f ca="1">ROUND(F6*F8*F7*(1-F9)/10000,0)</f>
        <v>2036</v>
      </c>
      <c r="D6" s="155" t="s">
        <v>2109</v>
      </c>
      <c r="E6" s="302" t="s">
        <v>696</v>
      </c>
      <c r="F6" s="303">
        <f ca="1">INDIRECT("'数据-取费表'!u"&amp;$G$1)</f>
        <v>6</v>
      </c>
      <c r="G6" s="1380"/>
      <c r="H6" s="1066" t="s">
        <v>398</v>
      </c>
      <c r="I6" s="3652" t="s">
        <v>694</v>
      </c>
      <c r="J6" s="301">
        <f ca="1">ROUND(M6*M8*M7*(1-M9)/10000,0)</f>
        <v>0</v>
      </c>
      <c r="K6" s="155" t="s">
        <v>2108</v>
      </c>
      <c r="L6" s="302" t="s">
        <v>696</v>
      </c>
      <c r="M6" s="303">
        <f ca="1">INDIRECT("'数据-取费表'!z"&amp;$G$1)</f>
        <v>0</v>
      </c>
    </row>
    <row r="7" spans="1:37" ht="18" customHeight="1">
      <c r="A7" s="1070"/>
      <c r="B7" s="3653"/>
      <c r="C7" s="1072"/>
      <c r="D7" s="307"/>
      <c r="E7" s="1073" t="s">
        <v>697</v>
      </c>
      <c r="F7" s="303">
        <f ca="1">IF(INDIRECT("'数据-取费表'!ah"&amp;$G$1)="",INDIRECT("'数据-取费表'!k"&amp;$G$1),INDIRECT("'数据-取费表'!ah"&amp;$G$1))</f>
        <v>10935.989999999998</v>
      </c>
      <c r="G7" s="1380"/>
      <c r="H7" s="304"/>
      <c r="I7" s="3653"/>
      <c r="J7" s="306"/>
      <c r="K7" s="307"/>
      <c r="L7" s="302" t="s">
        <v>697</v>
      </c>
      <c r="M7" s="303">
        <f ca="1">F7</f>
        <v>10935.989999999998</v>
      </c>
    </row>
    <row r="8" spans="1:37" ht="18" customHeight="1">
      <c r="A8" s="304"/>
      <c r="B8" s="3653"/>
      <c r="C8" s="306"/>
      <c r="D8" s="307"/>
      <c r="E8" s="302" t="s">
        <v>698</v>
      </c>
      <c r="F8" s="303">
        <f ca="1">INDIRECT("'数据-取费表'!ai"&amp;$G$1)</f>
        <v>365</v>
      </c>
      <c r="G8" s="1380"/>
      <c r="H8" s="304"/>
      <c r="I8" s="3653"/>
      <c r="J8" s="306"/>
      <c r="K8" s="307"/>
      <c r="L8" s="302" t="s">
        <v>698</v>
      </c>
      <c r="M8" s="303">
        <f ca="1">INDIRECT("'数据-取费表'!ai"&amp;$G$1)</f>
        <v>365</v>
      </c>
    </row>
    <row r="9" spans="1:37" ht="18" customHeight="1">
      <c r="A9" s="304"/>
      <c r="B9" s="3654"/>
      <c r="C9" s="306"/>
      <c r="D9" s="307"/>
      <c r="E9" s="302" t="s">
        <v>699</v>
      </c>
      <c r="F9" s="312">
        <f ca="1">INDIRECT("'数据-取费表'!w"&amp;$G$1)</f>
        <v>0.15</v>
      </c>
      <c r="G9" s="1380"/>
      <c r="H9" s="304"/>
      <c r="I9" s="3654"/>
      <c r="J9" s="306"/>
      <c r="K9" s="307"/>
      <c r="L9" s="313" t="s">
        <v>699</v>
      </c>
      <c r="M9" s="314">
        <f ca="1">INDIRECT("'数据-取费表'!ab"&amp;$G$1)</f>
        <v>0</v>
      </c>
    </row>
    <row r="10" spans="1:37" ht="18" customHeight="1">
      <c r="A10" s="1066" t="s">
        <v>402</v>
      </c>
      <c r="B10" s="1361" t="s">
        <v>700</v>
      </c>
      <c r="C10" s="316">
        <f ca="1">ROUND(IF(F10="押一",C6/12*F11,IF(F10="押二",C6/12*2*F11,IF(F10="押三",C6/12*3*F11,C11*F11))),0)</f>
        <v>3</v>
      </c>
      <c r="D10" s="1362" t="s">
        <v>2117</v>
      </c>
      <c r="E10" s="313" t="s">
        <v>701</v>
      </c>
      <c r="F10" s="1113" t="s">
        <v>3604</v>
      </c>
      <c r="G10" s="1380"/>
      <c r="H10" s="1066" t="s">
        <v>402</v>
      </c>
      <c r="I10" s="1361" t="s">
        <v>700</v>
      </c>
      <c r="J10" s="301">
        <f ca="1">ROUND(IF(M10="押一",J6/12*M11,IF(M10="押二",J6/12*2*M11,IF(M10="押三",J6/12*3*M11,J11*M11))),0)</f>
        <v>0</v>
      </c>
      <c r="K10" s="1362" t="s">
        <v>2116</v>
      </c>
      <c r="L10" s="313" t="s">
        <v>701</v>
      </c>
      <c r="M10" s="1113"/>
    </row>
    <row r="11" spans="1:37" ht="18" customHeight="1">
      <c r="A11" s="308"/>
      <c r="B11" s="1363" t="s">
        <v>679</v>
      </c>
      <c r="C11" s="956"/>
      <c r="D11" s="1364"/>
      <c r="E11" s="313" t="s">
        <v>702</v>
      </c>
      <c r="F11" s="314">
        <f ca="1">'数据-取费表'!B39</f>
        <v>1.4999999999999999E-2</v>
      </c>
      <c r="G11" s="1380"/>
      <c r="H11" s="1074"/>
      <c r="I11" s="1363" t="s">
        <v>679</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7661</v>
      </c>
      <c r="D13" s="1078" t="s">
        <v>705</v>
      </c>
      <c r="E13" s="1078" t="s">
        <v>706</v>
      </c>
      <c r="F13" s="1079">
        <f ca="1">INDIRECT("'数据-取费表'!y"&amp;$G$1)</f>
        <v>0.9</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6015</v>
      </c>
      <c r="D14" s="1341" t="s">
        <v>708</v>
      </c>
      <c r="E14" s="1338"/>
      <c r="F14" s="319"/>
      <c r="G14" s="1380"/>
      <c r="H14" s="979" t="s">
        <v>398</v>
      </c>
      <c r="I14" s="302" t="s">
        <v>709</v>
      </c>
      <c r="J14" s="21">
        <f ca="1">C29</f>
        <v>8512</v>
      </c>
      <c r="K14" s="12"/>
      <c r="L14" s="804"/>
      <c r="M14" s="805"/>
    </row>
    <row r="15" spans="1:37" s="1393" customFormat="1" ht="18" customHeight="1" thickBot="1">
      <c r="A15" s="979" t="s">
        <v>399</v>
      </c>
      <c r="B15" s="302" t="s">
        <v>710</v>
      </c>
      <c r="C15" s="21">
        <f ca="1">ROUND(C14*F15,0)</f>
        <v>180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85</v>
      </c>
      <c r="K16" s="1084" t="s">
        <v>715</v>
      </c>
      <c r="L16" s="1085"/>
      <c r="M16" s="1069"/>
    </row>
    <row r="17" spans="1:37" s="1393" customFormat="1" ht="18" customHeight="1">
      <c r="A17" s="979" t="s">
        <v>681</v>
      </c>
      <c r="B17" s="302" t="s">
        <v>716</v>
      </c>
      <c r="C17" s="21">
        <f ca="1">ROUND(F17*(F43+INDIRECT("'数据-取费表'!S"&amp;$G$1))/10000,0)</f>
        <v>219</v>
      </c>
      <c r="D17" s="302" t="s">
        <v>717</v>
      </c>
      <c r="E17" s="302" t="s">
        <v>718</v>
      </c>
      <c r="F17" s="23">
        <f>'数据-取费表'!B35</f>
        <v>200</v>
      </c>
      <c r="G17" s="1392"/>
      <c r="H17" s="979" t="s">
        <v>398</v>
      </c>
      <c r="I17" s="302" t="s">
        <v>719</v>
      </c>
      <c r="J17" s="2312">
        <f ca="1">ROUND(IF(AND(项目基本情况!B11="自然人",项目基本情况!B10="北京市"),J6*M17/(1+'数据-取费表'!C42),J18+J19+J20),2)</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90</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6504</v>
      </c>
      <c r="D19" s="131" t="s">
        <v>726</v>
      </c>
      <c r="E19" s="1356"/>
      <c r="F19" s="23"/>
      <c r="G19" s="1380"/>
      <c r="H19" s="979" t="s">
        <v>399</v>
      </c>
      <c r="I19" s="302" t="s">
        <v>727</v>
      </c>
      <c r="J19" s="21">
        <f ca="1">IF(K19="按租金收入计税",ROUND(J6*M19/(1+'数据-取费表'!C42),2),ROUND(C29*M19*0.7,2))</f>
        <v>0</v>
      </c>
      <c r="K19" s="1366" t="s">
        <v>3330</v>
      </c>
      <c r="L19" s="302" t="s">
        <v>712</v>
      </c>
      <c r="M19" s="322">
        <f>IF(K19="按租金收入计税",'数据-取费表'!B51,'数据-取费表'!B50)</f>
        <v>0.12</v>
      </c>
    </row>
    <row r="20" spans="1:37" s="1393" customFormat="1" ht="18" customHeight="1">
      <c r="A20" s="979" t="s">
        <v>402</v>
      </c>
      <c r="B20" s="302" t="s">
        <v>728</v>
      </c>
      <c r="C20" s="21">
        <f ca="1">ROUND(C19*F20,0)</f>
        <v>130</v>
      </c>
      <c r="D20" s="323" t="s">
        <v>729</v>
      </c>
      <c r="E20" s="302" t="s">
        <v>712</v>
      </c>
      <c r="F20" s="322">
        <f>'数据-取费表'!B37</f>
        <v>0.02</v>
      </c>
      <c r="G20" s="1392"/>
      <c r="H20" s="979"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0.02</v>
      </c>
      <c r="G21" s="1392"/>
      <c r="H21" s="326"/>
      <c r="I21" s="311"/>
      <c r="J21" s="26"/>
      <c r="K21" s="327"/>
      <c r="L21" s="302" t="s">
        <v>736</v>
      </c>
      <c r="M21" s="303">
        <f ca="1">INDIRECT("'数据-取费表'!r"&amp;$G$1)</f>
        <v>3258.72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85.12</v>
      </c>
      <c r="K22" s="1340" t="s">
        <v>739</v>
      </c>
      <c r="L22" s="302" t="s">
        <v>712</v>
      </c>
      <c r="M22" s="328">
        <f ca="1">INDIRECT("'数据-取费表'!Ak"&amp;$G$1)</f>
        <v>0.01</v>
      </c>
    </row>
    <row r="23" spans="1:37" s="1393" customFormat="1" ht="18" customHeight="1">
      <c r="A23" s="979" t="s">
        <v>397</v>
      </c>
      <c r="B23" s="302" t="s">
        <v>740</v>
      </c>
      <c r="C23" s="21">
        <f ca="1">IF('数据-取费表'!B22&lt;=1,ROUND(C19*F24*F23/2,0)+ROUND(C20*F24*F23/2,0),ROUND(C19*(POWER((1+F24),F23/2)-1),0)+ROUND(C20*(POWER((1+F24),F23/2)-1),0))</f>
        <v>228</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ROUND(J13*M23,2)</f>
        <v>0</v>
      </c>
      <c r="K23" s="1340" t="s">
        <v>743</v>
      </c>
      <c r="L23" s="302" t="s">
        <v>744</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ROUND(J5*M24,2)</f>
        <v>0</v>
      </c>
      <c r="K24" s="1089" t="s">
        <v>748</v>
      </c>
      <c r="L24" s="1087" t="s">
        <v>744</v>
      </c>
      <c r="M24" s="1083">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-85</v>
      </c>
      <c r="K25" s="1092" t="s">
        <v>753</v>
      </c>
      <c r="L25" s="1093"/>
      <c r="M25" s="1094"/>
    </row>
    <row r="26" spans="1:37">
      <c r="A26" s="979" t="s">
        <v>397</v>
      </c>
      <c r="B26" s="302" t="s">
        <v>754</v>
      </c>
      <c r="C26" s="21">
        <f ca="1">ROUND((C19+C20)*F26,0)</f>
        <v>995</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8512</v>
      </c>
      <c r="D29" s="1089"/>
      <c r="E29" s="1087"/>
      <c r="F29" s="1090"/>
      <c r="G29" s="1392"/>
      <c r="H29" s="334" t="s">
        <v>396</v>
      </c>
      <c r="I29" s="335" t="s">
        <v>768</v>
      </c>
      <c r="J29" s="336">
        <f ca="1">ROUND(J26/(1+F40)^F41,0)</f>
        <v>0</v>
      </c>
      <c r="K29" s="337" t="s">
        <v>769</v>
      </c>
      <c r="L29" s="338"/>
      <c r="M29" s="339">
        <f ca="1">INDIRECT("'数据-取费表'!k"&amp;$G$1)</f>
        <v>10935.989999999998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458</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ROUND(IF(AND(项目基本情况!B11="自然人",项目基本情况!B10="北京市"),C6*F31/(1+'数据-取费表'!C42),C32+C33+C34),2)</f>
        <v>341.28</v>
      </c>
      <c r="D31" s="1341" t="s">
        <v>720</v>
      </c>
      <c r="E31" s="1340" t="s">
        <v>770</v>
      </c>
      <c r="F31" s="2311">
        <f ca="1">IF(项目基本情况!B11="企业","——",IF(M47="住宅",IF(F6*F7*F8/12/(1+'数据-取费表'!F30)&gt;100000,4%,2.5%),IF(F6*F7*F8/12/(1+'数据-取费表'!F30)&gt;100000,12%,7%)))</f>
        <v>0.12</v>
      </c>
      <c r="G31" s="1380"/>
      <c r="H31" s="2802" t="s">
        <v>2301</v>
      </c>
      <c r="I31" s="1394"/>
      <c r="J31" s="1395"/>
      <c r="K31" s="2471"/>
      <c r="L31" s="2694"/>
      <c r="M31" s="2695"/>
    </row>
    <row r="32" spans="1:37" ht="18" customHeight="1">
      <c r="A32" s="979" t="s">
        <v>397</v>
      </c>
      <c r="B32" s="302" t="s">
        <v>723</v>
      </c>
      <c r="C32" s="21">
        <f ca="1">IF(项目基本情况!B11="自然人","——",ROUND(C6*F32/(1+'数据-取费表'!C42),2))</f>
        <v>108.59</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IF(项目基本情况!B11="自然人","——",IF(D33="按租金收入计税",ROUND(C6*F33/(1+'数据-取费表'!C42),2),IF(D33="按房产原值计税",ROUND(C29*F33*0.7,2),INDIRECT("'数据-取费表'!Aj"&amp;$G$1))))</f>
        <v>232.69</v>
      </c>
      <c r="D33" s="1366" t="s">
        <v>3330</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3258.72</v>
      </c>
      <c r="G35" s="1380"/>
      <c r="H35" s="2693"/>
      <c r="I35" s="1394"/>
      <c r="J35" s="1395"/>
      <c r="K35" s="2697"/>
      <c r="L35" s="2696"/>
      <c r="M35" s="2696"/>
    </row>
    <row r="36" spans="1:18" ht="18" customHeight="1">
      <c r="A36" s="1099" t="s">
        <v>402</v>
      </c>
      <c r="B36" s="302" t="s">
        <v>738</v>
      </c>
      <c r="C36" s="21">
        <f ca="1">ROUND(C29*F36,2)</f>
        <v>85.12</v>
      </c>
      <c r="D36" s="1340" t="s">
        <v>771</v>
      </c>
      <c r="E36" s="302" t="s">
        <v>712</v>
      </c>
      <c r="F36" s="328">
        <f ca="1">INDIRECT("'数据-取费表'!Ak"&amp;$G$1)</f>
        <v>0.01</v>
      </c>
      <c r="G36" s="1380"/>
      <c r="H36" s="2696"/>
      <c r="I36" s="1394"/>
      <c r="J36" s="1395"/>
      <c r="K36" s="2540"/>
      <c r="L36" s="2696"/>
      <c r="M36" s="2696"/>
    </row>
    <row r="37" spans="1:18" ht="18" customHeight="1">
      <c r="A37" s="979" t="s">
        <v>437</v>
      </c>
      <c r="B37" s="302" t="s">
        <v>742</v>
      </c>
      <c r="C37" s="21">
        <f ca="1">ROUND(C13*F37,2)</f>
        <v>11.49</v>
      </c>
      <c r="D37" s="1340" t="s">
        <v>743</v>
      </c>
      <c r="E37" s="302" t="s">
        <v>744</v>
      </c>
      <c r="F37" s="330">
        <f ca="1">INDIRECT("'数据-取费表'!Al"&amp;$G$1)</f>
        <v>1.5E-3</v>
      </c>
      <c r="G37" s="1380"/>
      <c r="H37" s="2696"/>
      <c r="I37" s="1394"/>
      <c r="J37" s="1395"/>
      <c r="K37" s="2540"/>
      <c r="L37" s="2696"/>
      <c r="M37" s="2696"/>
    </row>
    <row r="38" spans="1:18" ht="18" customHeight="1" thickBot="1">
      <c r="A38" s="1086" t="s">
        <v>684</v>
      </c>
      <c r="B38" s="1087" t="s">
        <v>728</v>
      </c>
      <c r="C38" s="1088">
        <f ca="1">ROUND(C5*F38,2)</f>
        <v>20.39</v>
      </c>
      <c r="D38" s="1089" t="s">
        <v>748</v>
      </c>
      <c r="E38" s="1087" t="s">
        <v>744</v>
      </c>
      <c r="F38" s="1083">
        <f ca="1">INDIRECT("'数据-取费表'!Am"&amp;$G$1)</f>
        <v>0.01</v>
      </c>
      <c r="G38" s="1380"/>
      <c r="H38" s="2696"/>
      <c r="I38" s="1394"/>
      <c r="J38" s="1395"/>
      <c r="K38" s="2700"/>
      <c r="L38" s="2696"/>
      <c r="M38" s="2696"/>
    </row>
    <row r="39" spans="1:18" ht="24.6" customHeight="1" thickTop="1">
      <c r="A39" s="1076" t="s">
        <v>394</v>
      </c>
      <c r="B39" s="1091" t="s">
        <v>772</v>
      </c>
      <c r="C39" s="310">
        <f ca="1">C5-C30</f>
        <v>1581</v>
      </c>
      <c r="D39" s="1092" t="s">
        <v>773</v>
      </c>
      <c r="E39" s="1093"/>
      <c r="F39" s="1094"/>
      <c r="G39" s="1380"/>
      <c r="H39" s="2696"/>
      <c r="I39" s="1394"/>
      <c r="J39" s="1395"/>
      <c r="K39" s="2700"/>
      <c r="L39" s="2696"/>
      <c r="M39" s="2696"/>
    </row>
    <row r="40" spans="1:18" ht="18" customHeight="1">
      <c r="A40" s="299" t="s">
        <v>395</v>
      </c>
      <c r="B40" s="300" t="s">
        <v>774</v>
      </c>
      <c r="C40" s="301">
        <f ca="1">ROUND(C39*(1-((1+F42)/(1+F40))^F41)/(F40-F42),0)</f>
        <v>21200</v>
      </c>
      <c r="D40" s="324" t="s">
        <v>758</v>
      </c>
      <c r="E40" s="302" t="s">
        <v>759</v>
      </c>
      <c r="F40" s="312">
        <f ca="1">INDIRECT("'数据-取费表'!I"&amp;$G$1)</f>
        <v>0.06</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18.87</v>
      </c>
      <c r="G41" s="1380"/>
      <c r="H41" s="1187"/>
      <c r="I41" s="1394"/>
      <c r="J41" s="1395"/>
      <c r="K41" s="2540"/>
      <c r="L41" s="1187"/>
      <c r="M41" s="1187"/>
    </row>
    <row r="42" spans="1:18" ht="18" customHeight="1">
      <c r="A42" s="308"/>
      <c r="B42" s="309"/>
      <c r="C42" s="310"/>
      <c r="D42" s="327"/>
      <c r="E42" s="302" t="s">
        <v>766</v>
      </c>
      <c r="F42" s="312">
        <f ca="1">INDIRECT("'数据-取费表'!v"&amp;$G$1)</f>
        <v>2.5000000000000001E-2</v>
      </c>
      <c r="G42" s="1380"/>
      <c r="H42" s="1187"/>
      <c r="I42" s="1394"/>
      <c r="J42" s="1395"/>
      <c r="K42" s="2540"/>
      <c r="L42" s="1187"/>
      <c r="M42" s="1187"/>
    </row>
    <row r="43" spans="1:18" ht="18" customHeight="1" thickBot="1">
      <c r="A43" s="334" t="s">
        <v>396</v>
      </c>
      <c r="B43" s="335" t="s">
        <v>776</v>
      </c>
      <c r="C43" s="336">
        <f ca="1">ROUND(C40*10000/F43,0)</f>
        <v>19386</v>
      </c>
      <c r="D43" s="337" t="s">
        <v>777</v>
      </c>
      <c r="E43" s="338" t="s">
        <v>778</v>
      </c>
      <c r="F43" s="339">
        <f ca="1">INDIRECT("'数据-取费表'!k"&amp;$G$1)</f>
        <v>10935.989999999998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f ca="1">C68-C40</f>
        <v>-22278</v>
      </c>
      <c r="D46" s="1402" t="str">
        <f>C2</f>
        <v>万元</v>
      </c>
      <c r="E46" s="1396"/>
      <c r="F46" s="1396"/>
      <c r="I46" s="1403" t="s">
        <v>810</v>
      </c>
      <c r="J46" s="1404"/>
      <c r="K46" s="1405"/>
      <c r="L46" s="1406">
        <f ca="1">IF(M47="住宅",0,IF(L48&gt;J51,L60,J60))</f>
        <v>1070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22"/>
      <c r="I47" s="1410" t="s">
        <v>815</v>
      </c>
      <c r="J47" s="1411" t="s">
        <v>3395</v>
      </c>
      <c r="K47" s="1412" t="s">
        <v>816</v>
      </c>
      <c r="L47" s="1413">
        <f ca="1">INDIRECT("'数据-取费表'!d"&amp;$G$1)</f>
        <v>40</v>
      </c>
      <c r="M47" s="1376" t="str">
        <f>IF(ISNUMBER(FIND("住宅",C1)),"住宅","非住宅")</f>
        <v>非住宅</v>
      </c>
      <c r="O47" s="1414" t="s">
        <v>403</v>
      </c>
      <c r="P47" s="1415" t="s">
        <v>817</v>
      </c>
      <c r="Q47" s="1416">
        <f ca="1">C40+J29</f>
        <v>21200</v>
      </c>
      <c r="R47" s="1416" t="s">
        <v>818</v>
      </c>
    </row>
    <row r="48" spans="1:18" s="1380" customFormat="1" ht="28.5" thickBot="1">
      <c r="A48" s="1107" t="s">
        <v>438</v>
      </c>
      <c r="B48" s="300" t="s">
        <v>692</v>
      </c>
      <c r="C48" s="1355">
        <f ca="1">C49+C53+C55</f>
        <v>0</v>
      </c>
      <c r="D48" s="1109"/>
      <c r="E48" s="1110"/>
      <c r="F48" s="959"/>
      <c r="G48" s="722"/>
      <c r="H48" s="723"/>
      <c r="I48" s="1417" t="s">
        <v>819</v>
      </c>
      <c r="J48" s="1418" t="s">
        <v>3396</v>
      </c>
      <c r="K48" s="1419" t="s">
        <v>820</v>
      </c>
      <c r="L48" s="1420">
        <f ca="1">INDIRECT("'数据-取费表'!f"&amp;$G$1)</f>
        <v>18.87</v>
      </c>
      <c r="O48" s="1414" t="s">
        <v>404</v>
      </c>
      <c r="P48" s="1415" t="s">
        <v>821</v>
      </c>
      <c r="Q48" s="1416">
        <f ca="1">J60</f>
        <v>1070</v>
      </c>
      <c r="R48" s="1416" t="s">
        <v>822</v>
      </c>
    </row>
    <row r="49" spans="1:18" s="1380" customFormat="1" ht="13.5" thickBot="1">
      <c r="A49" s="972" t="s">
        <v>439</v>
      </c>
      <c r="B49" s="1367" t="s">
        <v>779</v>
      </c>
      <c r="C49" s="1111">
        <f ca="1">ROUND(F49*F51*F50*(1-F52)/10000,0)</f>
        <v>0</v>
      </c>
      <c r="D49" s="1052" t="s">
        <v>2110</v>
      </c>
      <c r="E49" s="1368" t="s">
        <v>780</v>
      </c>
      <c r="F49" s="1057"/>
      <c r="G49" s="1421"/>
      <c r="H49" s="723"/>
      <c r="I49" s="1417" t="s">
        <v>823</v>
      </c>
      <c r="J49" s="1422">
        <v>2018</v>
      </c>
      <c r="K49" s="1419" t="s">
        <v>824</v>
      </c>
      <c r="L49" s="1423"/>
      <c r="O49" s="1424" t="s">
        <v>405</v>
      </c>
      <c r="P49" s="1415" t="s">
        <v>825</v>
      </c>
      <c r="Q49" s="1416">
        <f ca="1">C29</f>
        <v>8512</v>
      </c>
      <c r="R49" s="1416" t="s">
        <v>818</v>
      </c>
    </row>
    <row r="50" spans="1:18" s="1380" customFormat="1" ht="13.5" thickBot="1">
      <c r="A50" s="973"/>
      <c r="B50" s="976"/>
      <c r="C50" s="1115"/>
      <c r="D50" s="950"/>
      <c r="E50" s="1053" t="s">
        <v>697</v>
      </c>
      <c r="F50" s="1054">
        <f ca="1">F7</f>
        <v>10935.989999999998</v>
      </c>
      <c r="H50" s="723"/>
      <c r="I50" s="1417" t="s">
        <v>826</v>
      </c>
      <c r="J50" s="1425">
        <f>SUMPRODUCT((I63:I65=J47)*(J62:L62=J48)*(J63:L65))</f>
        <v>60</v>
      </c>
      <c r="K50" s="1419" t="s">
        <v>827</v>
      </c>
      <c r="L50" s="1423"/>
      <c r="M50" s="1426"/>
      <c r="O50" s="1424" t="s">
        <v>406</v>
      </c>
      <c r="P50" s="1415" t="s">
        <v>828</v>
      </c>
      <c r="Q50" s="1427">
        <f ca="1">J58</f>
        <v>0.58599999999999997</v>
      </c>
      <c r="R50" s="1416"/>
    </row>
    <row r="51" spans="1:18" s="1380" customFormat="1" ht="13.5" thickBot="1">
      <c r="A51" s="974"/>
      <c r="B51" s="976"/>
      <c r="C51" s="977"/>
      <c r="D51" s="950"/>
      <c r="E51" s="978" t="s">
        <v>698</v>
      </c>
      <c r="F51" s="303">
        <f ca="1">F8</f>
        <v>365</v>
      </c>
      <c r="I51" s="1428" t="s">
        <v>829</v>
      </c>
      <c r="J51" s="1429">
        <f>IF(J49="",J50,J49+J50-YEAR('数据-取费表'!B2))</f>
        <v>54</v>
      </c>
      <c r="K51" s="1430" t="s">
        <v>830</v>
      </c>
      <c r="L51" s="1431">
        <f ca="1">ROUND(-PV(INDIRECT("'数据-取费表'!h"&amp;$G$1),J51,(C39-C13*C76),0),0)</f>
        <v>19396</v>
      </c>
      <c r="M51" s="1432"/>
      <c r="O51" s="1424" t="s">
        <v>407</v>
      </c>
      <c r="P51" s="1415" t="s">
        <v>831</v>
      </c>
      <c r="Q51" s="1427">
        <f>J52</f>
        <v>8.5000000000000006E-2</v>
      </c>
      <c r="R51" s="1416"/>
    </row>
    <row r="52" spans="1:18" s="1380" customFormat="1" ht="13.5" thickBot="1">
      <c r="A52" s="974"/>
      <c r="B52" s="976"/>
      <c r="C52" s="977"/>
      <c r="D52" s="950"/>
      <c r="E52" s="978" t="s">
        <v>699</v>
      </c>
      <c r="F52" s="1051"/>
      <c r="I52" s="1433" t="s">
        <v>832</v>
      </c>
      <c r="J52" s="1434">
        <v>8.5000000000000006E-2</v>
      </c>
      <c r="K52" s="1433" t="s">
        <v>833</v>
      </c>
      <c r="L52" s="1434"/>
      <c r="O52" s="1424" t="s">
        <v>408</v>
      </c>
      <c r="P52" s="1415" t="s">
        <v>834</v>
      </c>
      <c r="Q52" s="1416">
        <f ca="1">J53</f>
        <v>18.87</v>
      </c>
      <c r="R52" s="1416" t="s">
        <v>835</v>
      </c>
    </row>
    <row r="53" spans="1:18" s="1380" customFormat="1" ht="24.75" thickBot="1">
      <c r="A53" s="1149" t="s">
        <v>440</v>
      </c>
      <c r="B53" s="1369" t="s">
        <v>700</v>
      </c>
      <c r="C53" s="316">
        <f ca="1">ROUND(IF(F53="押一",C49/12*F11,IF(F53="押二",C49/12*2*F11,IF(F53="押三",C49/12*3*F11,C54*F11))),0)</f>
        <v>0</v>
      </c>
      <c r="D53" s="1362" t="s">
        <v>2116</v>
      </c>
      <c r="E53" s="313" t="s">
        <v>701</v>
      </c>
      <c r="F53" s="1113"/>
      <c r="I53" s="1435" t="s">
        <v>836</v>
      </c>
      <c r="J53" s="2164">
        <f ca="1">IF(M47="住宅",IF(D1="——",MAX(J51,L48),MAX(J51,L48-'数据-取费表'!B24)),IF(D1="——",MIN(J51,L48),MIN(J51,L48-'数据-取费表'!B24)))</f>
        <v>18.87</v>
      </c>
      <c r="K53" s="3650" t="s">
        <v>837</v>
      </c>
      <c r="L53" s="3651"/>
      <c r="O53" s="1414" t="s">
        <v>409</v>
      </c>
      <c r="P53" s="1415" t="s">
        <v>838</v>
      </c>
      <c r="Q53" s="1416">
        <f ca="1">Q47+Q48</f>
        <v>22270</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0.58599999999999997</v>
      </c>
      <c r="K55" s="1441" t="s">
        <v>841</v>
      </c>
      <c r="L55" s="1442"/>
      <c r="O55" s="1407" t="s">
        <v>811</v>
      </c>
      <c r="P55" s="1408" t="s">
        <v>812</v>
      </c>
      <c r="Q55" s="1409" t="s">
        <v>813</v>
      </c>
      <c r="R55" s="1409" t="s">
        <v>814</v>
      </c>
    </row>
    <row r="56" spans="1:18" s="1380" customFormat="1" ht="25.5" thickTop="1" thickBot="1">
      <c r="A56" s="954">
        <v>2</v>
      </c>
      <c r="B56" s="955" t="s">
        <v>704</v>
      </c>
      <c r="C56" s="232">
        <f ca="1">C13</f>
        <v>7661</v>
      </c>
      <c r="D56" s="1443"/>
      <c r="E56" s="1444"/>
      <c r="F56" s="1436"/>
      <c r="I56" s="1445" t="s">
        <v>842</v>
      </c>
      <c r="J56" s="1446"/>
      <c r="K56" s="1417" t="s">
        <v>843</v>
      </c>
      <c r="L56" s="1420" t="str">
        <f ca="1">IF(L48&lt;J51,"——",L48-J53)</f>
        <v>——</v>
      </c>
      <c r="O56" s="1414" t="s">
        <v>403</v>
      </c>
      <c r="P56" s="1415" t="s">
        <v>817</v>
      </c>
      <c r="Q56" s="1416">
        <f ca="1">C40+J29</f>
        <v>21200</v>
      </c>
      <c r="R56" s="1416" t="s">
        <v>818</v>
      </c>
    </row>
    <row r="57" spans="1:18" s="1380" customFormat="1" ht="24.75" thickBot="1">
      <c r="A57" s="1447"/>
      <c r="B57" s="947" t="s">
        <v>767</v>
      </c>
      <c r="C57" s="238">
        <f ca="1">C29</f>
        <v>8512</v>
      </c>
      <c r="D57" s="1448"/>
      <c r="E57" s="1449"/>
      <c r="F57" s="1450"/>
      <c r="I57" s="1451" t="s">
        <v>844</v>
      </c>
      <c r="J57" s="1452">
        <f ca="1">IF(OR(M47="住宅",J51&lt;L48,J56="是"),"——",J51-L48)</f>
        <v>35.129999999999995</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97</v>
      </c>
      <c r="D58" s="957" t="s">
        <v>715</v>
      </c>
      <c r="E58" s="958"/>
      <c r="F58" s="959"/>
      <c r="I58" s="1451" t="s">
        <v>848</v>
      </c>
      <c r="J58" s="1453">
        <f ca="1">IF(J55&lt;0.4,0.4,J55)</f>
        <v>0.58599999999999997</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f ca="1">IF(项目基本情况!B11="企业","——",IF('数据-取费表'!B10="住宅",IF(F49*F50*F51/12/(1+'数据-取费表'!F30)&gt;100000,4%,2.5%),IF(F49*F50*F51/12/(1+'数据-取费表'!F30)&gt;100000,12%,7%)))</f>
        <v>7.0000000000000007E-2</v>
      </c>
      <c r="I59" s="1451" t="s">
        <v>851</v>
      </c>
      <c r="J59" s="1452">
        <f ca="1">IF(OR(M47="住宅",J51&lt;L48,J56="是"),"——",ROUND(C29*J58,0))</f>
        <v>4988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4" t="s">
        <v>853</v>
      </c>
      <c r="J60" s="1455">
        <f ca="1">IF(OR(M47="住宅",J51&lt;L48,J56="是"),"0",ROUND(J59/(1+J52)^J53,0))</f>
        <v>1070</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3330</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IF(项目基本情况!B11="自然人","——",ROUND(F62*F63/10000,2))</f>
        <v>0</v>
      </c>
      <c r="D62" s="962" t="s">
        <v>786</v>
      </c>
      <c r="E62" s="947" t="s">
        <v>787</v>
      </c>
      <c r="F62" s="325">
        <f t="shared" si="0"/>
        <v>0</v>
      </c>
      <c r="I62" s="1458" t="s">
        <v>858</v>
      </c>
      <c r="J62" s="1459" t="s">
        <v>859</v>
      </c>
      <c r="K62" s="1459" t="s">
        <v>860</v>
      </c>
      <c r="L62" s="1459" t="s">
        <v>861</v>
      </c>
      <c r="M62" s="1460" t="s">
        <v>862</v>
      </c>
      <c r="O62" s="1414" t="s">
        <v>409</v>
      </c>
      <c r="P62" s="1415" t="s">
        <v>863</v>
      </c>
      <c r="Q62" s="1416">
        <f ca="1">Q56+Q57</f>
        <v>21200</v>
      </c>
      <c r="R62" s="1416" t="s">
        <v>410</v>
      </c>
    </row>
    <row r="63" spans="1:18" s="1380" customFormat="1" ht="13.5" thickBot="1">
      <c r="A63" s="326"/>
      <c r="B63" s="953"/>
      <c r="C63" s="26"/>
      <c r="D63" s="963"/>
      <c r="E63" s="947" t="s">
        <v>788</v>
      </c>
      <c r="F63" s="303">
        <f t="shared" ca="1" si="0"/>
        <v>3258.72</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85.12</v>
      </c>
      <c r="D64" s="961" t="s">
        <v>791</v>
      </c>
      <c r="E64" s="947"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11.49</v>
      </c>
      <c r="D65" s="961" t="s">
        <v>743</v>
      </c>
      <c r="E65" s="947" t="s">
        <v>744</v>
      </c>
      <c r="F65" s="330">
        <f t="shared" ca="1" si="0"/>
        <v>1.5E-3</v>
      </c>
      <c r="I65" s="1458" t="s">
        <v>867</v>
      </c>
      <c r="J65" s="1459">
        <v>40</v>
      </c>
      <c r="K65" s="1459">
        <v>30</v>
      </c>
      <c r="L65" s="1459">
        <v>50</v>
      </c>
      <c r="M65" s="1461">
        <v>0.02</v>
      </c>
      <c r="O65" s="1414" t="s">
        <v>403</v>
      </c>
      <c r="P65" s="1415" t="s">
        <v>868</v>
      </c>
      <c r="Q65" s="1416">
        <f ca="1">C40+J29</f>
        <v>21200</v>
      </c>
      <c r="R65" s="1416" t="s">
        <v>818</v>
      </c>
    </row>
    <row r="66" spans="1:18" s="1380" customFormat="1" ht="16.5" thickBot="1">
      <c r="A66" s="979" t="s">
        <v>793</v>
      </c>
      <c r="B66" s="947" t="s">
        <v>728</v>
      </c>
      <c r="C66" s="21">
        <f ca="1">ROUND(C48*F66,2)</f>
        <v>0</v>
      </c>
      <c r="D66" s="961" t="s">
        <v>794</v>
      </c>
      <c r="E66" s="947" t="s">
        <v>712</v>
      </c>
      <c r="F66" s="312">
        <f t="shared" ca="1" si="0"/>
        <v>0.01</v>
      </c>
      <c r="O66" s="1414" t="s">
        <v>404</v>
      </c>
      <c r="P66" s="1415" t="s">
        <v>846</v>
      </c>
      <c r="Q66" s="1416">
        <f ca="1">L60</f>
        <v>0</v>
      </c>
      <c r="R66" s="1416" t="s">
        <v>869</v>
      </c>
    </row>
    <row r="67" spans="1:18" s="1380" customFormat="1" ht="16.5" thickBot="1">
      <c r="A67" s="954" t="s">
        <v>394</v>
      </c>
      <c r="B67" s="964" t="s">
        <v>752</v>
      </c>
      <c r="C67" s="316">
        <f ca="1">C48-C58</f>
        <v>-97</v>
      </c>
      <c r="D67" s="960" t="s">
        <v>753</v>
      </c>
      <c r="E67" s="965"/>
      <c r="F67" s="966"/>
      <c r="O67" s="1424" t="s">
        <v>405</v>
      </c>
      <c r="P67" s="1415" t="s">
        <v>850</v>
      </c>
      <c r="Q67" s="1462">
        <f ca="1">L51</f>
        <v>19396</v>
      </c>
      <c r="R67" s="1416" t="s">
        <v>870</v>
      </c>
    </row>
    <row r="68" spans="1:18" s="1380" customFormat="1" ht="16.5" thickBot="1">
      <c r="A68" s="944" t="s">
        <v>395</v>
      </c>
      <c r="B68" s="945" t="s">
        <v>774</v>
      </c>
      <c r="C68" s="301">
        <f ca="1">ROUND(C67*(1-((1+F70)/(1+F68))^F69)/(F68-F70),0)</f>
        <v>-1078</v>
      </c>
      <c r="D68" s="962" t="s">
        <v>758</v>
      </c>
      <c r="E68" s="947" t="s">
        <v>759</v>
      </c>
      <c r="F68" s="312">
        <f ca="1">F40</f>
        <v>0.06</v>
      </c>
      <c r="O68" s="1424" t="s">
        <v>406</v>
      </c>
      <c r="P68" s="1463" t="s">
        <v>871</v>
      </c>
      <c r="Q68" s="1416">
        <f ca="1">ROUND(Q69-Q70*Q71,0)</f>
        <v>1045</v>
      </c>
      <c r="R68" s="1416" t="s">
        <v>414</v>
      </c>
    </row>
    <row r="69" spans="1:18" s="1380" customFormat="1" ht="13.5" thickBot="1">
      <c r="A69" s="948"/>
      <c r="B69" s="949"/>
      <c r="C69" s="306"/>
      <c r="D69" s="967" t="s">
        <v>762</v>
      </c>
      <c r="E69" s="947" t="s">
        <v>763</v>
      </c>
      <c r="F69" s="333">
        <f ca="1">F41</f>
        <v>18.87</v>
      </c>
      <c r="O69" s="1424" t="s">
        <v>411</v>
      </c>
      <c r="P69" s="1463" t="s">
        <v>872</v>
      </c>
      <c r="Q69" s="1416">
        <f ca="1">C39</f>
        <v>1581</v>
      </c>
      <c r="R69" s="1416" t="s">
        <v>818</v>
      </c>
    </row>
    <row r="70" spans="1:18" s="1380" customFormat="1" ht="13.5" thickBot="1">
      <c r="A70" s="951"/>
      <c r="B70" s="952"/>
      <c r="C70" s="310"/>
      <c r="D70" s="963"/>
      <c r="E70" s="947" t="s">
        <v>766</v>
      </c>
      <c r="F70" s="1051"/>
      <c r="O70" s="1424" t="s">
        <v>412</v>
      </c>
      <c r="P70" s="1463" t="s">
        <v>873</v>
      </c>
      <c r="Q70" s="1416">
        <f ca="1">C13</f>
        <v>7661</v>
      </c>
      <c r="R70" s="1416" t="s">
        <v>818</v>
      </c>
    </row>
    <row r="71" spans="1:18" s="1380" customFormat="1" ht="13.5" thickBot="1">
      <c r="A71" s="968" t="s">
        <v>396</v>
      </c>
      <c r="B71" s="969" t="s">
        <v>776</v>
      </c>
      <c r="C71" s="336">
        <f ca="1">ROUND(C68*10000/F71,0)</f>
        <v>-986</v>
      </c>
      <c r="D71" s="970" t="s">
        <v>777</v>
      </c>
      <c r="E71" s="971" t="s">
        <v>778</v>
      </c>
      <c r="F71" s="339">
        <f ca="1">F43</f>
        <v>10935.989999999998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536</v>
      </c>
      <c r="D75" s="1380"/>
      <c r="E75" s="1380"/>
      <c r="F75" s="1380"/>
      <c r="K75" s="1398"/>
      <c r="L75" s="1380"/>
      <c r="O75" s="1414" t="s">
        <v>409</v>
      </c>
      <c r="P75" s="1415" t="s">
        <v>838</v>
      </c>
      <c r="Q75" s="1416">
        <f ca="1">Q65+Q66</f>
        <v>21200</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0.66100000000000003</v>
      </c>
    </row>
    <row r="80" spans="1:18">
      <c r="B80" s="340" t="s">
        <v>800</v>
      </c>
      <c r="C80" s="274">
        <f ca="1">ROUND(C75/C39,3)</f>
        <v>0.33900000000000002</v>
      </c>
    </row>
    <row r="81" spans="2:3">
      <c r="B81" s="270" t="s">
        <v>801</v>
      </c>
      <c r="C81" s="238"/>
    </row>
    <row r="82" spans="2:3">
      <c r="B82" s="273" t="s">
        <v>802</v>
      </c>
      <c r="C82" s="275">
        <f ca="1">1-C83</f>
        <v>0.63900000000000001</v>
      </c>
    </row>
    <row r="83" spans="2:3">
      <c r="B83" s="273" t="s">
        <v>803</v>
      </c>
      <c r="C83" s="274">
        <f ca="1">ROUND(C13/C40,3)</f>
        <v>0.36099999999999999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9">
        <f ca="1">J53</f>
        <v>0</v>
      </c>
      <c r="G1" s="1374">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9"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652" t="s">
        <v>694</v>
      </c>
      <c r="C6" s="1071">
        <f ca="1">ROUND(F6*F8*F7*(1-F9),0)</f>
        <v>0</v>
      </c>
      <c r="D6" s="155" t="s">
        <v>2106</v>
      </c>
      <c r="E6" s="302" t="s">
        <v>696</v>
      </c>
      <c r="F6" s="303">
        <f ca="1">INDIRECT("'数据-取费表'!u"&amp;$G$1)</f>
        <v>0</v>
      </c>
      <c r="G6" s="1380"/>
      <c r="H6" s="1066" t="s">
        <v>398</v>
      </c>
      <c r="I6" s="3652" t="s">
        <v>694</v>
      </c>
      <c r="J6" s="301">
        <f ca="1">ROUND(M6*M8*M7*(1-M9),0)</f>
        <v>0</v>
      </c>
      <c r="K6" s="1372" t="s">
        <v>2107</v>
      </c>
      <c r="L6" s="302" t="s">
        <v>696</v>
      </c>
      <c r="M6" s="303">
        <f ca="1">INDIRECT("'数据-取费表'!z"&amp;$G$1)</f>
        <v>0</v>
      </c>
    </row>
    <row r="7" spans="1:37" ht="18" customHeight="1">
      <c r="A7" s="1070"/>
      <c r="B7" s="3653"/>
      <c r="C7" s="1072"/>
      <c r="D7" s="307"/>
      <c r="E7" s="1073" t="s">
        <v>697</v>
      </c>
      <c r="F7" s="303">
        <f ca="1">IF(INDIRECT("'数据-取费表'!ah"&amp;$G$1)="",INDIRECT("'数据-取费表'!k"&amp;$G$1),INDIRECT("'数据-取费表'!ah"&amp;$G$1))</f>
        <v>0</v>
      </c>
      <c r="G7" s="1380"/>
      <c r="H7" s="304"/>
      <c r="I7" s="3653"/>
      <c r="J7" s="306"/>
      <c r="K7" s="307"/>
      <c r="L7" s="302" t="s">
        <v>697</v>
      </c>
      <c r="M7" s="303">
        <f ca="1">F7</f>
        <v>0</v>
      </c>
    </row>
    <row r="8" spans="1:37" ht="18" customHeight="1">
      <c r="A8" s="304"/>
      <c r="B8" s="3653"/>
      <c r="C8" s="306"/>
      <c r="D8" s="307"/>
      <c r="E8" s="302" t="s">
        <v>698</v>
      </c>
      <c r="F8" s="303">
        <f ca="1">INDIRECT("'数据-取费表'!ai"&amp;$G$1)</f>
        <v>0</v>
      </c>
      <c r="G8" s="1380"/>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0"/>
      <c r="H9" s="304"/>
      <c r="I9" s="3654"/>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2116</v>
      </c>
      <c r="E10" s="313" t="s">
        <v>701</v>
      </c>
      <c r="F10" s="1113"/>
      <c r="G10" s="1380"/>
      <c r="H10" s="1066" t="s">
        <v>402</v>
      </c>
      <c r="I10" s="1361" t="s">
        <v>700</v>
      </c>
      <c r="J10" s="301">
        <f ca="1">ROUND(IF(M10="押一",J6/12*M11,IF(M10="押二",J6/12*2*M11,IF(M10="押三",J6/12*3*M11,J11*M11))),0)</f>
        <v>0</v>
      </c>
      <c r="K10" s="1373" t="s">
        <v>2118</v>
      </c>
      <c r="L10" s="313" t="s">
        <v>701</v>
      </c>
      <c r="M10" s="1113"/>
    </row>
    <row r="11" spans="1:37" ht="18" customHeight="1">
      <c r="A11" s="308"/>
      <c r="B11" s="1363" t="s">
        <v>890</v>
      </c>
      <c r="C11" s="956"/>
      <c r="D11" s="307"/>
      <c r="E11" s="313" t="s">
        <v>702</v>
      </c>
      <c r="F11" s="314">
        <f ca="1">'数据-取费表'!B39</f>
        <v>1.4999999999999999E-2</v>
      </c>
      <c r="G11" s="1380"/>
      <c r="H11" s="1074"/>
      <c r="I11" s="1363" t="s">
        <v>891</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200</v>
      </c>
      <c r="G17" s="1392"/>
      <c r="H17" s="979" t="s">
        <v>398</v>
      </c>
      <c r="I17" s="302" t="s">
        <v>719</v>
      </c>
      <c r="J17" s="2312">
        <f ca="1">ROUND(IF(AND(项目基本情况!B11="自然人",项目基本情况!B10="北京市"),J6*M17/(1+'数据-取费表'!C42),J18+J19+J20),0)</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3330</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0.02</v>
      </c>
      <c r="G20" s="1392"/>
      <c r="H20" s="979"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ROUND(IF(AND(项目基本情况!B11="自然人",项目基本情况!B10="北京市"),C6*F31/(1+'数据-取费表'!C42),C32+C33+C34),0)</f>
        <v>0</v>
      </c>
      <c r="D31" s="1341" t="s">
        <v>720</v>
      </c>
      <c r="E31" s="1340" t="s">
        <v>770</v>
      </c>
      <c r="F31" s="2311">
        <f ca="1">IF(项目基本情况!B11="企业","——",IF(M47="住宅",IF(F6*F7*F8/12/(1+'数据-取费表'!F30)&gt;100000,4%,2.5%),IF(F6*F7*F8/12/(1+'数据-取费表'!F30)&gt;100000,12%,7%)))</f>
        <v>7.0000000000000007E-2</v>
      </c>
      <c r="G31" s="1380"/>
      <c r="H31" s="2802" t="s">
        <v>2301</v>
      </c>
      <c r="I31" s="1394"/>
      <c r="J31" s="1395"/>
      <c r="K31" s="2471"/>
      <c r="L31" s="2694"/>
      <c r="M31" s="2695"/>
    </row>
    <row r="32" spans="1:37" ht="18" customHeight="1">
      <c r="A32" s="979" t="s">
        <v>397</v>
      </c>
      <c r="B32" s="302" t="s">
        <v>723</v>
      </c>
      <c r="C32" s="21">
        <f ca="1">IF(项目基本情况!B11="自然人","——",ROUND(C6*F32/(1+'数据-取费表'!C42),0))</f>
        <v>0</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3330</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0</v>
      </c>
      <c r="D36" s="1340" t="s">
        <v>771</v>
      </c>
      <c r="E36" s="302" t="s">
        <v>712</v>
      </c>
      <c r="F36" s="328">
        <f ca="1">INDIRECT("'数据-取费表'!Ak"&amp;$G$1)</f>
        <v>0</v>
      </c>
      <c r="G36" s="1380"/>
      <c r="H36" s="2696"/>
      <c r="I36" s="1394"/>
      <c r="J36" s="1395"/>
      <c r="K36" s="2540"/>
      <c r="L36" s="2696"/>
      <c r="M36" s="2696"/>
    </row>
    <row r="37" spans="1:18" ht="18" customHeight="1">
      <c r="A37" s="979" t="s">
        <v>437</v>
      </c>
      <c r="B37" s="302" t="s">
        <v>742</v>
      </c>
      <c r="C37" s="21">
        <f ca="1">ROUND(C13*F37,0)</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ROUND(C5*F38,0)</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5" t="s">
        <v>3346</v>
      </c>
      <c r="B45" s="1396"/>
      <c r="C45" s="1468" t="e">
        <f ca="1">ROUND((C68-C40)/10000,4)</f>
        <v>#DIV/0!</v>
      </c>
      <c r="D45" s="3426" t="s">
        <v>3347</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2" t="s">
        <v>439</v>
      </c>
      <c r="B49" s="1367" t="s">
        <v>779</v>
      </c>
      <c r="C49" s="1111">
        <f ca="1">ROUND(F49*F51*F50*(1-F52),0)</f>
        <v>0</v>
      </c>
      <c r="D49" s="1052" t="s">
        <v>695</v>
      </c>
      <c r="E49" s="1368" t="s">
        <v>780</v>
      </c>
      <c r="F49" s="1057"/>
      <c r="G49" s="1421"/>
      <c r="H49" s="723"/>
      <c r="I49" s="1417" t="s">
        <v>823</v>
      </c>
      <c r="J49" s="1422"/>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4"/>
      <c r="B51" s="976"/>
      <c r="C51" s="977"/>
      <c r="D51" s="950"/>
      <c r="E51" s="978"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0</v>
      </c>
      <c r="R52" s="1416" t="s">
        <v>835</v>
      </c>
    </row>
    <row r="53" spans="1:18" s="1380" customFormat="1" ht="30.75" customHeight="1" thickBot="1">
      <c r="A53" s="1108" t="s">
        <v>440</v>
      </c>
      <c r="B53" s="323" t="s">
        <v>700</v>
      </c>
      <c r="C53" s="316">
        <f ca="1">ROUND(IF(F53="押一",C49/12*F11,IF(F53="押二",C49/12*2*F11,IF(F53="押三",C49/12*3*F11,C54*F11))),0)</f>
        <v>0</v>
      </c>
      <c r="D53" s="1362" t="s">
        <v>2119</v>
      </c>
      <c r="E53" s="313" t="s">
        <v>701</v>
      </c>
      <c r="F53" s="1113"/>
      <c r="I53" s="1435" t="s">
        <v>836</v>
      </c>
      <c r="J53" s="2164">
        <f ca="1">IF(M47="住宅",IF(D1="——",MAX(J51,L48),MAX(J51,L48-'数据-取费表'!B24)),IF(D1="——",MIN(J51,L48),MIN(J51,L48-'数据-取费表'!B24)))</f>
        <v>0</v>
      </c>
      <c r="K53" s="3650" t="s">
        <v>837</v>
      </c>
      <c r="L53" s="3651"/>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5" t="s">
        <v>714</v>
      </c>
      <c r="C58" s="316">
        <f ca="1">ROUND(C59+C64+C65+C66,0)</f>
        <v>0</v>
      </c>
      <c r="D58" s="957" t="s">
        <v>715</v>
      </c>
      <c r="E58" s="958"/>
      <c r="F58" s="959"/>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3330</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2430</v>
      </c>
      <c r="B1" s="2826"/>
      <c r="C1" s="2838"/>
      <c r="D1" s="2838"/>
      <c r="E1" s="2827"/>
      <c r="F1" s="2828"/>
      <c r="G1" s="2829"/>
      <c r="J1" s="2832" t="s">
        <v>2309</v>
      </c>
      <c r="K1" s="2833"/>
      <c r="L1" s="2833"/>
      <c r="M1" s="2833"/>
      <c r="N1" s="2833"/>
      <c r="O1" s="2833"/>
      <c r="P1" s="2833"/>
      <c r="Q1" s="2833"/>
      <c r="R1" s="2834"/>
      <c r="S1" s="2835"/>
      <c r="T1" s="2835"/>
      <c r="U1" s="2835"/>
    </row>
    <row r="2" spans="1:22" s="2847" customFormat="1" ht="13.15" customHeight="1">
      <c r="A2" s="1381" t="s">
        <v>2310</v>
      </c>
      <c r="B2" s="2837" t="e">
        <f>IF(D2="——",C40,C40+E2)</f>
        <v>#DIV/0!</v>
      </c>
      <c r="C2" s="2838" t="s">
        <v>2311</v>
      </c>
      <c r="D2" s="3437" t="s">
        <v>3353</v>
      </c>
      <c r="E2" s="3438"/>
      <c r="F2" s="2840"/>
      <c r="G2" s="2841"/>
      <c r="H2" s="2842"/>
      <c r="I2" s="2843"/>
      <c r="J2" s="3655" t="s">
        <v>2312</v>
      </c>
      <c r="K2" s="3656"/>
      <c r="L2" s="2844" t="s">
        <v>2313</v>
      </c>
      <c r="M2" s="2844" t="s">
        <v>2314</v>
      </c>
      <c r="N2" s="2844" t="s">
        <v>2315</v>
      </c>
      <c r="O2" s="2844" t="s">
        <v>2316</v>
      </c>
      <c r="P2" s="2844" t="s">
        <v>2317</v>
      </c>
      <c r="Q2" s="2845" t="s">
        <v>2318</v>
      </c>
      <c r="R2" s="2846" t="s">
        <v>2319</v>
      </c>
      <c r="S2" s="2835"/>
      <c r="T2" s="2835"/>
      <c r="U2" s="2835"/>
      <c r="V2" s="2843"/>
    </row>
    <row r="3" spans="1:22" s="2847" customFormat="1" ht="13.15" customHeight="1">
      <c r="A3" s="2848" t="s">
        <v>2320</v>
      </c>
      <c r="B3" s="2849" t="e">
        <f>ROUND(B2*10000/B4,0)</f>
        <v>#DIV/0!</v>
      </c>
      <c r="C3" s="2838" t="s">
        <v>2321</v>
      </c>
      <c r="D3" s="2838"/>
      <c r="E3" s="2839"/>
      <c r="F3" s="2840"/>
      <c r="G3" s="2841"/>
      <c r="H3" s="2842"/>
      <c r="I3" s="2843"/>
      <c r="J3" s="3657" t="s">
        <v>2322</v>
      </c>
      <c r="K3" s="3658"/>
      <c r="L3" s="2850"/>
      <c r="M3" s="2850"/>
      <c r="N3" s="2850"/>
      <c r="O3" s="2850"/>
      <c r="P3" s="2850"/>
      <c r="Q3" s="2851"/>
      <c r="R3" s="2852">
        <f>SUM(L3:Q3)</f>
        <v>0</v>
      </c>
      <c r="S3" s="2835"/>
      <c r="T3" s="2835"/>
      <c r="U3" s="2835"/>
      <c r="V3" s="2843"/>
    </row>
    <row r="4" spans="1:22" s="2847" customFormat="1" ht="13.15" customHeight="1">
      <c r="A4" s="2853" t="s">
        <v>2323</v>
      </c>
      <c r="B4" s="2854"/>
      <c r="C4" s="2838"/>
      <c r="D4" s="2838"/>
      <c r="E4" s="2839"/>
      <c r="F4" s="2840"/>
      <c r="G4" s="2841"/>
      <c r="H4" s="2842"/>
      <c r="I4" s="2843"/>
      <c r="J4" s="3657" t="s">
        <v>2324</v>
      </c>
      <c r="K4" s="3658"/>
      <c r="L4" s="2855"/>
      <c r="M4" s="2855"/>
      <c r="N4" s="2855"/>
      <c r="O4" s="2855"/>
      <c r="P4" s="2855"/>
      <c r="Q4" s="2856"/>
      <c r="R4" s="2857">
        <f>SUM(L4:Q4)</f>
        <v>0</v>
      </c>
      <c r="S4" s="2835"/>
      <c r="T4" s="2835"/>
      <c r="U4" s="2835"/>
      <c r="V4" s="2843"/>
    </row>
    <row r="5" spans="1:22" s="2847" customFormat="1" ht="13.15" customHeight="1" thickBot="1">
      <c r="A5" s="2858" t="s">
        <v>2325</v>
      </c>
      <c r="B5" s="2859"/>
      <c r="C5" s="2838"/>
      <c r="D5" s="2860"/>
      <c r="E5" s="2840"/>
      <c r="F5" s="2840"/>
      <c r="G5" s="2841"/>
      <c r="H5" s="2842"/>
      <c r="I5" s="2843"/>
      <c r="J5" s="2861" t="s">
        <v>2326</v>
      </c>
      <c r="K5" s="2862"/>
      <c r="L5" s="2862"/>
      <c r="M5" s="2863"/>
      <c r="N5" s="2863"/>
      <c r="O5" s="2863"/>
      <c r="P5" s="2863"/>
      <c r="Q5" s="2863"/>
      <c r="R5" s="2846">
        <f>SUM(R14,R19,R24,R25,R27,R28)</f>
        <v>0</v>
      </c>
      <c r="S5" s="2835"/>
      <c r="T5" s="2835" t="s">
        <v>2327</v>
      </c>
      <c r="U5" s="2835" t="e">
        <f>ROUND(R5*10000/365/R3,1)</f>
        <v>#DIV/0!</v>
      </c>
      <c r="V5" s="2843"/>
    </row>
    <row r="6" spans="1:22" s="2847" customFormat="1" ht="13.15" customHeight="1" thickBot="1">
      <c r="A6" s="3659" t="s">
        <v>2328</v>
      </c>
      <c r="B6" s="3660"/>
      <c r="C6" s="3661"/>
      <c r="D6" s="2864"/>
      <c r="E6" s="2865"/>
      <c r="F6" s="2866"/>
      <c r="G6" s="2867"/>
      <c r="H6" s="2842"/>
      <c r="I6" s="2843"/>
      <c r="J6" s="3662">
        <v>1</v>
      </c>
      <c r="K6" s="3663" t="s">
        <v>2329</v>
      </c>
      <c r="L6" s="2868" t="s">
        <v>2330</v>
      </c>
      <c r="M6" s="2869" t="s">
        <v>2331</v>
      </c>
      <c r="N6" s="2869" t="s">
        <v>2332</v>
      </c>
      <c r="O6" s="2869" t="s">
        <v>2333</v>
      </c>
      <c r="P6" s="2869" t="s">
        <v>2334</v>
      </c>
      <c r="Q6" s="2869" t="s">
        <v>2335</v>
      </c>
      <c r="R6" s="2852" t="s">
        <v>2336</v>
      </c>
      <c r="S6" s="2835"/>
      <c r="T6" s="2835" t="s">
        <v>2337</v>
      </c>
      <c r="U6" s="2835"/>
      <c r="V6" s="2843"/>
    </row>
    <row r="7" spans="1:22" s="2847" customFormat="1" ht="13.15" customHeight="1">
      <c r="A7" s="2870" t="s">
        <v>2338</v>
      </c>
      <c r="B7" s="2871"/>
      <c r="C7" s="2872"/>
      <c r="D7" s="2873">
        <f>SUM(D9,D10,D11,D17,0)</f>
        <v>0</v>
      </c>
      <c r="E7" s="2874" t="e">
        <f>E9+E10+E11+E17</f>
        <v>#DIV/0!</v>
      </c>
      <c r="F7" s="2875"/>
      <c r="G7" s="2876"/>
      <c r="H7" s="2842"/>
      <c r="I7" s="2843"/>
      <c r="J7" s="3662"/>
      <c r="K7" s="3664"/>
      <c r="L7" s="2877" t="s">
        <v>2339</v>
      </c>
      <c r="M7" s="2878"/>
      <c r="N7" s="2854"/>
      <c r="O7" s="2879"/>
      <c r="P7" s="2879"/>
      <c r="Q7" s="2880">
        <v>365</v>
      </c>
      <c r="R7" s="2881">
        <f>ROUND(M7*N7*O7*P7*Q7/10000,0)</f>
        <v>0</v>
      </c>
      <c r="S7" s="2835"/>
      <c r="T7" s="2835" t="s">
        <v>2340</v>
      </c>
      <c r="U7" s="2835"/>
      <c r="V7" s="2843"/>
    </row>
    <row r="8" spans="1:22" s="2847" customFormat="1" ht="13.15" customHeight="1">
      <c r="A8" s="2882" t="s">
        <v>2341</v>
      </c>
      <c r="B8" s="3666" t="s">
        <v>2342</v>
      </c>
      <c r="C8" s="3667"/>
      <c r="D8" s="2883" t="s">
        <v>2343</v>
      </c>
      <c r="E8" s="2884" t="s">
        <v>2344</v>
      </c>
      <c r="F8" s="2885" t="s">
        <v>2345</v>
      </c>
      <c r="G8" s="2886"/>
      <c r="H8" s="2842"/>
      <c r="I8" s="2843"/>
      <c r="J8" s="3662"/>
      <c r="K8" s="3664"/>
      <c r="L8" s="2877" t="s">
        <v>2346</v>
      </c>
      <c r="M8" s="2878"/>
      <c r="N8" s="2854"/>
      <c r="O8" s="2879"/>
      <c r="P8" s="2879"/>
      <c r="Q8" s="2880">
        <v>365</v>
      </c>
      <c r="R8" s="2881">
        <f t="shared" ref="R8:R13" si="0">ROUND(M8*N8*O8*P8*Q8/10000,0)</f>
        <v>0</v>
      </c>
      <c r="S8" s="2835"/>
      <c r="T8" s="2835" t="s">
        <v>2347</v>
      </c>
      <c r="U8" s="2835"/>
      <c r="V8" s="2843"/>
    </row>
    <row r="9" spans="1:22" s="2847" customFormat="1" ht="13.15" customHeight="1">
      <c r="A9" s="2882">
        <v>1</v>
      </c>
      <c r="B9" s="3666" t="s">
        <v>2348</v>
      </c>
      <c r="C9" s="3667"/>
      <c r="D9" s="2883">
        <f>ROUND(D6*E9,0)</f>
        <v>0</v>
      </c>
      <c r="E9" s="2887"/>
      <c r="F9" s="2888" t="s">
        <v>2349</v>
      </c>
      <c r="G9" s="2867"/>
      <c r="H9" s="2842"/>
      <c r="I9" s="2843"/>
      <c r="J9" s="3662"/>
      <c r="K9" s="3664"/>
      <c r="L9" s="2877" t="s">
        <v>2350</v>
      </c>
      <c r="M9" s="2878"/>
      <c r="N9" s="2854"/>
      <c r="O9" s="2879"/>
      <c r="P9" s="2879"/>
      <c r="Q9" s="2880">
        <v>365</v>
      </c>
      <c r="R9" s="2881">
        <f t="shared" si="0"/>
        <v>0</v>
      </c>
      <c r="S9" s="2835"/>
      <c r="T9" s="2835"/>
      <c r="U9" s="2835"/>
      <c r="V9" s="2843"/>
    </row>
    <row r="10" spans="1:22" s="2847" customFormat="1" ht="13.15" customHeight="1">
      <c r="A10" s="2882">
        <v>2</v>
      </c>
      <c r="B10" s="3666" t="s">
        <v>2351</v>
      </c>
      <c r="C10" s="3667"/>
      <c r="D10" s="2883">
        <f>ROUND(D6*E10,0)</f>
        <v>0</v>
      </c>
      <c r="E10" s="2887"/>
      <c r="F10" s="2888" t="s">
        <v>2352</v>
      </c>
      <c r="G10" s="2867"/>
      <c r="H10" s="2842"/>
      <c r="I10" s="2843"/>
      <c r="J10" s="3662"/>
      <c r="K10" s="3664"/>
      <c r="L10" s="2877" t="s">
        <v>2353</v>
      </c>
      <c r="M10" s="2878"/>
      <c r="N10" s="2854"/>
      <c r="O10" s="2879"/>
      <c r="P10" s="2879"/>
      <c r="Q10" s="2880">
        <v>365</v>
      </c>
      <c r="R10" s="2881">
        <f t="shared" si="0"/>
        <v>0</v>
      </c>
      <c r="S10" s="2835"/>
      <c r="T10" s="2835"/>
      <c r="U10" s="2835"/>
      <c r="V10" s="2843"/>
    </row>
    <row r="11" spans="1:22" s="2847" customFormat="1" ht="13.15" customHeight="1">
      <c r="A11" s="2882">
        <v>3</v>
      </c>
      <c r="B11" s="3666" t="s">
        <v>2354</v>
      </c>
      <c r="C11" s="3667"/>
      <c r="D11" s="2883">
        <f>D12+D14+D15+D16</f>
        <v>0</v>
      </c>
      <c r="E11" s="2889" t="e">
        <f>D11/D6</f>
        <v>#DIV/0!</v>
      </c>
      <c r="F11" s="2885"/>
      <c r="G11" s="2886"/>
      <c r="H11" s="2842"/>
      <c r="I11" s="2843"/>
      <c r="J11" s="3662"/>
      <c r="K11" s="3664"/>
      <c r="L11" s="2877" t="s">
        <v>2355</v>
      </c>
      <c r="M11" s="2878"/>
      <c r="N11" s="2854"/>
      <c r="O11" s="2879"/>
      <c r="P11" s="2879"/>
      <c r="Q11" s="2880">
        <v>365</v>
      </c>
      <c r="R11" s="2881">
        <f t="shared" si="0"/>
        <v>0</v>
      </c>
      <c r="S11" s="2835"/>
      <c r="T11" s="2835"/>
      <c r="U11" s="2835"/>
      <c r="V11" s="2843"/>
    </row>
    <row r="12" spans="1:22" s="2847" customFormat="1" ht="13.15" customHeight="1">
      <c r="A12" s="2890" t="s">
        <v>2356</v>
      </c>
      <c r="B12" s="3668" t="s">
        <v>2357</v>
      </c>
      <c r="C12" s="3669"/>
      <c r="D12" s="2891">
        <f>ROUND(D13*1.2%*(1-30%),0)</f>
        <v>0</v>
      </c>
      <c r="E12" s="2892">
        <v>1.2E-2</v>
      </c>
      <c r="F12" s="2885" t="s">
        <v>2358</v>
      </c>
      <c r="G12" s="2886"/>
      <c r="H12" s="2842"/>
      <c r="I12" s="2843"/>
      <c r="J12" s="3662"/>
      <c r="K12" s="3664"/>
      <c r="L12" s="2877" t="s">
        <v>2359</v>
      </c>
      <c r="M12" s="2878"/>
      <c r="N12" s="2854"/>
      <c r="O12" s="2879"/>
      <c r="P12" s="2879"/>
      <c r="Q12" s="2880">
        <v>365</v>
      </c>
      <c r="R12" s="2881">
        <f t="shared" si="0"/>
        <v>0</v>
      </c>
      <c r="S12" s="2835"/>
      <c r="T12" s="2835"/>
      <c r="U12" s="2835"/>
      <c r="V12" s="2843"/>
    </row>
    <row r="13" spans="1:22" s="2847" customFormat="1" ht="13.15" customHeight="1">
      <c r="A13" s="2890"/>
      <c r="B13" s="2893"/>
      <c r="C13" s="2894" t="s">
        <v>2360</v>
      </c>
      <c r="D13" s="2895"/>
      <c r="E13" s="2896"/>
      <c r="F13" s="2885"/>
      <c r="G13" s="2886"/>
      <c r="H13" s="2842"/>
      <c r="I13" s="2843"/>
      <c r="J13" s="3662"/>
      <c r="K13" s="3664"/>
      <c r="L13" s="2877" t="s">
        <v>2361</v>
      </c>
      <c r="M13" s="2878"/>
      <c r="N13" s="2854"/>
      <c r="O13" s="2879"/>
      <c r="P13" s="2879"/>
      <c r="Q13" s="2880">
        <v>365</v>
      </c>
      <c r="R13" s="2881">
        <f t="shared" si="0"/>
        <v>0</v>
      </c>
      <c r="S13" s="2835"/>
      <c r="T13" s="2835"/>
      <c r="U13" s="2835"/>
      <c r="V13" s="2843"/>
    </row>
    <row r="14" spans="1:22" s="2847" customFormat="1" ht="13.15" customHeight="1">
      <c r="A14" s="2890" t="s">
        <v>2362</v>
      </c>
      <c r="B14" s="3668" t="s">
        <v>2363</v>
      </c>
      <c r="C14" s="3669"/>
      <c r="D14" s="2891">
        <f>ROUND(E14*B5/10000,0)</f>
        <v>0</v>
      </c>
      <c r="E14" s="2880"/>
      <c r="F14" s="2885" t="s">
        <v>2364</v>
      </c>
      <c r="G14" s="2886"/>
      <c r="H14" s="2842"/>
      <c r="I14" s="2843"/>
      <c r="J14" s="3662"/>
      <c r="K14" s="3665"/>
      <c r="L14" s="2897" t="s">
        <v>2365</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2366</v>
      </c>
      <c r="B15" s="3668" t="s">
        <v>2367</v>
      </c>
      <c r="C15" s="3669"/>
      <c r="D15" s="2891">
        <f>ROUND(D6*E15,0)</f>
        <v>0</v>
      </c>
      <c r="E15" s="2892">
        <v>5.5E-2</v>
      </c>
      <c r="F15" s="2885" t="s">
        <v>2368</v>
      </c>
      <c r="G15" s="2867"/>
      <c r="H15" s="2842"/>
      <c r="I15" s="2843"/>
      <c r="J15" s="3662">
        <v>2</v>
      </c>
      <c r="K15" s="3663" t="s">
        <v>2369</v>
      </c>
      <c r="L15" s="2877" t="s">
        <v>2370</v>
      </c>
      <c r="M15" s="2878" t="s">
        <v>2371</v>
      </c>
      <c r="N15" s="2878" t="s">
        <v>2372</v>
      </c>
      <c r="O15" s="2879" t="s">
        <v>2373</v>
      </c>
      <c r="P15" s="2879" t="s">
        <v>2335</v>
      </c>
      <c r="Q15" s="2854" t="s">
        <v>2374</v>
      </c>
      <c r="R15" s="2901" t="s">
        <v>2336</v>
      </c>
      <c r="S15" s="2835"/>
      <c r="T15" s="2835"/>
      <c r="U15" s="2835"/>
      <c r="V15" s="2843"/>
    </row>
    <row r="16" spans="1:22" s="2847" customFormat="1" ht="13.15" customHeight="1">
      <c r="A16" s="2890" t="s">
        <v>2375</v>
      </c>
      <c r="B16" s="3668" t="s">
        <v>2376</v>
      </c>
      <c r="C16" s="3669"/>
      <c r="D16" s="2902">
        <f>D6*E16</f>
        <v>0</v>
      </c>
      <c r="E16" s="2903"/>
      <c r="F16" s="2888" t="s">
        <v>2377</v>
      </c>
      <c r="G16" s="2867"/>
      <c r="H16" s="2842"/>
      <c r="I16" s="2843"/>
      <c r="J16" s="3662"/>
      <c r="K16" s="3664"/>
      <c r="L16" s="2877" t="s">
        <v>2378</v>
      </c>
      <c r="M16" s="2878"/>
      <c r="N16" s="2878"/>
      <c r="O16" s="2879"/>
      <c r="P16" s="2880">
        <v>365</v>
      </c>
      <c r="Q16" s="2854"/>
      <c r="R16" s="2901">
        <f>ROUND(M16*N16*O16*P16/10000,0)</f>
        <v>0</v>
      </c>
      <c r="S16" s="2835"/>
      <c r="T16" s="2835"/>
      <c r="U16" s="2835"/>
      <c r="V16" s="2843"/>
    </row>
    <row r="17" spans="1:22" s="2847" customFormat="1" ht="13.15" customHeight="1" thickBot="1">
      <c r="A17" s="2904">
        <v>4</v>
      </c>
      <c r="B17" s="3670" t="s">
        <v>2379</v>
      </c>
      <c r="C17" s="3671"/>
      <c r="D17" s="2905">
        <f>ROUND(D6*E17,0)</f>
        <v>0</v>
      </c>
      <c r="E17" s="2906"/>
      <c r="F17" s="2907" t="s">
        <v>2380</v>
      </c>
      <c r="G17" s="2867"/>
      <c r="H17" s="2842"/>
      <c r="I17" s="2843"/>
      <c r="J17" s="3662"/>
      <c r="K17" s="3664"/>
      <c r="L17" s="2877" t="s">
        <v>2381</v>
      </c>
      <c r="M17" s="2878"/>
      <c r="N17" s="2878"/>
      <c r="O17" s="2879"/>
      <c r="P17" s="2880">
        <v>365</v>
      </c>
      <c r="Q17" s="2854"/>
      <c r="R17" s="2901">
        <f>ROUND(M17*N17*O17*P17/10000,0)</f>
        <v>0</v>
      </c>
      <c r="S17" s="2835"/>
      <c r="T17" s="2835"/>
      <c r="U17" s="2835"/>
      <c r="V17" s="2843"/>
    </row>
    <row r="18" spans="1:22" s="2847" customFormat="1" ht="13.15" customHeight="1" thickBot="1">
      <c r="A18" s="2870" t="s">
        <v>2382</v>
      </c>
      <c r="B18" s="2871"/>
      <c r="C18" s="2871"/>
      <c r="D18" s="2908">
        <f>ROUND(D6*E18,0)</f>
        <v>0</v>
      </c>
      <c r="E18" s="2909"/>
      <c r="F18" s="2910" t="s">
        <v>2383</v>
      </c>
      <c r="G18" s="2867"/>
      <c r="H18" s="2842"/>
      <c r="I18" s="2843"/>
      <c r="J18" s="3662"/>
      <c r="K18" s="3664"/>
      <c r="L18" s="2877" t="s">
        <v>2384</v>
      </c>
      <c r="M18" s="2878"/>
      <c r="N18" s="2878"/>
      <c r="O18" s="2879"/>
      <c r="P18" s="2880">
        <v>365</v>
      </c>
      <c r="Q18" s="2854"/>
      <c r="R18" s="2901">
        <f>ROUND(M18*N18*O18*P18/10000,0)</f>
        <v>0</v>
      </c>
      <c r="S18" s="2835"/>
      <c r="T18" s="2835"/>
      <c r="U18" s="2835"/>
      <c r="V18" s="2843"/>
    </row>
    <row r="19" spans="1:22" s="2847" customFormat="1" ht="13.15" customHeight="1" thickBot="1">
      <c r="A19" s="2911" t="s">
        <v>2385</v>
      </c>
      <c r="B19" s="2865"/>
      <c r="C19" s="2865"/>
      <c r="D19" s="2865"/>
      <c r="E19" s="2865"/>
      <c r="F19" s="2866"/>
      <c r="G19" s="2886"/>
      <c r="H19" s="2842"/>
      <c r="I19" s="2843"/>
      <c r="J19" s="3662"/>
      <c r="K19" s="3665"/>
      <c r="L19" s="2897" t="s">
        <v>2365</v>
      </c>
      <c r="M19" s="2898"/>
      <c r="N19" s="2898">
        <f>SUM(N16:N18)</f>
        <v>0</v>
      </c>
      <c r="O19" s="2899"/>
      <c r="P19" s="2912" t="s">
        <v>2429</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62">
        <v>3</v>
      </c>
      <c r="K20" s="3663" t="s">
        <v>2386</v>
      </c>
      <c r="L20" s="2877" t="s">
        <v>2387</v>
      </c>
      <c r="M20" s="2878" t="s">
        <v>2388</v>
      </c>
      <c r="N20" s="2915" t="s">
        <v>2389</v>
      </c>
      <c r="O20" s="2879" t="s">
        <v>2390</v>
      </c>
      <c r="P20" s="2880" t="s">
        <v>2391</v>
      </c>
      <c r="Q20" s="2854" t="s">
        <v>2392</v>
      </c>
      <c r="R20" s="2901" t="s">
        <v>2393</v>
      </c>
      <c r="S20" s="2916"/>
      <c r="T20" s="2916"/>
      <c r="U20" s="2916"/>
      <c r="V20" s="2843"/>
    </row>
    <row r="21" spans="1:22" s="2847" customFormat="1" ht="13.15" customHeight="1">
      <c r="A21" s="2870"/>
      <c r="B21" s="2871"/>
      <c r="C21" s="2917" t="s">
        <v>2394</v>
      </c>
      <c r="D21" s="2918" t="s">
        <v>2395</v>
      </c>
      <c r="E21" s="2919" t="s">
        <v>2396</v>
      </c>
      <c r="F21" s="2914"/>
      <c r="G21" s="2886"/>
      <c r="H21" s="2842"/>
      <c r="I21" s="2843"/>
      <c r="J21" s="3662"/>
      <c r="K21" s="3664"/>
      <c r="L21" s="2877" t="s">
        <v>2397</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2398</v>
      </c>
      <c r="D22" s="2922" t="s">
        <v>2399</v>
      </c>
      <c r="E22" s="2923" t="s">
        <v>2400</v>
      </c>
      <c r="F22" s="2914"/>
      <c r="G22" s="2924"/>
      <c r="H22" s="2842"/>
      <c r="I22" s="2843"/>
      <c r="J22" s="3662"/>
      <c r="K22" s="3664"/>
      <c r="L22" s="2877" t="s">
        <v>2401</v>
      </c>
      <c r="M22" s="2878"/>
      <c r="N22" s="2878"/>
      <c r="O22" s="2879"/>
      <c r="P22" s="2880">
        <v>365</v>
      </c>
      <c r="Q22" s="2854"/>
      <c r="R22" s="2920">
        <f>ROUND(M22*N22*O22*P22/10000,0)</f>
        <v>0</v>
      </c>
      <c r="S22" s="2916"/>
      <c r="T22" s="2916"/>
      <c r="U22" s="2916"/>
      <c r="V22" s="2843"/>
    </row>
    <row r="23" spans="1:22" s="2847" customFormat="1" ht="13.15" customHeight="1">
      <c r="A23" s="2925">
        <v>1</v>
      </c>
      <c r="B23" s="2926" t="s">
        <v>2402</v>
      </c>
      <c r="C23" s="2927">
        <f>D6</f>
        <v>0</v>
      </c>
      <c r="D23" s="2928">
        <f>C23*(1+D24)</f>
        <v>0</v>
      </c>
      <c r="E23" s="2929">
        <f>D23*(1+E24)</f>
        <v>0</v>
      </c>
      <c r="F23" s="2930"/>
      <c r="G23" s="2931"/>
      <c r="H23" s="2842"/>
      <c r="I23" s="2843"/>
      <c r="J23" s="3662"/>
      <c r="K23" s="3664"/>
      <c r="L23" s="2877" t="s">
        <v>2403</v>
      </c>
      <c r="M23" s="2878"/>
      <c r="N23" s="2878"/>
      <c r="O23" s="2879"/>
      <c r="P23" s="2880">
        <v>365</v>
      </c>
      <c r="Q23" s="2854"/>
      <c r="R23" s="2920">
        <f>ROUND(M23*N23*O23*P23/10000,0)</f>
        <v>0</v>
      </c>
      <c r="S23" s="2835"/>
      <c r="T23" s="2835"/>
      <c r="U23" s="2835"/>
      <c r="V23" s="2843"/>
    </row>
    <row r="24" spans="1:22" s="2847" customFormat="1" ht="13.15" customHeight="1">
      <c r="A24" s="2932"/>
      <c r="B24" s="2933" t="s">
        <v>2404</v>
      </c>
      <c r="C24" s="2934"/>
      <c r="D24" s="2935"/>
      <c r="E24" s="2936"/>
      <c r="F24" s="2937"/>
      <c r="G24" s="2931"/>
      <c r="H24" s="2842"/>
      <c r="I24" s="2843"/>
      <c r="J24" s="3662"/>
      <c r="K24" s="3665"/>
      <c r="L24" s="2897" t="s">
        <v>2365</v>
      </c>
      <c r="M24" s="2898">
        <f>SUM(M21:M23)</f>
        <v>0</v>
      </c>
      <c r="N24" s="2898"/>
      <c r="O24" s="2899"/>
      <c r="P24" s="2912" t="s">
        <v>2429</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2405</v>
      </c>
      <c r="L25" s="2940"/>
      <c r="M25" s="2940"/>
      <c r="N25" s="2940"/>
      <c r="O25" s="2940"/>
      <c r="P25" s="2941"/>
      <c r="Q25" s="2942">
        <v>0</v>
      </c>
      <c r="R25" s="2913">
        <f>ROUND(R14*Q25,0)</f>
        <v>0</v>
      </c>
      <c r="S25" s="2835"/>
      <c r="T25" s="2835"/>
      <c r="U25" s="2835"/>
      <c r="V25" s="2943"/>
    </row>
    <row r="26" spans="1:22" s="2944" customFormat="1" ht="13.15" customHeight="1">
      <c r="A26" s="2925">
        <v>2</v>
      </c>
      <c r="B26" s="2926" t="s">
        <v>2406</v>
      </c>
      <c r="C26" s="2927">
        <f>D7</f>
        <v>0</v>
      </c>
      <c r="D26" s="2928">
        <f>D23*D27</f>
        <v>0</v>
      </c>
      <c r="E26" s="2929">
        <f>E23*E27</f>
        <v>0</v>
      </c>
      <c r="F26" s="2930"/>
      <c r="G26" s="2931"/>
      <c r="H26" s="2842"/>
      <c r="I26" s="2843"/>
      <c r="J26" s="3672">
        <v>5</v>
      </c>
      <c r="K26" s="2945" t="s">
        <v>2407</v>
      </c>
      <c r="L26" s="2946"/>
      <c r="M26" s="2947"/>
      <c r="N26" s="2948" t="s">
        <v>2408</v>
      </c>
      <c r="O26" s="2948" t="s">
        <v>2409</v>
      </c>
      <c r="P26" s="2949" t="s">
        <v>2410</v>
      </c>
      <c r="Q26" s="2949" t="s">
        <v>2411</v>
      </c>
      <c r="R26" s="2852" t="s">
        <v>2336</v>
      </c>
      <c r="S26" s="2950"/>
      <c r="T26" s="2950"/>
      <c r="U26" s="2950"/>
      <c r="V26" s="2943"/>
    </row>
    <row r="27" spans="1:22" s="2847" customFormat="1" ht="13.15" customHeight="1">
      <c r="A27" s="2932"/>
      <c r="B27" s="2933" t="s">
        <v>2412</v>
      </c>
      <c r="C27" s="2951" t="e">
        <f>E7</f>
        <v>#DIV/0!</v>
      </c>
      <c r="D27" s="2935"/>
      <c r="E27" s="2936"/>
      <c r="F27" s="2937"/>
      <c r="G27" s="2931"/>
      <c r="H27" s="2952"/>
      <c r="I27" s="2943"/>
      <c r="J27" s="3673"/>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2413</v>
      </c>
      <c r="F28" s="2937"/>
      <c r="G28" s="2924"/>
      <c r="H28" s="2952"/>
      <c r="I28" s="2943"/>
      <c r="J28" s="2958">
        <v>6</v>
      </c>
      <c r="K28" s="2959" t="s">
        <v>2414</v>
      </c>
      <c r="L28" s="2960" t="s">
        <v>2415</v>
      </c>
      <c r="M28" s="2961"/>
      <c r="N28" s="2960" t="s">
        <v>2416</v>
      </c>
      <c r="O28" s="2962"/>
      <c r="P28" s="2960" t="s">
        <v>2417</v>
      </c>
      <c r="Q28" s="2963">
        <v>1.4999999999999999E-2</v>
      </c>
      <c r="R28" s="2964"/>
      <c r="S28" s="2916"/>
      <c r="T28" s="2916"/>
      <c r="U28" s="2916"/>
      <c r="V28" s="2943"/>
    </row>
    <row r="29" spans="1:22" s="2944" customFormat="1" ht="13.15" customHeight="1">
      <c r="A29" s="2925">
        <v>3</v>
      </c>
      <c r="B29" s="2926" t="s">
        <v>2418</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2412</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2419</v>
      </c>
      <c r="K31" s="2833"/>
      <c r="L31" s="2833"/>
      <c r="M31" s="2833"/>
      <c r="N31" s="2833"/>
      <c r="O31" s="2833"/>
      <c r="P31" s="2833"/>
      <c r="Q31" s="2833"/>
      <c r="R31" s="2834"/>
      <c r="S31" s="2916"/>
      <c r="T31" s="2835"/>
      <c r="U31" s="2835"/>
      <c r="V31" s="2943"/>
    </row>
    <row r="32" spans="1:22" s="2944" customFormat="1" ht="13.15" customHeight="1">
      <c r="A32" s="2925">
        <v>4</v>
      </c>
      <c r="B32" s="2926" t="s">
        <v>2420</v>
      </c>
      <c r="C32" s="2927">
        <f>C23-C26-C29</f>
        <v>0</v>
      </c>
      <c r="D32" s="2928">
        <f>D23-D26-D29</f>
        <v>0</v>
      </c>
      <c r="E32" s="2929">
        <f>E23-E26-E29</f>
        <v>0</v>
      </c>
      <c r="F32" s="2930"/>
      <c r="G32" s="2924"/>
      <c r="H32" s="2842"/>
      <c r="I32" s="2843"/>
      <c r="J32" s="3655" t="s">
        <v>2312</v>
      </c>
      <c r="K32" s="3656"/>
      <c r="L32" s="2844" t="s">
        <v>2313</v>
      </c>
      <c r="M32" s="2844" t="s">
        <v>2314</v>
      </c>
      <c r="N32" s="2844" t="s">
        <v>2315</v>
      </c>
      <c r="O32" s="2844" t="s">
        <v>2316</v>
      </c>
      <c r="P32" s="2844" t="s">
        <v>2317</v>
      </c>
      <c r="Q32" s="2845" t="s">
        <v>2318</v>
      </c>
      <c r="R32" s="2967" t="s">
        <v>2319</v>
      </c>
      <c r="S32" s="2916"/>
      <c r="T32" s="2835"/>
      <c r="U32" s="2835"/>
      <c r="V32" s="2943"/>
    </row>
    <row r="33" spans="1:23" s="2847" customFormat="1" ht="13.15" customHeight="1">
      <c r="A33" s="2925"/>
      <c r="B33" s="2926"/>
      <c r="C33" s="2927"/>
      <c r="D33" s="2968"/>
      <c r="E33" s="2969"/>
      <c r="F33" s="2930"/>
      <c r="G33" s="2924"/>
      <c r="H33" s="2952"/>
      <c r="I33" s="2943"/>
      <c r="J33" s="3657" t="s">
        <v>2322</v>
      </c>
      <c r="K33" s="3658"/>
      <c r="L33" s="2850"/>
      <c r="M33" s="2850"/>
      <c r="N33" s="2850"/>
      <c r="O33" s="2850"/>
      <c r="P33" s="2850"/>
      <c r="Q33" s="2851"/>
      <c r="R33" s="2970">
        <f>SUM(L33:Q33)</f>
        <v>0</v>
      </c>
      <c r="S33" s="2916"/>
      <c r="T33" s="2835"/>
      <c r="U33" s="2835"/>
      <c r="V33" s="2843"/>
    </row>
    <row r="34" spans="1:23" s="2847" customFormat="1" ht="13.15" customHeight="1">
      <c r="A34" s="2925">
        <v>5</v>
      </c>
      <c r="B34" s="2926" t="s">
        <v>2421</v>
      </c>
      <c r="C34" s="2971"/>
      <c r="D34" s="2972"/>
      <c r="E34" s="2973"/>
      <c r="F34" s="2930"/>
      <c r="G34" s="2924"/>
      <c r="H34" s="2952"/>
      <c r="I34" s="2943"/>
      <c r="J34" s="3657" t="s">
        <v>2324</v>
      </c>
      <c r="K34" s="365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2422</v>
      </c>
      <c r="C35" s="2975"/>
      <c r="D35" s="2976"/>
      <c r="E35" s="2977"/>
      <c r="F35" s="2930"/>
      <c r="G35" s="2978"/>
      <c r="H35" s="2842"/>
      <c r="I35" s="2943"/>
      <c r="J35" s="2861" t="s">
        <v>2326</v>
      </c>
      <c r="K35" s="2862"/>
      <c r="L35" s="2862"/>
      <c r="M35" s="2863"/>
      <c r="N35" s="2863"/>
      <c r="O35" s="2863"/>
      <c r="P35" s="2863"/>
      <c r="Q35" s="2863"/>
      <c r="R35" s="2979">
        <f>R40+R41+R43</f>
        <v>0</v>
      </c>
      <c r="S35" s="2916"/>
      <c r="T35" s="2835" t="s">
        <v>2327</v>
      </c>
      <c r="U35" s="2835"/>
      <c r="V35" s="2843"/>
    </row>
    <row r="36" spans="1:23" s="2847" customFormat="1" ht="13.15" customHeight="1" thickBot="1">
      <c r="A36" s="2925">
        <v>7</v>
      </c>
      <c r="B36" s="2980" t="s">
        <v>2423</v>
      </c>
      <c r="C36" s="2981"/>
      <c r="D36" s="2982"/>
      <c r="E36" s="2983"/>
      <c r="F36" s="2984">
        <f>C36+D36+E36</f>
        <v>0</v>
      </c>
      <c r="G36" s="2924"/>
      <c r="H36" s="2842"/>
      <c r="I36" s="2843"/>
      <c r="J36" s="3662">
        <v>1</v>
      </c>
      <c r="K36" s="3663" t="s">
        <v>2424</v>
      </c>
      <c r="L36" s="2868"/>
      <c r="M36" s="2869"/>
      <c r="N36" s="2869"/>
      <c r="O36" s="2869"/>
      <c r="P36" s="2869"/>
      <c r="Q36" s="2869"/>
      <c r="R36" s="2852" t="s">
        <v>2336</v>
      </c>
      <c r="S36" s="2916"/>
      <c r="T36" s="2835" t="s">
        <v>2337</v>
      </c>
      <c r="U36" s="2835"/>
      <c r="V36" s="2843"/>
    </row>
    <row r="37" spans="1:23" s="2847" customFormat="1" ht="13.15" customHeight="1">
      <c r="A37" s="2925"/>
      <c r="B37" s="2926"/>
      <c r="C37" s="2926"/>
      <c r="D37" s="2926"/>
      <c r="E37" s="2926"/>
      <c r="F37" s="2930"/>
      <c r="G37" s="2924"/>
      <c r="H37" s="2842"/>
      <c r="I37" s="2843"/>
      <c r="J37" s="3662"/>
      <c r="K37" s="3664"/>
      <c r="L37" s="2877"/>
      <c r="M37" s="2878"/>
      <c r="N37" s="2854"/>
      <c r="O37" s="2879"/>
      <c r="P37" s="2879"/>
      <c r="Q37" s="2880"/>
      <c r="R37" s="2881"/>
      <c r="S37" s="2916"/>
      <c r="T37" s="2835" t="s">
        <v>2340</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62"/>
      <c r="K38" s="3664"/>
      <c r="L38" s="2877"/>
      <c r="M38" s="2878"/>
      <c r="N38" s="2854"/>
      <c r="O38" s="2879"/>
      <c r="P38" s="2879"/>
      <c r="Q38" s="2880"/>
      <c r="R38" s="2881"/>
      <c r="S38" s="2916"/>
      <c r="T38" s="2835" t="s">
        <v>2347</v>
      </c>
      <c r="U38" s="2835"/>
      <c r="V38" s="2843"/>
    </row>
    <row r="39" spans="1:23" s="2847" customFormat="1" ht="13.15" customHeight="1">
      <c r="A39" s="2925">
        <v>9</v>
      </c>
      <c r="B39" s="2926" t="s">
        <v>2425</v>
      </c>
      <c r="C39" s="2891" t="e">
        <f>C38</f>
        <v>#DIV/0!</v>
      </c>
      <c r="D39" s="2926">
        <f>D38/(1+D34)^C36</f>
        <v>0</v>
      </c>
      <c r="E39" s="2926">
        <f>E38/(1+E34)^(C36+D36)</f>
        <v>0</v>
      </c>
      <c r="F39" s="2930"/>
      <c r="G39" s="2985"/>
      <c r="H39" s="2842"/>
      <c r="I39" s="2843"/>
      <c r="J39" s="3662"/>
      <c r="K39" s="3664"/>
      <c r="L39" s="2877"/>
      <c r="M39" s="2878"/>
      <c r="N39" s="2854"/>
      <c r="O39" s="2879"/>
      <c r="P39" s="2879"/>
      <c r="Q39" s="2880"/>
      <c r="R39" s="2881"/>
      <c r="S39" s="2916"/>
      <c r="T39" s="2835"/>
      <c r="U39" s="2835"/>
      <c r="V39" s="2843"/>
    </row>
    <row r="40" spans="1:23" s="2847" customFormat="1" ht="13.15" customHeight="1">
      <c r="A40" s="2986">
        <v>10</v>
      </c>
      <c r="B40" s="2926" t="s">
        <v>2426</v>
      </c>
      <c r="C40" s="2987" t="e">
        <f>C39+D39+E39</f>
        <v>#DIV/0!</v>
      </c>
      <c r="D40" s="2988"/>
      <c r="E40" s="2988"/>
      <c r="F40" s="2989"/>
      <c r="G40" s="2924"/>
      <c r="H40" s="2842"/>
      <c r="I40" s="2843"/>
      <c r="J40" s="3662"/>
      <c r="K40" s="3665"/>
      <c r="L40" s="2897" t="s">
        <v>2365</v>
      </c>
      <c r="M40" s="2898"/>
      <c r="N40" s="2898"/>
      <c r="O40" s="2899"/>
      <c r="P40" s="2899"/>
      <c r="Q40" s="2900"/>
      <c r="R40" s="2846">
        <f>SUM(R37:R39)</f>
        <v>0</v>
      </c>
      <c r="S40" s="2916"/>
      <c r="T40" s="2835"/>
      <c r="U40" s="2835"/>
      <c r="V40" s="2843"/>
    </row>
    <row r="41" spans="1:23" s="2847" customFormat="1" ht="13.15" customHeight="1" thickBot="1">
      <c r="A41" s="2990">
        <v>11</v>
      </c>
      <c r="B41" s="2991" t="s">
        <v>2427</v>
      </c>
      <c r="C41" s="2991" t="e">
        <f>ROUND(C40*10000/B4,0)</f>
        <v>#DIV/0!</v>
      </c>
      <c r="D41" s="2992"/>
      <c r="E41" s="2992"/>
      <c r="F41" s="2993"/>
      <c r="G41" s="2994"/>
      <c r="H41" s="2842"/>
      <c r="I41" s="2843"/>
      <c r="J41" s="2938">
        <v>2</v>
      </c>
      <c r="K41" s="2939" t="s">
        <v>2405</v>
      </c>
      <c r="L41" s="2940"/>
      <c r="M41" s="2940"/>
      <c r="N41" s="2940"/>
      <c r="O41" s="2940"/>
      <c r="P41" s="2941"/>
      <c r="Q41" s="2942"/>
      <c r="R41" s="2913">
        <f>ROUND(R40*Q41,0)</f>
        <v>0</v>
      </c>
      <c r="S41" s="2916"/>
      <c r="T41" s="2835"/>
      <c r="U41" s="2950"/>
      <c r="V41" s="2843"/>
    </row>
    <row r="42" spans="1:23" s="2847" customFormat="1" ht="13.15" customHeight="1">
      <c r="G42" s="2994"/>
      <c r="H42" s="2842"/>
      <c r="I42" s="2843"/>
      <c r="J42" s="3672">
        <v>3</v>
      </c>
      <c r="K42" s="2945" t="s">
        <v>2407</v>
      </c>
      <c r="L42" s="2946"/>
      <c r="M42" s="2947"/>
      <c r="N42" s="2948" t="s">
        <v>2408</v>
      </c>
      <c r="O42" s="2948" t="s">
        <v>2409</v>
      </c>
      <c r="P42" s="2949" t="s">
        <v>2410</v>
      </c>
      <c r="Q42" s="2949" t="s">
        <v>2411</v>
      </c>
      <c r="R42" s="2852" t="s">
        <v>2336</v>
      </c>
      <c r="S42" s="2950"/>
      <c r="T42" s="2950"/>
      <c r="U42" s="2835"/>
      <c r="V42" s="2843"/>
    </row>
    <row r="43" spans="1:23" ht="13.15" customHeight="1">
      <c r="A43" s="2847"/>
      <c r="B43" s="2847"/>
      <c r="C43" s="2847"/>
      <c r="D43" s="2847"/>
      <c r="E43" s="2847"/>
      <c r="F43" s="2847"/>
      <c r="I43" s="2830"/>
      <c r="J43" s="3673"/>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2414</v>
      </c>
      <c r="L44" s="2998" t="s">
        <v>2415</v>
      </c>
      <c r="M44" s="2961"/>
      <c r="N44" s="2998" t="s">
        <v>2416</v>
      </c>
      <c r="O44" s="2961"/>
      <c r="P44" s="2998" t="s">
        <v>2417</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22270</v>
      </c>
      <c r="C2" s="1868" t="s">
        <v>1651</v>
      </c>
      <c r="D2" s="1869" t="s">
        <v>1652</v>
      </c>
      <c r="E2" s="2603">
        <f>SUM(E6:E13)</f>
        <v>10935.989999999998</v>
      </c>
      <c r="F2" s="2703"/>
      <c r="G2" s="1485"/>
      <c r="H2" s="1485"/>
      <c r="I2" s="1485"/>
      <c r="J2" s="1485"/>
      <c r="K2" s="1485"/>
      <c r="L2" s="1485"/>
      <c r="M2" s="1485"/>
      <c r="N2" s="1485"/>
      <c r="O2" s="1485"/>
      <c r="P2" s="1485"/>
      <c r="Q2" s="1485"/>
      <c r="R2" s="1485"/>
      <c r="S2" s="1485"/>
    </row>
    <row r="3" spans="1:22" ht="15.75">
      <c r="A3" s="1866" t="s">
        <v>686</v>
      </c>
      <c r="B3" s="2597">
        <f ca="1">ROUND(B2*10000/E2,0)</f>
        <v>20364</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674" t="s">
        <v>1654</v>
      </c>
      <c r="C5" s="3675"/>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v>
      </c>
      <c r="B6" s="2598">
        <f ca="1">IF(F6="是",'数据-取费表'!AO6,0)</f>
        <v>22270</v>
      </c>
      <c r="C6" s="1868" t="s">
        <v>1651</v>
      </c>
      <c r="D6" s="2705"/>
      <c r="E6" s="2602">
        <f>IF(OR(A6=0,F6="否"),0,'数据-取费表'!K6+'数据-取费表'!S6)</f>
        <v>10935.989999999998</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10935.989999999998</v>
      </c>
      <c r="E3" s="904"/>
      <c r="F3" s="1884"/>
      <c r="G3" s="904"/>
      <c r="H3" s="904"/>
      <c r="I3" s="904"/>
      <c r="J3" s="904"/>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694" t="s">
        <v>1667</v>
      </c>
      <c r="D4" s="3695"/>
      <c r="E4" s="3696" t="s">
        <v>1668</v>
      </c>
      <c r="F4" s="3697"/>
      <c r="G4" s="3694" t="s">
        <v>1669</v>
      </c>
      <c r="H4" s="3695"/>
      <c r="I4" s="3694" t="s">
        <v>1670</v>
      </c>
      <c r="J4" s="3695"/>
      <c r="K4" s="1885" t="s">
        <v>1671</v>
      </c>
      <c r="L4" s="2711"/>
      <c r="M4" s="2712"/>
      <c r="N4" s="2712"/>
      <c r="O4" s="2712"/>
      <c r="P4" s="3698" t="s">
        <v>1672</v>
      </c>
      <c r="Q4" s="3699"/>
      <c r="R4" s="3681" t="s">
        <v>1668</v>
      </c>
      <c r="S4" s="3682"/>
      <c r="T4" s="3681" t="s">
        <v>1669</v>
      </c>
      <c r="U4" s="3682"/>
      <c r="V4" s="3706" t="s">
        <v>1670</v>
      </c>
      <c r="W4" s="3706"/>
      <c r="X4" s="1351"/>
      <c r="Y4" s="3681" t="s">
        <v>1672</v>
      </c>
      <c r="Z4" s="3682"/>
      <c r="AA4" s="3676" t="s">
        <v>1668</v>
      </c>
      <c r="AB4" s="3676" t="s">
        <v>1669</v>
      </c>
      <c r="AC4" s="3676" t="s">
        <v>1670</v>
      </c>
    </row>
    <row r="5" spans="1:29" ht="15">
      <c r="A5" s="358"/>
      <c r="B5" s="359"/>
      <c r="C5" s="3687" t="s">
        <v>1673</v>
      </c>
      <c r="D5" s="3688"/>
      <c r="E5" s="3685" t="s">
        <v>1674</v>
      </c>
      <c r="F5" s="3686"/>
      <c r="G5" s="3687" t="s">
        <v>1675</v>
      </c>
      <c r="H5" s="3688"/>
      <c r="I5" s="3687" t="s">
        <v>1676</v>
      </c>
      <c r="J5" s="3688"/>
      <c r="K5" s="1886"/>
      <c r="L5" s="2711"/>
      <c r="M5" s="2712"/>
      <c r="N5" s="2712"/>
      <c r="O5" s="2712"/>
      <c r="P5" s="3700"/>
      <c r="Q5" s="3701"/>
      <c r="R5" s="3683"/>
      <c r="S5" s="3684"/>
      <c r="T5" s="3683"/>
      <c r="U5" s="3684"/>
      <c r="V5" s="3706"/>
      <c r="W5" s="3706"/>
      <c r="X5" s="1351"/>
      <c r="Y5" s="3683"/>
      <c r="Z5" s="3684"/>
      <c r="AA5" s="3677"/>
      <c r="AB5" s="3677"/>
      <c r="AC5" s="3677"/>
    </row>
    <row r="6" spans="1:29" ht="15.75" thickBot="1">
      <c r="A6" s="360"/>
      <c r="B6" s="361"/>
      <c r="C6" s="3689" t="s">
        <v>1677</v>
      </c>
      <c r="D6" s="3690"/>
      <c r="E6" s="3691" t="s">
        <v>1677</v>
      </c>
      <c r="F6" s="3692"/>
      <c r="G6" s="3689" t="s">
        <v>1677</v>
      </c>
      <c r="H6" s="3690"/>
      <c r="I6" s="3689" t="s">
        <v>1677</v>
      </c>
      <c r="J6" s="3690"/>
      <c r="K6" s="1886" t="s">
        <v>1678</v>
      </c>
      <c r="L6" s="2711"/>
      <c r="M6" s="2712"/>
      <c r="N6" s="2712"/>
      <c r="O6" s="2712"/>
      <c r="P6" s="3702"/>
      <c r="Q6" s="3703"/>
      <c r="R6" s="3683"/>
      <c r="S6" s="3684"/>
      <c r="T6" s="3704"/>
      <c r="U6" s="3705"/>
      <c r="V6" s="3706"/>
      <c r="W6" s="3706"/>
      <c r="X6" s="1351"/>
      <c r="Y6" s="3704"/>
      <c r="Z6" s="3705"/>
      <c r="AA6" s="3678"/>
      <c r="AB6" s="3678"/>
      <c r="AC6" s="3678"/>
    </row>
    <row r="7" spans="1:29" s="108" customFormat="1" ht="15.75" thickBot="1">
      <c r="A7" s="362" t="s">
        <v>1679</v>
      </c>
      <c r="B7" s="363"/>
      <c r="C7" s="364">
        <f>'数据-取费表'!B2</f>
        <v>45411</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679" t="s">
        <v>1680</v>
      </c>
      <c r="Q7" s="3707"/>
      <c r="R7" s="701" t="s">
        <v>20</v>
      </c>
      <c r="S7" s="702">
        <f t="shared" ref="S7:S15" si="0">F7</f>
        <v>0</v>
      </c>
      <c r="T7" s="701" t="s">
        <v>20</v>
      </c>
      <c r="U7" s="702">
        <f t="shared" ref="U7:U15" si="1">H7</f>
        <v>0</v>
      </c>
      <c r="V7" s="701" t="s">
        <v>20</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679" t="s">
        <v>1683</v>
      </c>
      <c r="Q8" s="3680"/>
      <c r="R8" s="701" t="s">
        <v>20</v>
      </c>
      <c r="S8" s="702">
        <f t="shared" si="0"/>
        <v>100</v>
      </c>
      <c r="T8" s="701" t="s">
        <v>20</v>
      </c>
      <c r="U8" s="702">
        <f t="shared" si="1"/>
        <v>100</v>
      </c>
      <c r="V8" s="701" t="s">
        <v>20</v>
      </c>
      <c r="W8" s="702">
        <f t="shared" si="2"/>
        <v>100</v>
      </c>
      <c r="X8" s="703"/>
      <c r="Y8" s="3679" t="s">
        <v>1683</v>
      </c>
      <c r="Z8" s="368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693" t="s">
        <v>1686</v>
      </c>
      <c r="Q9" s="1339"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5"/>
      <c r="M10" s="2716"/>
      <c r="N10" s="2716"/>
      <c r="O10" s="2716"/>
      <c r="P10" s="3693"/>
      <c r="Q10" s="1339"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93"/>
      <c r="Q11" s="1339" t="str">
        <f t="shared" si="6"/>
        <v>容积率</v>
      </c>
      <c r="R11" s="701" t="s">
        <v>18</v>
      </c>
      <c r="S11" s="702" t="e">
        <f t="shared" si="0"/>
        <v>#N/A</v>
      </c>
      <c r="T11" s="701" t="s">
        <v>18</v>
      </c>
      <c r="U11" s="702" t="e">
        <f t="shared" si="1"/>
        <v>#N/A</v>
      </c>
      <c r="V11" s="701" t="s">
        <v>18</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693"/>
      <c r="Q12" s="1339">
        <f t="shared" si="6"/>
        <v>111</v>
      </c>
      <c r="R12" s="701" t="s">
        <v>18</v>
      </c>
      <c r="S12" s="702">
        <f t="shared" si="0"/>
        <v>100</v>
      </c>
      <c r="T12" s="701" t="s">
        <v>18</v>
      </c>
      <c r="U12" s="702">
        <f t="shared" si="1"/>
        <v>100</v>
      </c>
      <c r="V12" s="701" t="s">
        <v>18</v>
      </c>
      <c r="W12" s="702">
        <f t="shared" si="2"/>
        <v>100</v>
      </c>
      <c r="X12" s="703"/>
      <c r="Y12" s="3623"/>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693"/>
      <c r="Q13" s="1339">
        <f t="shared" si="6"/>
        <v>111</v>
      </c>
      <c r="R13" s="701" t="s">
        <v>18</v>
      </c>
      <c r="S13" s="702">
        <f t="shared" si="0"/>
        <v>100</v>
      </c>
      <c r="T13" s="701" t="s">
        <v>18</v>
      </c>
      <c r="U13" s="702">
        <f t="shared" si="1"/>
        <v>100</v>
      </c>
      <c r="V13" s="701" t="s">
        <v>18</v>
      </c>
      <c r="W13" s="702">
        <f t="shared" si="2"/>
        <v>100</v>
      </c>
      <c r="X13" s="703"/>
      <c r="Y13" s="3623"/>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693"/>
      <c r="Q14" s="1339">
        <f t="shared" si="6"/>
        <v>111</v>
      </c>
      <c r="R14" s="701" t="s">
        <v>18</v>
      </c>
      <c r="S14" s="702">
        <f t="shared" si="0"/>
        <v>100</v>
      </c>
      <c r="T14" s="701" t="s">
        <v>18</v>
      </c>
      <c r="U14" s="702">
        <f t="shared" si="1"/>
        <v>100</v>
      </c>
      <c r="V14" s="701" t="s">
        <v>18</v>
      </c>
      <c r="W14" s="702">
        <f t="shared" si="2"/>
        <v>100</v>
      </c>
      <c r="X14" s="703"/>
      <c r="Y14" s="3623"/>
      <c r="Z14" s="52">
        <f t="shared" si="7"/>
        <v>111</v>
      </c>
      <c r="AA14" s="704">
        <f t="shared" si="3"/>
        <v>1</v>
      </c>
      <c r="AB14" s="704">
        <f t="shared" si="4"/>
        <v>1</v>
      </c>
      <c r="AC14" s="704">
        <f t="shared" si="5"/>
        <v>1</v>
      </c>
    </row>
    <row r="15" spans="1:29" ht="15">
      <c r="A15" s="391" t="s">
        <v>1690</v>
      </c>
      <c r="B15" s="61" t="s">
        <v>1257</v>
      </c>
      <c r="C15" s="1892">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0" t="s">
        <v>1691</v>
      </c>
      <c r="Q15" s="1348" t="str">
        <f t="shared" si="6"/>
        <v>居住社区成熟度</v>
      </c>
      <c r="R15" s="705" t="s">
        <v>18</v>
      </c>
      <c r="S15" s="706">
        <f t="shared" si="0"/>
        <v>100</v>
      </c>
      <c r="T15" s="705" t="s">
        <v>18</v>
      </c>
      <c r="U15" s="706">
        <f t="shared" si="1"/>
        <v>100</v>
      </c>
      <c r="V15" s="705" t="s">
        <v>18</v>
      </c>
      <c r="W15" s="706">
        <f t="shared" si="2"/>
        <v>100</v>
      </c>
      <c r="X15" s="1351"/>
      <c r="Y15" s="3713"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21"/>
      <c r="Q16" s="1348"/>
      <c r="R16" s="705"/>
      <c r="S16" s="706"/>
      <c r="T16" s="705"/>
      <c r="U16" s="706"/>
      <c r="V16" s="705"/>
      <c r="W16" s="706"/>
      <c r="X16" s="1351"/>
      <c r="Y16" s="3714"/>
      <c r="Z16" s="1352"/>
      <c r="AA16" s="1349">
        <v>1</v>
      </c>
      <c r="AB16" s="1349">
        <v>1</v>
      </c>
      <c r="AC16" s="1349">
        <v>1</v>
      </c>
    </row>
    <row r="17" spans="1:29" ht="15">
      <c r="A17" s="379"/>
      <c r="B17" s="402" t="s">
        <v>1259</v>
      </c>
      <c r="C17" s="1896">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1"/>
      <c r="Q17" s="1348" t="str">
        <f>B17</f>
        <v>交通便捷度</v>
      </c>
      <c r="R17" s="705" t="s">
        <v>18</v>
      </c>
      <c r="S17" s="706">
        <f>F17</f>
        <v>100</v>
      </c>
      <c r="T17" s="705" t="s">
        <v>18</v>
      </c>
      <c r="U17" s="706">
        <f>H17</f>
        <v>100</v>
      </c>
      <c r="V17" s="705" t="s">
        <v>18</v>
      </c>
      <c r="W17" s="706">
        <f>J17</f>
        <v>100</v>
      </c>
      <c r="X17" s="1351"/>
      <c r="Y17" s="3714"/>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21"/>
      <c r="Q18" s="1348"/>
      <c r="R18" s="705"/>
      <c r="S18" s="706"/>
      <c r="T18" s="705"/>
      <c r="U18" s="706"/>
      <c r="V18" s="705"/>
      <c r="W18" s="706"/>
      <c r="X18" s="1351"/>
      <c r="Y18" s="3714"/>
      <c r="Z18" s="1352"/>
      <c r="AA18" s="1349">
        <v>1</v>
      </c>
      <c r="AB18" s="1349">
        <v>1</v>
      </c>
      <c r="AC18" s="1349">
        <v>1</v>
      </c>
    </row>
    <row r="19" spans="1:29" ht="15">
      <c r="A19" s="379"/>
      <c r="B19" s="402" t="s">
        <v>1258</v>
      </c>
      <c r="C19" s="1896">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1"/>
      <c r="Q19" s="1348" t="str">
        <f>B19</f>
        <v>公共配套设施</v>
      </c>
      <c r="R19" s="705" t="s">
        <v>18</v>
      </c>
      <c r="S19" s="706">
        <f>F19</f>
        <v>100</v>
      </c>
      <c r="T19" s="705" t="s">
        <v>18</v>
      </c>
      <c r="U19" s="706">
        <f>H19</f>
        <v>100</v>
      </c>
      <c r="V19" s="705" t="s">
        <v>18</v>
      </c>
      <c r="W19" s="706">
        <f>J19</f>
        <v>100</v>
      </c>
      <c r="X19" s="1351"/>
      <c r="Y19" s="3714"/>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21"/>
      <c r="Q20" s="1348"/>
      <c r="R20" s="705"/>
      <c r="S20" s="706"/>
      <c r="T20" s="705"/>
      <c r="U20" s="706"/>
      <c r="V20" s="705"/>
      <c r="W20" s="706"/>
      <c r="X20" s="1351"/>
      <c r="Y20" s="3714"/>
      <c r="Z20" s="1352"/>
      <c r="AA20" s="1349">
        <v>1</v>
      </c>
      <c r="AB20" s="1349">
        <v>1</v>
      </c>
      <c r="AC20" s="1349">
        <v>1</v>
      </c>
    </row>
    <row r="21" spans="1:29" ht="15">
      <c r="A21" s="379"/>
      <c r="B21" s="1128" t="s">
        <v>1260</v>
      </c>
      <c r="C21" s="1896">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1"/>
      <c r="Q21" s="1348" t="str">
        <f>B21</f>
        <v>基础设施水平</v>
      </c>
      <c r="R21" s="705" t="s">
        <v>14</v>
      </c>
      <c r="S21" s="706">
        <f>F21</f>
        <v>100</v>
      </c>
      <c r="T21" s="705" t="s">
        <v>14</v>
      </c>
      <c r="U21" s="706">
        <f>H21</f>
        <v>100</v>
      </c>
      <c r="V21" s="705" t="s">
        <v>14</v>
      </c>
      <c r="W21" s="706">
        <f>J21</f>
        <v>100</v>
      </c>
      <c r="X21" s="1351"/>
      <c r="Y21" s="371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721"/>
      <c r="Q22" s="1348"/>
      <c r="R22" s="705"/>
      <c r="S22" s="706"/>
      <c r="T22" s="705"/>
      <c r="U22" s="706"/>
      <c r="V22" s="705"/>
      <c r="W22" s="706"/>
      <c r="X22" s="1351"/>
      <c r="Y22" s="3714"/>
      <c r="Z22" s="1352"/>
      <c r="AA22" s="1349">
        <v>1</v>
      </c>
      <c r="AB22" s="1349">
        <v>1</v>
      </c>
      <c r="AC22" s="1349">
        <v>1</v>
      </c>
    </row>
    <row r="23" spans="1:29" ht="15">
      <c r="A23" s="379"/>
      <c r="B23" s="402" t="s">
        <v>1261</v>
      </c>
      <c r="C23" s="1896">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1"/>
      <c r="Q23" s="1348" t="str">
        <f>B23</f>
        <v>自然及人文环境</v>
      </c>
      <c r="R23" s="705" t="s">
        <v>18</v>
      </c>
      <c r="S23" s="706">
        <f>F23</f>
        <v>100</v>
      </c>
      <c r="T23" s="705" t="s">
        <v>18</v>
      </c>
      <c r="U23" s="706">
        <f>H23</f>
        <v>100</v>
      </c>
      <c r="V23" s="705" t="s">
        <v>18</v>
      </c>
      <c r="W23" s="706">
        <f>J23</f>
        <v>100</v>
      </c>
      <c r="X23" s="1351"/>
      <c r="Y23" s="3714"/>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21"/>
      <c r="Q24" s="1348"/>
      <c r="R24" s="705"/>
      <c r="S24" s="706"/>
      <c r="T24" s="705"/>
      <c r="U24" s="706"/>
      <c r="V24" s="705"/>
      <c r="W24" s="706"/>
      <c r="X24" s="1351"/>
      <c r="Y24" s="3714"/>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21"/>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14"/>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21"/>
      <c r="Q26" s="1348" t="str">
        <f t="shared" si="11"/>
        <v>朝向</v>
      </c>
      <c r="R26" s="705" t="s">
        <v>18</v>
      </c>
      <c r="S26" s="706">
        <f t="shared" si="12"/>
        <v>100</v>
      </c>
      <c r="T26" s="705" t="s">
        <v>18</v>
      </c>
      <c r="U26" s="706">
        <f t="shared" si="13"/>
        <v>100</v>
      </c>
      <c r="V26" s="705" t="s">
        <v>18</v>
      </c>
      <c r="W26" s="706">
        <f t="shared" si="14"/>
        <v>100</v>
      </c>
      <c r="X26" s="1351"/>
      <c r="Y26" s="3714"/>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21"/>
      <c r="Q27" s="1339">
        <f t="shared" si="11"/>
        <v>111</v>
      </c>
      <c r="R27" s="701" t="s">
        <v>18</v>
      </c>
      <c r="S27" s="702">
        <f t="shared" si="12"/>
        <v>100</v>
      </c>
      <c r="T27" s="701" t="s">
        <v>18</v>
      </c>
      <c r="U27" s="702">
        <f t="shared" si="13"/>
        <v>100</v>
      </c>
      <c r="V27" s="701" t="s">
        <v>18</v>
      </c>
      <c r="W27" s="702">
        <f t="shared" si="14"/>
        <v>100</v>
      </c>
      <c r="X27" s="703"/>
      <c r="Y27" s="3714"/>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21"/>
      <c r="Q28" s="1348">
        <f t="shared" si="11"/>
        <v>111</v>
      </c>
      <c r="R28" s="705" t="s">
        <v>18</v>
      </c>
      <c r="S28" s="706">
        <f t="shared" si="12"/>
        <v>100</v>
      </c>
      <c r="T28" s="705" t="s">
        <v>18</v>
      </c>
      <c r="U28" s="706">
        <f t="shared" si="13"/>
        <v>100</v>
      </c>
      <c r="V28" s="705" t="s">
        <v>18</v>
      </c>
      <c r="W28" s="706">
        <f t="shared" si="14"/>
        <v>100</v>
      </c>
      <c r="X28" s="1351"/>
      <c r="Y28" s="3714"/>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21"/>
      <c r="Q29" s="1348">
        <f t="shared" si="11"/>
        <v>111</v>
      </c>
      <c r="R29" s="705" t="s">
        <v>18</v>
      </c>
      <c r="S29" s="706">
        <f t="shared" si="12"/>
        <v>100</v>
      </c>
      <c r="T29" s="705" t="s">
        <v>18</v>
      </c>
      <c r="U29" s="706">
        <f t="shared" si="13"/>
        <v>100</v>
      </c>
      <c r="V29" s="705" t="s">
        <v>18</v>
      </c>
      <c r="W29" s="706">
        <f t="shared" si="14"/>
        <v>100</v>
      </c>
      <c r="X29" s="1351"/>
      <c r="Y29" s="3714"/>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21"/>
      <c r="Q30" s="1348">
        <f t="shared" si="11"/>
        <v>111</v>
      </c>
      <c r="R30" s="705" t="s">
        <v>18</v>
      </c>
      <c r="S30" s="706">
        <f t="shared" si="12"/>
        <v>100</v>
      </c>
      <c r="T30" s="705" t="s">
        <v>18</v>
      </c>
      <c r="U30" s="706">
        <f t="shared" si="13"/>
        <v>100</v>
      </c>
      <c r="V30" s="705" t="s">
        <v>18</v>
      </c>
      <c r="W30" s="706">
        <f t="shared" si="14"/>
        <v>100</v>
      </c>
      <c r="X30" s="1351"/>
      <c r="Y30" s="3714"/>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21"/>
      <c r="Q31" s="1348">
        <f t="shared" si="11"/>
        <v>111</v>
      </c>
      <c r="R31" s="705" t="s">
        <v>18</v>
      </c>
      <c r="S31" s="706">
        <f t="shared" si="12"/>
        <v>100</v>
      </c>
      <c r="T31" s="705" t="s">
        <v>18</v>
      </c>
      <c r="U31" s="706">
        <f t="shared" si="13"/>
        <v>100</v>
      </c>
      <c r="V31" s="705" t="s">
        <v>18</v>
      </c>
      <c r="W31" s="706">
        <f t="shared" si="14"/>
        <v>100</v>
      </c>
      <c r="X31" s="1351"/>
      <c r="Y31" s="3714"/>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15" t="s">
        <v>1696</v>
      </c>
      <c r="Q32" s="1348" t="str">
        <f t="shared" si="11"/>
        <v>建筑类型</v>
      </c>
      <c r="R32" s="705" t="s">
        <v>18</v>
      </c>
      <c r="S32" s="706">
        <f t="shared" si="12"/>
        <v>100</v>
      </c>
      <c r="T32" s="705" t="s">
        <v>18</v>
      </c>
      <c r="U32" s="706">
        <f t="shared" si="13"/>
        <v>100</v>
      </c>
      <c r="V32" s="705" t="s">
        <v>18</v>
      </c>
      <c r="W32" s="706">
        <f t="shared" si="14"/>
        <v>100</v>
      </c>
      <c r="X32" s="1351"/>
      <c r="Y32" s="3718"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16"/>
      <c r="Q33" s="707" t="str">
        <f t="shared" si="11"/>
        <v>项目建筑规模</v>
      </c>
      <c r="R33" s="708" t="s">
        <v>18</v>
      </c>
      <c r="S33" s="709" t="e">
        <f t="shared" si="12"/>
        <v>#N/A</v>
      </c>
      <c r="T33" s="708" t="s">
        <v>18</v>
      </c>
      <c r="U33" s="709" t="e">
        <f t="shared" si="13"/>
        <v>#N/A</v>
      </c>
      <c r="V33" s="708" t="s">
        <v>18</v>
      </c>
      <c r="W33" s="709" t="e">
        <f t="shared" si="14"/>
        <v>#N/A</v>
      </c>
      <c r="X33" s="710"/>
      <c r="Y33" s="3718"/>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16"/>
      <c r="Q34" s="1348" t="str">
        <f t="shared" si="11"/>
        <v>建筑结构</v>
      </c>
      <c r="R34" s="705" t="s">
        <v>18</v>
      </c>
      <c r="S34" s="706">
        <f t="shared" si="12"/>
        <v>100</v>
      </c>
      <c r="T34" s="705" t="s">
        <v>18</v>
      </c>
      <c r="U34" s="706">
        <f t="shared" si="13"/>
        <v>100</v>
      </c>
      <c r="V34" s="705" t="s">
        <v>18</v>
      </c>
      <c r="W34" s="706">
        <f t="shared" si="14"/>
        <v>100</v>
      </c>
      <c r="X34" s="1351"/>
      <c r="Y34" s="3718"/>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16"/>
      <c r="Q35" s="1348" t="str">
        <f t="shared" si="11"/>
        <v>建筑品质</v>
      </c>
      <c r="R35" s="705" t="s">
        <v>18</v>
      </c>
      <c r="S35" s="706">
        <f t="shared" si="12"/>
        <v>100</v>
      </c>
      <c r="T35" s="705" t="s">
        <v>18</v>
      </c>
      <c r="U35" s="706">
        <f t="shared" si="13"/>
        <v>100</v>
      </c>
      <c r="V35" s="705" t="s">
        <v>18</v>
      </c>
      <c r="W35" s="706">
        <f t="shared" si="14"/>
        <v>100</v>
      </c>
      <c r="X35" s="1351"/>
      <c r="Y35" s="3718"/>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16"/>
      <c r="Q36" s="1348" t="str">
        <f t="shared" si="11"/>
        <v>公共部分装修</v>
      </c>
      <c r="R36" s="705" t="s">
        <v>18</v>
      </c>
      <c r="S36" s="706">
        <f t="shared" si="12"/>
        <v>100</v>
      </c>
      <c r="T36" s="705" t="s">
        <v>18</v>
      </c>
      <c r="U36" s="706">
        <f t="shared" si="13"/>
        <v>100</v>
      </c>
      <c r="V36" s="705" t="s">
        <v>18</v>
      </c>
      <c r="W36" s="706">
        <f t="shared" si="14"/>
        <v>100</v>
      </c>
      <c r="X36" s="1351"/>
      <c r="Y36" s="3718"/>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16"/>
      <c r="Q37" s="1339" t="str">
        <f t="shared" si="11"/>
        <v>成新度</v>
      </c>
      <c r="R37" s="701" t="s">
        <v>18</v>
      </c>
      <c r="S37" s="702" t="e">
        <f t="shared" si="12"/>
        <v>#N/A</v>
      </c>
      <c r="T37" s="701" t="s">
        <v>18</v>
      </c>
      <c r="U37" s="702" t="e">
        <f t="shared" si="13"/>
        <v>#N/A</v>
      </c>
      <c r="V37" s="701" t="s">
        <v>18</v>
      </c>
      <c r="W37" s="702" t="e">
        <f t="shared" si="14"/>
        <v>#N/A</v>
      </c>
      <c r="X37" s="703"/>
      <c r="Y37" s="3718"/>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16" t="s">
        <v>1696</v>
      </c>
      <c r="Q38" s="1348" t="str">
        <f t="shared" si="11"/>
        <v>物业管理</v>
      </c>
      <c r="R38" s="705" t="s">
        <v>18</v>
      </c>
      <c r="S38" s="706">
        <f t="shared" si="12"/>
        <v>100</v>
      </c>
      <c r="T38" s="705" t="s">
        <v>18</v>
      </c>
      <c r="U38" s="706">
        <f t="shared" si="13"/>
        <v>100</v>
      </c>
      <c r="V38" s="705" t="s">
        <v>18</v>
      </c>
      <c r="W38" s="706">
        <f t="shared" si="14"/>
        <v>100</v>
      </c>
      <c r="X38" s="1351"/>
      <c r="Y38" s="3718"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16"/>
      <c r="Q39" s="1348" t="str">
        <f t="shared" si="11"/>
        <v>市政基础设施</v>
      </c>
      <c r="R39" s="705" t="s">
        <v>18</v>
      </c>
      <c r="S39" s="706">
        <f t="shared" si="12"/>
        <v>100</v>
      </c>
      <c r="T39" s="705" t="s">
        <v>18</v>
      </c>
      <c r="U39" s="706">
        <f t="shared" si="13"/>
        <v>100</v>
      </c>
      <c r="V39" s="705" t="s">
        <v>18</v>
      </c>
      <c r="W39" s="706">
        <f t="shared" si="14"/>
        <v>100</v>
      </c>
      <c r="X39" s="1351"/>
      <c r="Y39" s="3718"/>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16"/>
      <c r="Q40" s="1348" t="str">
        <f t="shared" si="11"/>
        <v>房型</v>
      </c>
      <c r="R40" s="705" t="s">
        <v>18</v>
      </c>
      <c r="S40" s="706">
        <f t="shared" si="12"/>
        <v>100</v>
      </c>
      <c r="T40" s="705" t="s">
        <v>18</v>
      </c>
      <c r="U40" s="706">
        <f t="shared" si="13"/>
        <v>100</v>
      </c>
      <c r="V40" s="705" t="s">
        <v>18</v>
      </c>
      <c r="W40" s="706">
        <f t="shared" si="14"/>
        <v>100</v>
      </c>
      <c r="X40" s="1351"/>
      <c r="Y40" s="3718"/>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16"/>
      <c r="Q42" s="1348" t="str">
        <f t="shared" si="11"/>
        <v>内部装修</v>
      </c>
      <c r="R42" s="705" t="s">
        <v>18</v>
      </c>
      <c r="S42" s="706">
        <f t="shared" si="12"/>
        <v>100</v>
      </c>
      <c r="T42" s="705" t="s">
        <v>18</v>
      </c>
      <c r="U42" s="706">
        <f t="shared" si="13"/>
        <v>100</v>
      </c>
      <c r="V42" s="705" t="s">
        <v>18</v>
      </c>
      <c r="W42" s="706">
        <f t="shared" si="14"/>
        <v>100</v>
      </c>
      <c r="X42" s="1351"/>
      <c r="Y42" s="3718"/>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16"/>
      <c r="Q43" s="1348" t="str">
        <f t="shared" si="11"/>
        <v>内部装修维护情况</v>
      </c>
      <c r="R43" s="705" t="s">
        <v>18</v>
      </c>
      <c r="S43" s="706">
        <f t="shared" si="12"/>
        <v>100</v>
      </c>
      <c r="T43" s="705" t="s">
        <v>18</v>
      </c>
      <c r="U43" s="706">
        <f t="shared" si="13"/>
        <v>100</v>
      </c>
      <c r="V43" s="705" t="s">
        <v>18</v>
      </c>
      <c r="W43" s="706">
        <f t="shared" si="14"/>
        <v>100</v>
      </c>
      <c r="X43" s="1351"/>
      <c r="Y43" s="3718"/>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16"/>
      <c r="Q44" s="1339">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16"/>
      <c r="Q45" s="1348">
        <f t="shared" si="11"/>
        <v>111</v>
      </c>
      <c r="R45" s="705" t="s">
        <v>18</v>
      </c>
      <c r="S45" s="706">
        <f t="shared" si="12"/>
        <v>100</v>
      </c>
      <c r="T45" s="705" t="s">
        <v>18</v>
      </c>
      <c r="U45" s="706">
        <f t="shared" si="13"/>
        <v>100</v>
      </c>
      <c r="V45" s="705" t="s">
        <v>18</v>
      </c>
      <c r="W45" s="706">
        <f t="shared" si="14"/>
        <v>100</v>
      </c>
      <c r="X45" s="1351"/>
      <c r="Y45" s="3718"/>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17"/>
      <c r="Q46" s="1348">
        <f t="shared" si="11"/>
        <v>111</v>
      </c>
      <c r="R46" s="705" t="s">
        <v>17</v>
      </c>
      <c r="S46" s="706">
        <f t="shared" si="12"/>
        <v>100</v>
      </c>
      <c r="T46" s="705" t="s">
        <v>17</v>
      </c>
      <c r="U46" s="706">
        <f t="shared" si="13"/>
        <v>100</v>
      </c>
      <c r="V46" s="705" t="s">
        <v>17</v>
      </c>
      <c r="W46" s="706">
        <f t="shared" si="14"/>
        <v>100</v>
      </c>
      <c r="X46" s="1351"/>
      <c r="Y46" s="3719"/>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711" t="str">
        <f>A47</f>
        <v>成交单价（元/平方米）</v>
      </c>
      <c r="Q47" s="3711"/>
      <c r="R47" s="3712">
        <f>E47</f>
        <v>0</v>
      </c>
      <c r="S47" s="3712"/>
      <c r="T47" s="3712">
        <f>G47</f>
        <v>0</v>
      </c>
      <c r="U47" s="3712"/>
      <c r="V47" s="3712">
        <f>I47</f>
        <v>0</v>
      </c>
      <c r="W47" s="3712"/>
      <c r="X47" s="690"/>
      <c r="Y47" s="712"/>
      <c r="Z47" s="690"/>
      <c r="AA47" s="690"/>
      <c r="AB47" s="690"/>
      <c r="AC47" s="690"/>
    </row>
    <row r="48" spans="1:29" ht="15.75" thickBot="1">
      <c r="A48" s="437" t="s">
        <v>1709</v>
      </c>
      <c r="B48" s="438"/>
      <c r="C48" s="1157" t="e">
        <f>R49</f>
        <v>#DIV/0!</v>
      </c>
      <c r="D48" s="2313" t="s">
        <v>2138</v>
      </c>
      <c r="E48" s="1158" t="e">
        <f>R48</f>
        <v>#DIV/0!</v>
      </c>
      <c r="F48" s="2314"/>
      <c r="G48" s="1157" t="e">
        <f>T48</f>
        <v>#DIV/0!</v>
      </c>
      <c r="H48" s="2314"/>
      <c r="I48" s="1158" t="e">
        <f>V48</f>
        <v>#DIV/0!</v>
      </c>
      <c r="J48" s="2314"/>
      <c r="K48" s="2315">
        <f>F48+H48+J48</f>
        <v>0</v>
      </c>
      <c r="L48" s="2720"/>
      <c r="M48" s="2721"/>
      <c r="N48" s="2721"/>
      <c r="O48" s="2721"/>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1710</v>
      </c>
      <c r="B49" s="442"/>
      <c r="C49" s="1159" t="e">
        <f>R49</f>
        <v>#DIV/0!</v>
      </c>
      <c r="D49" s="1160"/>
      <c r="E49" s="1160"/>
      <c r="F49" s="1160"/>
      <c r="G49" s="1160"/>
      <c r="H49" s="1160"/>
      <c r="I49" s="1160"/>
      <c r="J49" s="1160"/>
      <c r="K49" s="1911"/>
      <c r="L49" s="2720"/>
      <c r="M49" s="2721"/>
      <c r="N49" s="2721"/>
      <c r="O49" s="2721"/>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38"/>
      <c r="L57" s="939"/>
      <c r="M57" s="937"/>
      <c r="N57" s="937"/>
      <c r="O57" s="937"/>
      <c r="P57" s="1914"/>
      <c r="Q57" s="453"/>
    </row>
    <row r="58" spans="1:29" s="457" customFormat="1" ht="15">
      <c r="A58" s="454" t="s">
        <v>1715</v>
      </c>
      <c r="B58" s="455"/>
      <c r="C58" s="1182" t="str">
        <f>YEAR(C7)&amp;"-"&amp;MONTH(C7)</f>
        <v>2024-4</v>
      </c>
      <c r="D58" s="1181">
        <f>EDATE(C58,-1)</f>
        <v>45352</v>
      </c>
      <c r="E58" s="1181">
        <f>EDATE(D58,-1)</f>
        <v>45323</v>
      </c>
      <c r="F58" s="1181">
        <f t="shared" ref="F58:O58" si="19">EDATE(E58,-1)</f>
        <v>45292</v>
      </c>
      <c r="G58" s="1181">
        <f t="shared" si="19"/>
        <v>45261</v>
      </c>
      <c r="H58" s="1181">
        <f t="shared" si="19"/>
        <v>45231</v>
      </c>
      <c r="I58" s="1181">
        <f t="shared" si="19"/>
        <v>45200</v>
      </c>
      <c r="J58" s="1181">
        <f t="shared" si="19"/>
        <v>45170</v>
      </c>
      <c r="K58" s="1181">
        <f t="shared" si="19"/>
        <v>45139</v>
      </c>
      <c r="L58" s="1181">
        <f t="shared" si="19"/>
        <v>45108</v>
      </c>
      <c r="M58" s="1181">
        <f t="shared" si="19"/>
        <v>45078</v>
      </c>
      <c r="N58" s="1181">
        <f t="shared" si="19"/>
        <v>45047</v>
      </c>
      <c r="O58" s="1181">
        <f t="shared" si="19"/>
        <v>45017</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1719</v>
      </c>
      <c r="B63" s="477" t="s">
        <v>1685</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1688</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1734</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1735</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1694</v>
      </c>
      <c r="B100" s="477" t="s">
        <v>1736</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1738</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1739</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1740</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1741</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1742</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1743</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1744</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1948"/>
      <c r="Q2" s="909"/>
      <c r="R2" s="909"/>
      <c r="S2" s="909"/>
      <c r="T2" s="909"/>
      <c r="U2" s="909"/>
      <c r="V2" s="909"/>
      <c r="W2" s="909"/>
      <c r="X2" s="909"/>
      <c r="Y2" s="909"/>
      <c r="Z2" s="909"/>
      <c r="AA2" s="909"/>
      <c r="AB2" s="909"/>
      <c r="AC2" s="1949"/>
    </row>
    <row r="3" spans="1:29" s="352" customFormat="1" ht="28.5" customHeight="1" thickBot="1">
      <c r="A3" s="203" t="s">
        <v>1464</v>
      </c>
      <c r="B3" s="558">
        <f>IF(C2="——",C49,ROUND(B2*10000/D3,0))</f>
        <v>0</v>
      </c>
      <c r="C3" s="354" t="s">
        <v>1768</v>
      </c>
      <c r="D3" s="353">
        <f>IF(D1="",'数据-汇总表'!E3,SUMIF('数据-汇总表'!$C19:$C33,D1,'数据-汇总表'!$E19:$E33))</f>
        <v>10935.989999999998</v>
      </c>
      <c r="E3" s="1950"/>
      <c r="F3" s="906"/>
      <c r="G3" s="905"/>
      <c r="H3" s="905"/>
      <c r="I3" s="905"/>
      <c r="J3" s="905"/>
      <c r="K3" s="907"/>
      <c r="L3" s="2730"/>
      <c r="M3" s="2731"/>
      <c r="N3" s="2731"/>
      <c r="O3" s="2731"/>
      <c r="P3" s="1948"/>
      <c r="Q3" s="909"/>
      <c r="R3" s="909"/>
      <c r="S3" s="909"/>
      <c r="T3" s="909"/>
      <c r="U3" s="909"/>
      <c r="V3" s="909"/>
      <c r="W3" s="909"/>
      <c r="X3" s="909"/>
      <c r="Y3" s="909"/>
      <c r="Z3" s="909"/>
      <c r="AA3" s="909"/>
      <c r="AB3" s="909"/>
      <c r="AC3" s="1950"/>
    </row>
    <row r="4" spans="1:29" ht="15">
      <c r="A4" s="355" t="s">
        <v>1769</v>
      </c>
      <c r="B4" s="356"/>
      <c r="C4" s="3694" t="s">
        <v>1770</v>
      </c>
      <c r="D4" s="3695"/>
      <c r="E4" s="3696" t="s">
        <v>1771</v>
      </c>
      <c r="F4" s="3697"/>
      <c r="G4" s="3694" t="s">
        <v>1772</v>
      </c>
      <c r="H4" s="3695"/>
      <c r="I4" s="3694" t="s">
        <v>1773</v>
      </c>
      <c r="J4" s="3695"/>
      <c r="K4" s="559" t="s">
        <v>1774</v>
      </c>
      <c r="L4" s="2711"/>
      <c r="M4" s="2712"/>
      <c r="N4" s="2712"/>
      <c r="O4" s="2712"/>
      <c r="P4" s="3698" t="s">
        <v>1775</v>
      </c>
      <c r="Q4" s="3699"/>
      <c r="R4" s="3681" t="s">
        <v>1771</v>
      </c>
      <c r="S4" s="3682"/>
      <c r="T4" s="3681" t="s">
        <v>1772</v>
      </c>
      <c r="U4" s="3682"/>
      <c r="V4" s="3706" t="s">
        <v>1773</v>
      </c>
      <c r="W4" s="3706"/>
      <c r="X4" s="1351"/>
      <c r="Y4" s="3681" t="s">
        <v>1775</v>
      </c>
      <c r="Z4" s="3682"/>
      <c r="AA4" s="3676" t="s">
        <v>1771</v>
      </c>
      <c r="AB4" s="3706" t="s">
        <v>1772</v>
      </c>
      <c r="AC4" s="3676" t="s">
        <v>1773</v>
      </c>
    </row>
    <row r="5" spans="1:29" ht="15">
      <c r="A5" s="358"/>
      <c r="B5" s="359"/>
      <c r="C5" s="3687" t="s">
        <v>1673</v>
      </c>
      <c r="D5" s="3688"/>
      <c r="E5" s="3685" t="s">
        <v>1674</v>
      </c>
      <c r="F5" s="3686"/>
      <c r="G5" s="3687" t="s">
        <v>1675</v>
      </c>
      <c r="H5" s="3688"/>
      <c r="I5" s="3687" t="s">
        <v>1676</v>
      </c>
      <c r="J5" s="3688"/>
      <c r="K5" s="559"/>
      <c r="L5" s="2711"/>
      <c r="M5" s="2712"/>
      <c r="N5" s="2712"/>
      <c r="O5" s="2712"/>
      <c r="P5" s="3700"/>
      <c r="Q5" s="3701"/>
      <c r="R5" s="3683"/>
      <c r="S5" s="3684"/>
      <c r="T5" s="3683"/>
      <c r="U5" s="3684"/>
      <c r="V5" s="3706"/>
      <c r="W5" s="3706"/>
      <c r="X5" s="1351"/>
      <c r="Y5" s="3683"/>
      <c r="Z5" s="3684"/>
      <c r="AA5" s="3677"/>
      <c r="AB5" s="3706"/>
      <c r="AC5" s="3677"/>
    </row>
    <row r="6" spans="1:29" ht="15.75" thickBot="1">
      <c r="A6" s="360"/>
      <c r="B6" s="361"/>
      <c r="C6" s="3689" t="s">
        <v>1677</v>
      </c>
      <c r="D6" s="3690"/>
      <c r="E6" s="3691" t="s">
        <v>1677</v>
      </c>
      <c r="F6" s="3692"/>
      <c r="G6" s="3689" t="s">
        <v>1677</v>
      </c>
      <c r="H6" s="3690"/>
      <c r="I6" s="3689" t="s">
        <v>1677</v>
      </c>
      <c r="J6" s="3690"/>
      <c r="K6" s="559" t="s">
        <v>1678</v>
      </c>
      <c r="L6" s="2711"/>
      <c r="M6" s="2712"/>
      <c r="N6" s="2712"/>
      <c r="O6" s="2712"/>
      <c r="P6" s="3702"/>
      <c r="Q6" s="3703"/>
      <c r="R6" s="3683"/>
      <c r="S6" s="3684"/>
      <c r="T6" s="3704"/>
      <c r="U6" s="3705"/>
      <c r="V6" s="3706"/>
      <c r="W6" s="3706"/>
      <c r="X6" s="1351"/>
      <c r="Y6" s="3704"/>
      <c r="Z6" s="3705"/>
      <c r="AA6" s="3678"/>
      <c r="AB6" s="3706"/>
      <c r="AC6" s="3678"/>
    </row>
    <row r="7" spans="1:29" s="108" customFormat="1" ht="15.75" thickBot="1">
      <c r="A7" s="362" t="s">
        <v>1679</v>
      </c>
      <c r="B7" s="363"/>
      <c r="C7" s="364">
        <f>'数据-取费表'!B2</f>
        <v>45411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79" t="s">
        <v>1683</v>
      </c>
      <c r="Q8" s="3680"/>
      <c r="R8" s="701" t="s">
        <v>14</v>
      </c>
      <c r="S8" s="702">
        <f t="shared" si="0"/>
        <v>100</v>
      </c>
      <c r="T8" s="701" t="s">
        <v>14</v>
      </c>
      <c r="U8" s="702">
        <f t="shared" si="1"/>
        <v>100</v>
      </c>
      <c r="V8" s="701" t="s">
        <v>14</v>
      </c>
      <c r="W8" s="702">
        <f t="shared" si="2"/>
        <v>100</v>
      </c>
      <c r="X8" s="703"/>
      <c r="Y8" s="3679" t="s">
        <v>1683</v>
      </c>
      <c r="Z8" s="368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93" t="s">
        <v>1686</v>
      </c>
      <c r="Q9" s="1339"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5"/>
      <c r="M10" s="2716"/>
      <c r="N10" s="2716"/>
      <c r="O10" s="2716"/>
      <c r="P10" s="3693"/>
      <c r="Q10" s="1339"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93"/>
      <c r="Q11" s="1339"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3"/>
      <c r="Q12" s="1339">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3"/>
      <c r="Q13" s="1339">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3"/>
      <c r="Q14" s="1339">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15">
      <c r="A15" s="391" t="s">
        <v>1690</v>
      </c>
      <c r="B15" s="61" t="s">
        <v>1777</v>
      </c>
      <c r="C15" s="1892">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20" t="s">
        <v>1691</v>
      </c>
      <c r="Q15" s="1348" t="str">
        <f t="shared" si="6"/>
        <v>商业繁华度</v>
      </c>
      <c r="R15" s="705" t="s">
        <v>14</v>
      </c>
      <c r="S15" s="706">
        <f t="shared" si="0"/>
        <v>100</v>
      </c>
      <c r="T15" s="705" t="s">
        <v>14</v>
      </c>
      <c r="U15" s="706">
        <f t="shared" si="1"/>
        <v>100</v>
      </c>
      <c r="V15" s="705" t="s">
        <v>14</v>
      </c>
      <c r="W15" s="706">
        <f t="shared" si="2"/>
        <v>100</v>
      </c>
      <c r="X15" s="1351"/>
      <c r="Y15" s="3713"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8"/>
      <c r="M16" s="2712"/>
      <c r="N16" s="2712"/>
      <c r="O16" s="2712"/>
      <c r="P16" s="3721"/>
      <c r="Q16" s="1348"/>
      <c r="R16" s="705"/>
      <c r="S16" s="706"/>
      <c r="T16" s="705"/>
      <c r="U16" s="706"/>
      <c r="V16" s="705"/>
      <c r="W16" s="706"/>
      <c r="X16" s="1351"/>
      <c r="Y16" s="3714"/>
      <c r="Z16" s="1352"/>
      <c r="AA16" s="1349">
        <v>1</v>
      </c>
      <c r="AB16" s="1349">
        <v>1</v>
      </c>
      <c r="AC16" s="1349">
        <v>1</v>
      </c>
    </row>
    <row r="17" spans="1:29" ht="15">
      <c r="A17" s="379"/>
      <c r="B17" s="402" t="s">
        <v>1259</v>
      </c>
      <c r="C17" s="1896">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1"/>
      <c r="Q17" s="1348" t="str">
        <f>B17</f>
        <v>交通便捷度</v>
      </c>
      <c r="R17" s="705" t="s">
        <v>14</v>
      </c>
      <c r="S17" s="706">
        <f>F17</f>
        <v>100</v>
      </c>
      <c r="T17" s="705" t="s">
        <v>14</v>
      </c>
      <c r="U17" s="706">
        <f>H17</f>
        <v>100</v>
      </c>
      <c r="V17" s="705" t="s">
        <v>14</v>
      </c>
      <c r="W17" s="706">
        <f>J17</f>
        <v>100</v>
      </c>
      <c r="X17" s="1351"/>
      <c r="Y17" s="371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8"/>
      <c r="M18" s="2712"/>
      <c r="N18" s="2712"/>
      <c r="O18" s="2712"/>
      <c r="P18" s="3721"/>
      <c r="Q18" s="1348"/>
      <c r="R18" s="705"/>
      <c r="S18" s="706"/>
      <c r="T18" s="705"/>
      <c r="U18" s="706"/>
      <c r="V18" s="705"/>
      <c r="W18" s="706"/>
      <c r="X18" s="1351"/>
      <c r="Y18" s="3714"/>
      <c r="Z18" s="1352"/>
      <c r="AA18" s="1349">
        <v>1</v>
      </c>
      <c r="AB18" s="1349">
        <v>1</v>
      </c>
      <c r="AC18" s="1349">
        <v>1</v>
      </c>
    </row>
    <row r="19" spans="1:29" ht="15">
      <c r="A19" s="379"/>
      <c r="B19" s="402" t="s">
        <v>1778</v>
      </c>
      <c r="C19" s="1896">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1"/>
      <c r="Q19" s="1348" t="str">
        <f>B19</f>
        <v>公共配套设施</v>
      </c>
      <c r="R19" s="705" t="s">
        <v>14</v>
      </c>
      <c r="S19" s="706">
        <f>F19</f>
        <v>100</v>
      </c>
      <c r="T19" s="705" t="s">
        <v>14</v>
      </c>
      <c r="U19" s="706">
        <f>H19</f>
        <v>100</v>
      </c>
      <c r="V19" s="705" t="s">
        <v>14</v>
      </c>
      <c r="W19" s="706">
        <f>J19</f>
        <v>100</v>
      </c>
      <c r="X19" s="1351"/>
      <c r="Y19" s="371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21"/>
      <c r="Q20" s="1348"/>
      <c r="R20" s="705"/>
      <c r="S20" s="706"/>
      <c r="T20" s="705"/>
      <c r="U20" s="706"/>
      <c r="V20" s="705"/>
      <c r="W20" s="706"/>
      <c r="X20" s="1351"/>
      <c r="Y20" s="3714"/>
      <c r="Z20" s="1352"/>
      <c r="AA20" s="1349">
        <v>1</v>
      </c>
      <c r="AB20" s="1349">
        <v>1</v>
      </c>
      <c r="AC20" s="1349">
        <v>1</v>
      </c>
    </row>
    <row r="21" spans="1:29" ht="15">
      <c r="A21" s="379"/>
      <c r="B21" s="1128" t="s">
        <v>1779</v>
      </c>
      <c r="C21" s="1896">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1"/>
      <c r="Q21" s="1348" t="str">
        <f>B21</f>
        <v>基础设施水平</v>
      </c>
      <c r="R21" s="705" t="s">
        <v>14</v>
      </c>
      <c r="S21" s="706">
        <f>F21</f>
        <v>100</v>
      </c>
      <c r="T21" s="705" t="s">
        <v>14</v>
      </c>
      <c r="U21" s="706">
        <f>H21</f>
        <v>100</v>
      </c>
      <c r="V21" s="705" t="s">
        <v>14</v>
      </c>
      <c r="W21" s="706">
        <f>J21</f>
        <v>100</v>
      </c>
      <c r="X21" s="1351"/>
      <c r="Y21" s="371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718"/>
      <c r="M22" s="2712"/>
      <c r="N22" s="2712"/>
      <c r="O22" s="2712"/>
      <c r="P22" s="3721"/>
      <c r="Q22" s="1348"/>
      <c r="R22" s="705"/>
      <c r="S22" s="706"/>
      <c r="T22" s="705"/>
      <c r="U22" s="706"/>
      <c r="V22" s="705"/>
      <c r="W22" s="706"/>
      <c r="X22" s="1351"/>
      <c r="Y22" s="3714"/>
      <c r="Z22" s="1352"/>
      <c r="AA22" s="1349">
        <v>1</v>
      </c>
      <c r="AB22" s="1349">
        <v>1</v>
      </c>
      <c r="AC22" s="1349">
        <v>1</v>
      </c>
    </row>
    <row r="23" spans="1:29" ht="15">
      <c r="A23" s="379"/>
      <c r="B23" s="402" t="s">
        <v>1261</v>
      </c>
      <c r="C23" s="1951">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1"/>
      <c r="Q23" s="1348" t="str">
        <f>B23</f>
        <v>自然及人文环境</v>
      </c>
      <c r="R23" s="705" t="s">
        <v>14</v>
      </c>
      <c r="S23" s="706">
        <f>F23</f>
        <v>100</v>
      </c>
      <c r="T23" s="705" t="s">
        <v>14</v>
      </c>
      <c r="U23" s="706">
        <f>H23</f>
        <v>100</v>
      </c>
      <c r="V23" s="705" t="s">
        <v>14</v>
      </c>
      <c r="W23" s="706">
        <f>J23</f>
        <v>100</v>
      </c>
      <c r="X23" s="1351"/>
      <c r="Y23" s="3714"/>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21"/>
      <c r="Q24" s="1348"/>
      <c r="R24" s="705"/>
      <c r="S24" s="706"/>
      <c r="T24" s="705"/>
      <c r="U24" s="706"/>
      <c r="V24" s="705"/>
      <c r="W24" s="706"/>
      <c r="X24" s="1351"/>
      <c r="Y24" s="3714"/>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1"/>
      <c r="Q25" s="1348" t="str">
        <f t="shared" ref="Q25:Q46" si="11">B25</f>
        <v>临街状况</v>
      </c>
      <c r="R25" s="705" t="s">
        <v>14</v>
      </c>
      <c r="S25" s="706">
        <f>F25</f>
        <v>100</v>
      </c>
      <c r="T25" s="705" t="s">
        <v>14</v>
      </c>
      <c r="U25" s="706">
        <f>H25</f>
        <v>100</v>
      </c>
      <c r="V25" s="705" t="s">
        <v>14</v>
      </c>
      <c r="W25" s="706">
        <f>J25</f>
        <v>100</v>
      </c>
      <c r="X25" s="1351"/>
      <c r="Y25" s="3714"/>
      <c r="Z25" s="1352" t="str">
        <f>Q25</f>
        <v>临街状况</v>
      </c>
      <c r="AA25" s="1349">
        <f t="shared" si="3"/>
        <v>1</v>
      </c>
      <c r="AB25" s="1349">
        <f t="shared" si="4"/>
        <v>1</v>
      </c>
      <c r="AC25" s="1349">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1"/>
      <c r="Q26" s="1348" t="str">
        <f t="shared" si="11"/>
        <v>平面位置/可视性</v>
      </c>
      <c r="R26" s="705" t="s">
        <v>14</v>
      </c>
      <c r="S26" s="706">
        <f>F26</f>
        <v>100</v>
      </c>
      <c r="T26" s="705" t="s">
        <v>14</v>
      </c>
      <c r="U26" s="706">
        <f>H26</f>
        <v>100</v>
      </c>
      <c r="V26" s="705" t="s">
        <v>14</v>
      </c>
      <c r="W26" s="706">
        <f>J26</f>
        <v>100</v>
      </c>
      <c r="X26" s="1351"/>
      <c r="Y26" s="3714"/>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21"/>
      <c r="Q27" s="1339" t="str">
        <f t="shared" si="11"/>
        <v>人流量</v>
      </c>
      <c r="R27" s="701" t="s">
        <v>14</v>
      </c>
      <c r="S27" s="702">
        <f>F27</f>
        <v>100</v>
      </c>
      <c r="T27" s="701" t="s">
        <v>14</v>
      </c>
      <c r="U27" s="702">
        <f>H27</f>
        <v>100</v>
      </c>
      <c r="V27" s="701" t="s">
        <v>14</v>
      </c>
      <c r="W27" s="702">
        <f>J27</f>
        <v>100</v>
      </c>
      <c r="X27" s="703"/>
      <c r="Y27" s="3714"/>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1"/>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14"/>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1"/>
      <c r="Q29" s="1348">
        <f t="shared" si="11"/>
        <v>111</v>
      </c>
      <c r="R29" s="705" t="s">
        <v>14</v>
      </c>
      <c r="S29" s="706">
        <f t="shared" si="12"/>
        <v>100</v>
      </c>
      <c r="T29" s="705" t="s">
        <v>14</v>
      </c>
      <c r="U29" s="706">
        <f t="shared" si="13"/>
        <v>100</v>
      </c>
      <c r="V29" s="705" t="s">
        <v>14</v>
      </c>
      <c r="W29" s="706">
        <f t="shared" si="14"/>
        <v>100</v>
      </c>
      <c r="X29" s="1351"/>
      <c r="Y29" s="3714"/>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1"/>
      <c r="Q30" s="1348">
        <f t="shared" si="11"/>
        <v>111</v>
      </c>
      <c r="R30" s="705" t="s">
        <v>14</v>
      </c>
      <c r="S30" s="706">
        <f t="shared" si="12"/>
        <v>100</v>
      </c>
      <c r="T30" s="705" t="s">
        <v>14</v>
      </c>
      <c r="U30" s="706">
        <f t="shared" si="13"/>
        <v>100</v>
      </c>
      <c r="V30" s="705" t="s">
        <v>14</v>
      </c>
      <c r="W30" s="706">
        <f t="shared" si="14"/>
        <v>100</v>
      </c>
      <c r="X30" s="1351"/>
      <c r="Y30" s="3714"/>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1"/>
      <c r="Q31" s="1348">
        <f t="shared" si="11"/>
        <v>111</v>
      </c>
      <c r="R31" s="705" t="s">
        <v>14</v>
      </c>
      <c r="S31" s="706">
        <f t="shared" si="12"/>
        <v>100</v>
      </c>
      <c r="T31" s="705" t="s">
        <v>14</v>
      </c>
      <c r="U31" s="706">
        <f t="shared" si="13"/>
        <v>100</v>
      </c>
      <c r="V31" s="705" t="s">
        <v>14</v>
      </c>
      <c r="W31" s="706">
        <f t="shared" si="14"/>
        <v>100</v>
      </c>
      <c r="X31" s="1351"/>
      <c r="Y31" s="3714"/>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715" t="s">
        <v>1696</v>
      </c>
      <c r="Q32" s="1348" t="str">
        <f t="shared" si="11"/>
        <v>商业类型</v>
      </c>
      <c r="R32" s="705" t="s">
        <v>14</v>
      </c>
      <c r="S32" s="706">
        <f t="shared" si="12"/>
        <v>100</v>
      </c>
      <c r="T32" s="705" t="s">
        <v>14</v>
      </c>
      <c r="U32" s="706">
        <f t="shared" si="13"/>
        <v>100</v>
      </c>
      <c r="V32" s="705" t="s">
        <v>14</v>
      </c>
      <c r="W32" s="706">
        <f t="shared" si="14"/>
        <v>100</v>
      </c>
      <c r="X32" s="1351"/>
      <c r="Y32" s="3718"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16"/>
      <c r="Q33" s="707" t="str">
        <f t="shared" si="11"/>
        <v>项目建筑规模</v>
      </c>
      <c r="R33" s="708" t="s">
        <v>14</v>
      </c>
      <c r="S33" s="709" t="e">
        <f t="shared" si="12"/>
        <v>#N/A</v>
      </c>
      <c r="T33" s="708" t="s">
        <v>14</v>
      </c>
      <c r="U33" s="709" t="e">
        <f t="shared" si="13"/>
        <v>#N/A</v>
      </c>
      <c r="V33" s="708" t="s">
        <v>14</v>
      </c>
      <c r="W33" s="709" t="e">
        <f t="shared" si="14"/>
        <v>#N/A</v>
      </c>
      <c r="X33" s="710"/>
      <c r="Y33" s="3718"/>
      <c r="Z33" s="711"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16"/>
      <c r="Q34" s="1348" t="str">
        <f t="shared" si="11"/>
        <v>建筑结构</v>
      </c>
      <c r="R34" s="705" t="s">
        <v>14</v>
      </c>
      <c r="S34" s="706">
        <f t="shared" si="12"/>
        <v>100</v>
      </c>
      <c r="T34" s="705" t="s">
        <v>14</v>
      </c>
      <c r="U34" s="706">
        <f t="shared" si="13"/>
        <v>100</v>
      </c>
      <c r="V34" s="705" t="s">
        <v>14</v>
      </c>
      <c r="W34" s="706">
        <f t="shared" si="14"/>
        <v>100</v>
      </c>
      <c r="X34" s="1351"/>
      <c r="Y34" s="3718"/>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16"/>
      <c r="Q35" s="1348" t="str">
        <f t="shared" si="11"/>
        <v>公共部分装修</v>
      </c>
      <c r="R35" s="705" t="s">
        <v>14</v>
      </c>
      <c r="S35" s="706">
        <f t="shared" si="12"/>
        <v>100</v>
      </c>
      <c r="T35" s="705" t="s">
        <v>14</v>
      </c>
      <c r="U35" s="706">
        <f t="shared" si="13"/>
        <v>100</v>
      </c>
      <c r="V35" s="705" t="s">
        <v>14</v>
      </c>
      <c r="W35" s="706">
        <f t="shared" si="14"/>
        <v>100</v>
      </c>
      <c r="X35" s="1351"/>
      <c r="Y35" s="3718"/>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16"/>
      <c r="Q36" s="1348" t="str">
        <f t="shared" si="11"/>
        <v>成新度</v>
      </c>
      <c r="R36" s="705" t="s">
        <v>14</v>
      </c>
      <c r="S36" s="706" t="e">
        <f t="shared" si="12"/>
        <v>#N/A</v>
      </c>
      <c r="T36" s="705" t="s">
        <v>14</v>
      </c>
      <c r="U36" s="706" t="e">
        <f t="shared" si="13"/>
        <v>#N/A</v>
      </c>
      <c r="V36" s="705" t="s">
        <v>14</v>
      </c>
      <c r="W36" s="706" t="e">
        <f t="shared" si="14"/>
        <v>#N/A</v>
      </c>
      <c r="X36" s="1351"/>
      <c r="Y36" s="3718"/>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16"/>
      <c r="Q37" s="1339"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16" t="s">
        <v>1696</v>
      </c>
      <c r="Q38" s="1348" t="str">
        <f t="shared" si="11"/>
        <v>业态</v>
      </c>
      <c r="R38" s="705" t="s">
        <v>14</v>
      </c>
      <c r="S38" s="706">
        <f t="shared" si="12"/>
        <v>100</v>
      </c>
      <c r="T38" s="705" t="s">
        <v>14</v>
      </c>
      <c r="U38" s="706">
        <f t="shared" si="13"/>
        <v>100</v>
      </c>
      <c r="V38" s="705" t="s">
        <v>14</v>
      </c>
      <c r="W38" s="706">
        <f t="shared" si="14"/>
        <v>100</v>
      </c>
      <c r="X38" s="1351"/>
      <c r="Y38" s="3718"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16"/>
      <c r="Q39" s="1348" t="str">
        <f t="shared" si="11"/>
        <v>层高</v>
      </c>
      <c r="R39" s="705" t="s">
        <v>14</v>
      </c>
      <c r="S39" s="706">
        <f t="shared" si="12"/>
        <v>100</v>
      </c>
      <c r="T39" s="705" t="s">
        <v>14</v>
      </c>
      <c r="U39" s="706">
        <f t="shared" si="13"/>
        <v>100</v>
      </c>
      <c r="V39" s="705" t="s">
        <v>14</v>
      </c>
      <c r="W39" s="706">
        <f t="shared" si="14"/>
        <v>100</v>
      </c>
      <c r="X39" s="1351"/>
      <c r="Y39" s="3718"/>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16"/>
      <c r="Q40" s="1348" t="str">
        <f t="shared" si="11"/>
        <v>单套建筑面积</v>
      </c>
      <c r="R40" s="705" t="s">
        <v>14</v>
      </c>
      <c r="S40" s="706">
        <f t="shared" si="12"/>
        <v>100</v>
      </c>
      <c r="T40" s="705" t="s">
        <v>14</v>
      </c>
      <c r="U40" s="706">
        <f t="shared" si="13"/>
        <v>100</v>
      </c>
      <c r="V40" s="705" t="s">
        <v>14</v>
      </c>
      <c r="W40" s="706">
        <f t="shared" si="14"/>
        <v>100</v>
      </c>
      <c r="X40" s="1351"/>
      <c r="Y40" s="3718"/>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16"/>
      <c r="Q42" s="1348" t="str">
        <f t="shared" si="11"/>
        <v>内部装修</v>
      </c>
      <c r="R42" s="705" t="s">
        <v>14</v>
      </c>
      <c r="S42" s="706">
        <f t="shared" si="12"/>
        <v>100</v>
      </c>
      <c r="T42" s="705" t="s">
        <v>14</v>
      </c>
      <c r="U42" s="706">
        <f t="shared" si="13"/>
        <v>100</v>
      </c>
      <c r="V42" s="705" t="s">
        <v>14</v>
      </c>
      <c r="W42" s="706">
        <f t="shared" si="14"/>
        <v>100</v>
      </c>
      <c r="X42" s="1351"/>
      <c r="Y42" s="3718"/>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16"/>
      <c r="Q43" s="1348" t="str">
        <f t="shared" si="11"/>
        <v>内部装修维护情况</v>
      </c>
      <c r="R43" s="705" t="s">
        <v>14</v>
      </c>
      <c r="S43" s="706">
        <f t="shared" si="12"/>
        <v>100</v>
      </c>
      <c r="T43" s="705" t="s">
        <v>14</v>
      </c>
      <c r="U43" s="706">
        <f t="shared" si="13"/>
        <v>100</v>
      </c>
      <c r="V43" s="705" t="s">
        <v>14</v>
      </c>
      <c r="W43" s="706">
        <f t="shared" si="14"/>
        <v>100</v>
      </c>
      <c r="X43" s="1351"/>
      <c r="Y43" s="3718"/>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6"/>
      <c r="Q44" s="1339">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6"/>
      <c r="Q45" s="1348">
        <f t="shared" si="11"/>
        <v>111</v>
      </c>
      <c r="R45" s="705" t="s">
        <v>14</v>
      </c>
      <c r="S45" s="706">
        <f t="shared" si="12"/>
        <v>100</v>
      </c>
      <c r="T45" s="705" t="s">
        <v>14</v>
      </c>
      <c r="U45" s="706">
        <f t="shared" si="13"/>
        <v>100</v>
      </c>
      <c r="V45" s="705" t="s">
        <v>14</v>
      </c>
      <c r="W45" s="706">
        <f t="shared" si="14"/>
        <v>100</v>
      </c>
      <c r="X45" s="1351"/>
      <c r="Y45" s="3718"/>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7"/>
      <c r="Q46" s="1348">
        <f t="shared" si="11"/>
        <v>111</v>
      </c>
      <c r="R46" s="705" t="s">
        <v>14</v>
      </c>
      <c r="S46" s="706">
        <f t="shared" si="12"/>
        <v>100</v>
      </c>
      <c r="T46" s="705" t="s">
        <v>14</v>
      </c>
      <c r="U46" s="706">
        <f t="shared" si="13"/>
        <v>100</v>
      </c>
      <c r="V46" s="705" t="s">
        <v>14</v>
      </c>
      <c r="W46" s="706">
        <f t="shared" si="14"/>
        <v>100</v>
      </c>
      <c r="X46" s="1351"/>
      <c r="Y46" s="3719"/>
      <c r="Z46" s="1352">
        <f t="shared" si="15"/>
        <v>111</v>
      </c>
      <c r="AA46" s="1349">
        <f t="shared" si="3"/>
        <v>1</v>
      </c>
      <c r="AB46" s="1349">
        <f t="shared" si="4"/>
        <v>1</v>
      </c>
      <c r="AC46" s="1349">
        <f t="shared" si="5"/>
        <v>1</v>
      </c>
    </row>
    <row r="47" spans="1:29" ht="15">
      <c r="A47" s="430" t="s">
        <v>1708</v>
      </c>
      <c r="B47" s="431"/>
      <c r="C47" s="1151" t="s">
        <v>0</v>
      </c>
      <c r="D47" s="1152"/>
      <c r="E47" s="1153"/>
      <c r="F47" s="1154"/>
      <c r="G47" s="1155"/>
      <c r="H47" s="1156"/>
      <c r="I47" s="1153"/>
      <c r="J47" s="1156"/>
      <c r="K47" s="714"/>
      <c r="L47" s="2720"/>
      <c r="M47" s="2721"/>
      <c r="N47" s="2712"/>
      <c r="O47" s="2721"/>
      <c r="P47" s="3711" t="str">
        <f>A47</f>
        <v>成交单价（元/平方米）</v>
      </c>
      <c r="Q47" s="3711"/>
      <c r="R47" s="3706">
        <f>E47</f>
        <v>0</v>
      </c>
      <c r="S47" s="3706"/>
      <c r="T47" s="3706">
        <f>G47</f>
        <v>0</v>
      </c>
      <c r="U47" s="3706"/>
      <c r="V47" s="3706">
        <f>I47</f>
        <v>0</v>
      </c>
      <c r="W47" s="3706"/>
      <c r="X47" s="690"/>
      <c r="Y47" s="712"/>
      <c r="Z47" s="690"/>
      <c r="AA47" s="690"/>
      <c r="AB47" s="690"/>
      <c r="AC47" s="690"/>
    </row>
    <row r="48" spans="1:29" ht="15.75" thickBot="1">
      <c r="A48" s="437" t="s">
        <v>1793</v>
      </c>
      <c r="B48" s="438"/>
      <c r="C48" s="1157" t="e">
        <f>R49</f>
        <v>#DIV/0!</v>
      </c>
      <c r="D48" s="2313" t="s">
        <v>2138</v>
      </c>
      <c r="E48" s="1158" t="e">
        <f>R48</f>
        <v>#DIV/0!</v>
      </c>
      <c r="F48" s="2314"/>
      <c r="G48" s="1157" t="e">
        <f>T48</f>
        <v>#DIV/0!</v>
      </c>
      <c r="H48" s="2314"/>
      <c r="I48" s="1158" t="e">
        <f>V48</f>
        <v>#DIV/0!</v>
      </c>
      <c r="J48" s="2314"/>
      <c r="K48" s="2316">
        <f>F48+H48+J48</f>
        <v>0</v>
      </c>
      <c r="L48" s="2720"/>
      <c r="M48" s="2721"/>
      <c r="N48" s="2712"/>
      <c r="O48" s="2721"/>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1794</v>
      </c>
      <c r="B49" s="442"/>
      <c r="C49" s="1160" t="e">
        <f>R49</f>
        <v>#DIV/0!</v>
      </c>
      <c r="D49" s="1160"/>
      <c r="E49" s="1160"/>
      <c r="F49" s="1160"/>
      <c r="G49" s="1160"/>
      <c r="H49" s="1160"/>
      <c r="I49" s="1160"/>
      <c r="J49" s="1160"/>
      <c r="K49" s="715"/>
      <c r="L49" s="2720"/>
      <c r="M49" s="2721"/>
      <c r="N49" s="2712"/>
      <c r="O49" s="2721"/>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0" t="str">
        <f>YEAR(C7)&amp;"-"&amp;MONTH(C7)</f>
        <v>2024-4</v>
      </c>
      <c r="D58" s="1181">
        <f>EDATE(C58,-1)</f>
        <v>45352</v>
      </c>
      <c r="E58" s="1181">
        <f t="shared" ref="E58:N58" si="16">EDATE(D58,-1)</f>
        <v>45323</v>
      </c>
      <c r="F58" s="1181">
        <f t="shared" si="16"/>
        <v>45292</v>
      </c>
      <c r="G58" s="1181">
        <f t="shared" si="16"/>
        <v>45261</v>
      </c>
      <c r="H58" s="1181">
        <f t="shared" si="16"/>
        <v>45231</v>
      </c>
      <c r="I58" s="1181">
        <f t="shared" si="16"/>
        <v>45200</v>
      </c>
      <c r="J58" s="1181">
        <f t="shared" si="16"/>
        <v>45170</v>
      </c>
      <c r="K58" s="1181">
        <f t="shared" si="16"/>
        <v>45139</v>
      </c>
      <c r="L58" s="1181">
        <f t="shared" si="16"/>
        <v>45108</v>
      </c>
      <c r="M58" s="1181">
        <f t="shared" si="16"/>
        <v>45078</v>
      </c>
      <c r="N58" s="1181">
        <f t="shared" si="16"/>
        <v>45047</v>
      </c>
      <c r="O58" s="1181">
        <f>EDATE(N58,-1)</f>
        <v>45017</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10935.989999999998</v>
      </c>
      <c r="E3" s="1950"/>
      <c r="F3" s="906"/>
      <c r="G3" s="905"/>
      <c r="H3" s="905"/>
      <c r="I3" s="905"/>
      <c r="J3" s="905"/>
      <c r="K3" s="907"/>
      <c r="L3" s="2730"/>
      <c r="M3" s="2731"/>
      <c r="N3" s="2731"/>
      <c r="O3" s="2731"/>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1"/>
      <c r="M4" s="2712"/>
      <c r="N4" s="2712"/>
      <c r="O4" s="2712"/>
      <c r="P4" s="3728" t="s">
        <v>1775</v>
      </c>
      <c r="Q4" s="3729"/>
      <c r="R4" s="3723" t="s">
        <v>1771</v>
      </c>
      <c r="S4" s="3724"/>
      <c r="T4" s="3723" t="s">
        <v>1772</v>
      </c>
      <c r="U4" s="3724"/>
      <c r="V4" s="3732" t="s">
        <v>1773</v>
      </c>
      <c r="W4" s="3732"/>
      <c r="X4" s="1954"/>
      <c r="Y4" s="3723" t="s">
        <v>1775</v>
      </c>
      <c r="Z4" s="3724"/>
      <c r="AA4" s="3722" t="s">
        <v>1771</v>
      </c>
      <c r="AB4" s="3722" t="s">
        <v>1772</v>
      </c>
      <c r="AC4" s="3725" t="s">
        <v>1773</v>
      </c>
    </row>
    <row r="5" spans="1:29" ht="15">
      <c r="A5" s="358"/>
      <c r="B5" s="359"/>
      <c r="C5" s="3687" t="s">
        <v>1673</v>
      </c>
      <c r="D5" s="3688"/>
      <c r="E5" s="3685" t="s">
        <v>1674</v>
      </c>
      <c r="F5" s="3686"/>
      <c r="G5" s="3687" t="s">
        <v>1675</v>
      </c>
      <c r="H5" s="3688"/>
      <c r="I5" s="3687" t="s">
        <v>1676</v>
      </c>
      <c r="J5" s="3688"/>
      <c r="K5" s="559"/>
      <c r="L5" s="2711"/>
      <c r="M5" s="2712"/>
      <c r="N5" s="2712"/>
      <c r="O5" s="2712"/>
      <c r="P5" s="3730"/>
      <c r="Q5" s="3701"/>
      <c r="R5" s="3683"/>
      <c r="S5" s="3684"/>
      <c r="T5" s="3683"/>
      <c r="U5" s="3684"/>
      <c r="V5" s="3706"/>
      <c r="W5" s="3706"/>
      <c r="X5" s="1351"/>
      <c r="Y5" s="3683"/>
      <c r="Z5" s="3684"/>
      <c r="AA5" s="3677"/>
      <c r="AB5" s="3677"/>
      <c r="AC5" s="3726"/>
    </row>
    <row r="6" spans="1:29" ht="15.75" thickBot="1">
      <c r="A6" s="360"/>
      <c r="B6" s="361"/>
      <c r="C6" s="3689" t="s">
        <v>1677</v>
      </c>
      <c r="D6" s="3690"/>
      <c r="E6" s="3691" t="s">
        <v>1677</v>
      </c>
      <c r="F6" s="3692"/>
      <c r="G6" s="3689" t="s">
        <v>1677</v>
      </c>
      <c r="H6" s="3690"/>
      <c r="I6" s="3689" t="s">
        <v>1677</v>
      </c>
      <c r="J6" s="3690"/>
      <c r="K6" s="559" t="s">
        <v>1678</v>
      </c>
      <c r="L6" s="2711"/>
      <c r="M6" s="2712"/>
      <c r="N6" s="2712"/>
      <c r="O6" s="2712"/>
      <c r="P6" s="3731"/>
      <c r="Q6" s="3703"/>
      <c r="R6" s="3683"/>
      <c r="S6" s="3684"/>
      <c r="T6" s="3704"/>
      <c r="U6" s="3705"/>
      <c r="V6" s="3706"/>
      <c r="W6" s="3706"/>
      <c r="X6" s="1351"/>
      <c r="Y6" s="3704"/>
      <c r="Z6" s="3705"/>
      <c r="AA6" s="3678"/>
      <c r="AB6" s="3678"/>
      <c r="AC6" s="3727"/>
    </row>
    <row r="7" spans="1:29" s="108" customFormat="1" ht="15.75" thickBot="1">
      <c r="A7" s="362" t="s">
        <v>1679</v>
      </c>
      <c r="B7" s="363"/>
      <c r="C7" s="364">
        <f>'数据-取费表'!B2</f>
        <v>45411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3"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3" t="s">
        <v>1683</v>
      </c>
      <c r="Q8" s="3680"/>
      <c r="R8" s="701" t="s">
        <v>14</v>
      </c>
      <c r="S8" s="702">
        <f t="shared" si="0"/>
        <v>100</v>
      </c>
      <c r="T8" s="701" t="s">
        <v>14</v>
      </c>
      <c r="U8" s="702">
        <f t="shared" si="1"/>
        <v>100</v>
      </c>
      <c r="V8" s="701" t="s">
        <v>14</v>
      </c>
      <c r="W8" s="702">
        <f t="shared" si="2"/>
        <v>100</v>
      </c>
      <c r="X8" s="703"/>
      <c r="Y8" s="3679" t="s">
        <v>1683</v>
      </c>
      <c r="Z8" s="3680"/>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93" t="s">
        <v>1686</v>
      </c>
      <c r="Q9" s="1339"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1955">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5"/>
      <c r="M10" s="2716"/>
      <c r="N10" s="2716"/>
      <c r="O10" s="2716"/>
      <c r="P10" s="3693"/>
      <c r="Q10" s="1339"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3"/>
      <c r="Q11" s="1339"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693"/>
      <c r="Q12" s="1339">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693"/>
      <c r="Q13" s="1339">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693"/>
      <c r="Q14" s="1339">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1955">
        <f t="shared" si="5"/>
        <v>1</v>
      </c>
    </row>
    <row r="15" spans="1:29" ht="15">
      <c r="A15" s="391" t="s">
        <v>1690</v>
      </c>
      <c r="B15" s="577" t="s">
        <v>1811</v>
      </c>
      <c r="C15" s="1957">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0" t="s">
        <v>1691</v>
      </c>
      <c r="Q15" s="1348" t="str">
        <f t="shared" si="6"/>
        <v>办公集聚程度</v>
      </c>
      <c r="R15" s="705" t="s">
        <v>14</v>
      </c>
      <c r="S15" s="706">
        <f t="shared" si="0"/>
        <v>100</v>
      </c>
      <c r="T15" s="705" t="s">
        <v>14</v>
      </c>
      <c r="U15" s="706">
        <f t="shared" si="1"/>
        <v>100</v>
      </c>
      <c r="V15" s="705" t="s">
        <v>14</v>
      </c>
      <c r="W15" s="706">
        <f t="shared" si="2"/>
        <v>100</v>
      </c>
      <c r="X15" s="1351"/>
      <c r="Y15" s="3713" t="s">
        <v>1691</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8"/>
      <c r="M16" s="2712"/>
      <c r="N16" s="2712"/>
      <c r="O16" s="2712"/>
      <c r="P16" s="3721"/>
      <c r="Q16" s="1348"/>
      <c r="R16" s="705"/>
      <c r="S16" s="706"/>
      <c r="T16" s="705"/>
      <c r="U16" s="706"/>
      <c r="V16" s="705"/>
      <c r="W16" s="706"/>
      <c r="X16" s="1351"/>
      <c r="Y16" s="3714"/>
      <c r="Z16" s="1352"/>
      <c r="AA16" s="1349">
        <v>1</v>
      </c>
      <c r="AB16" s="1349">
        <v>1</v>
      </c>
      <c r="AC16" s="1958">
        <v>1</v>
      </c>
    </row>
    <row r="17" spans="1:29" ht="15">
      <c r="A17" s="379"/>
      <c r="B17" s="579" t="s">
        <v>1259</v>
      </c>
      <c r="C17" s="1959">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1"/>
      <c r="Q17" s="1348" t="str">
        <f>B17</f>
        <v>交通便捷度</v>
      </c>
      <c r="R17" s="705" t="s">
        <v>14</v>
      </c>
      <c r="S17" s="706">
        <f>F17</f>
        <v>100</v>
      </c>
      <c r="T17" s="705" t="s">
        <v>14</v>
      </c>
      <c r="U17" s="706">
        <f>H17</f>
        <v>100</v>
      </c>
      <c r="V17" s="705" t="s">
        <v>14</v>
      </c>
      <c r="W17" s="706">
        <f>J17</f>
        <v>100</v>
      </c>
      <c r="X17" s="1351"/>
      <c r="Y17" s="3714"/>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8"/>
      <c r="M18" s="2712"/>
      <c r="N18" s="2712"/>
      <c r="O18" s="2712"/>
      <c r="P18" s="3721"/>
      <c r="Q18" s="1348"/>
      <c r="R18" s="705"/>
      <c r="S18" s="706"/>
      <c r="T18" s="705"/>
      <c r="U18" s="706"/>
      <c r="V18" s="705"/>
      <c r="W18" s="706"/>
      <c r="X18" s="1351"/>
      <c r="Y18" s="3714"/>
      <c r="Z18" s="1352"/>
      <c r="AA18" s="1349">
        <v>1</v>
      </c>
      <c r="AB18" s="1349">
        <v>1</v>
      </c>
      <c r="AC18" s="1958">
        <v>1</v>
      </c>
    </row>
    <row r="19" spans="1:29" ht="15">
      <c r="A19" s="379"/>
      <c r="B19" s="579" t="s">
        <v>1812</v>
      </c>
      <c r="C19" s="1959">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1"/>
      <c r="Q19" s="1348" t="str">
        <f>B19</f>
        <v>公共配套设施</v>
      </c>
      <c r="R19" s="705" t="s">
        <v>14</v>
      </c>
      <c r="S19" s="706">
        <f>F19</f>
        <v>100</v>
      </c>
      <c r="T19" s="705" t="s">
        <v>14</v>
      </c>
      <c r="U19" s="706">
        <f>H19</f>
        <v>100</v>
      </c>
      <c r="V19" s="705" t="s">
        <v>14</v>
      </c>
      <c r="W19" s="706">
        <f>J19</f>
        <v>100</v>
      </c>
      <c r="X19" s="1351"/>
      <c r="Y19" s="3714"/>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21"/>
      <c r="Q20" s="1348"/>
      <c r="R20" s="705"/>
      <c r="S20" s="706"/>
      <c r="T20" s="705"/>
      <c r="U20" s="706"/>
      <c r="V20" s="705"/>
      <c r="W20" s="706"/>
      <c r="X20" s="1351"/>
      <c r="Y20" s="3714"/>
      <c r="Z20" s="1352"/>
      <c r="AA20" s="1349">
        <v>1</v>
      </c>
      <c r="AB20" s="1349">
        <v>1</v>
      </c>
      <c r="AC20" s="1958">
        <v>1</v>
      </c>
    </row>
    <row r="21" spans="1:29" ht="15">
      <c r="A21" s="379"/>
      <c r="B21" s="581" t="s">
        <v>1813</v>
      </c>
      <c r="C21" s="1959">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1"/>
      <c r="Q21" s="1348" t="str">
        <f>B21</f>
        <v>基础设施水平</v>
      </c>
      <c r="R21" s="705" t="s">
        <v>14</v>
      </c>
      <c r="S21" s="706">
        <f>F21</f>
        <v>100</v>
      </c>
      <c r="T21" s="705" t="s">
        <v>14</v>
      </c>
      <c r="U21" s="706">
        <f>H21</f>
        <v>100</v>
      </c>
      <c r="V21" s="705" t="s">
        <v>14</v>
      </c>
      <c r="W21" s="706">
        <f>J21</f>
        <v>100</v>
      </c>
      <c r="X21" s="1351"/>
      <c r="Y21" s="3714"/>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7"/>
      <c r="L22" s="2718"/>
      <c r="M22" s="2712"/>
      <c r="N22" s="2712"/>
      <c r="O22" s="2712"/>
      <c r="P22" s="3721"/>
      <c r="Q22" s="1348"/>
      <c r="R22" s="705"/>
      <c r="S22" s="706"/>
      <c r="T22" s="705"/>
      <c r="U22" s="706"/>
      <c r="V22" s="705"/>
      <c r="W22" s="706"/>
      <c r="X22" s="1351"/>
      <c r="Y22" s="3714"/>
      <c r="Z22" s="1352"/>
      <c r="AA22" s="1349">
        <v>1</v>
      </c>
      <c r="AB22" s="1349">
        <v>1</v>
      </c>
      <c r="AC22" s="1958">
        <v>1</v>
      </c>
    </row>
    <row r="23" spans="1:29" ht="15">
      <c r="A23" s="379"/>
      <c r="B23" s="579" t="s">
        <v>1814</v>
      </c>
      <c r="C23" s="1959">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1"/>
      <c r="Q23" s="1348" t="str">
        <f>B23</f>
        <v>环境质量</v>
      </c>
      <c r="R23" s="705" t="s">
        <v>14</v>
      </c>
      <c r="S23" s="706">
        <f>F23</f>
        <v>100</v>
      </c>
      <c r="T23" s="705" t="s">
        <v>14</v>
      </c>
      <c r="U23" s="706">
        <f>H23</f>
        <v>100</v>
      </c>
      <c r="V23" s="705" t="s">
        <v>14</v>
      </c>
      <c r="W23" s="706">
        <f>J23</f>
        <v>100</v>
      </c>
      <c r="X23" s="1351"/>
      <c r="Y23" s="3714"/>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21"/>
      <c r="Q24" s="1348"/>
      <c r="R24" s="705"/>
      <c r="S24" s="706"/>
      <c r="T24" s="705"/>
      <c r="U24" s="706"/>
      <c r="V24" s="705"/>
      <c r="W24" s="706"/>
      <c r="X24" s="1351"/>
      <c r="Y24" s="3714"/>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21"/>
      <c r="Q25" s="1348" t="str">
        <f>B25</f>
        <v>毗邻道路的类型与等级</v>
      </c>
      <c r="R25" s="705" t="s">
        <v>14</v>
      </c>
      <c r="S25" s="706">
        <f>F25</f>
        <v>100</v>
      </c>
      <c r="T25" s="705" t="s">
        <v>14</v>
      </c>
      <c r="U25" s="706">
        <f>H25</f>
        <v>100</v>
      </c>
      <c r="V25" s="705" t="s">
        <v>14</v>
      </c>
      <c r="W25" s="706">
        <f>J25</f>
        <v>100</v>
      </c>
      <c r="X25" s="1351"/>
      <c r="Y25" s="3714"/>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21"/>
      <c r="Q26" s="1348"/>
      <c r="R26" s="705"/>
      <c r="S26" s="706"/>
      <c r="T26" s="705"/>
      <c r="U26" s="706"/>
      <c r="V26" s="705"/>
      <c r="W26" s="706"/>
      <c r="X26" s="1351"/>
      <c r="Y26" s="3714"/>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1"/>
      <c r="Q27" s="1348" t="str">
        <f t="shared" ref="Q27:Q47" si="11">B27</f>
        <v>楼层</v>
      </c>
      <c r="R27" s="705" t="s">
        <v>14</v>
      </c>
      <c r="S27" s="706">
        <f>F27</f>
        <v>100</v>
      </c>
      <c r="T27" s="705" t="s">
        <v>14</v>
      </c>
      <c r="U27" s="706">
        <f>H27</f>
        <v>100</v>
      </c>
      <c r="V27" s="705" t="s">
        <v>14</v>
      </c>
      <c r="W27" s="706">
        <f>J27</f>
        <v>100</v>
      </c>
      <c r="X27" s="1351"/>
      <c r="Y27" s="3714"/>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21"/>
      <c r="Q28" s="1339" t="str">
        <f t="shared" si="11"/>
        <v>朝向</v>
      </c>
      <c r="R28" s="701" t="s">
        <v>14</v>
      </c>
      <c r="S28" s="702">
        <f>F28</f>
        <v>100</v>
      </c>
      <c r="T28" s="701" t="s">
        <v>14</v>
      </c>
      <c r="U28" s="702">
        <f>H28</f>
        <v>100</v>
      </c>
      <c r="V28" s="701" t="s">
        <v>14</v>
      </c>
      <c r="W28" s="702">
        <f>J28</f>
        <v>100</v>
      </c>
      <c r="X28" s="703"/>
      <c r="Y28" s="3714"/>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21"/>
      <c r="Q29" s="1348">
        <f t="shared" si="11"/>
        <v>111</v>
      </c>
      <c r="R29" s="705" t="s">
        <v>14</v>
      </c>
      <c r="S29" s="706">
        <f t="shared" ref="S29:S47" si="12">F29</f>
        <v>100</v>
      </c>
      <c r="T29" s="705" t="s">
        <v>14</v>
      </c>
      <c r="U29" s="706">
        <f t="shared" ref="U29:U47" si="13">H29</f>
        <v>100</v>
      </c>
      <c r="V29" s="705" t="s">
        <v>14</v>
      </c>
      <c r="W29" s="706">
        <f t="shared" ref="W29:W47" si="14">J29</f>
        <v>100</v>
      </c>
      <c r="X29" s="1351"/>
      <c r="Y29" s="3714"/>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21"/>
      <c r="Q30" s="1348">
        <f t="shared" si="11"/>
        <v>111</v>
      </c>
      <c r="R30" s="705" t="s">
        <v>14</v>
      </c>
      <c r="S30" s="706">
        <f t="shared" si="12"/>
        <v>100</v>
      </c>
      <c r="T30" s="705" t="s">
        <v>14</v>
      </c>
      <c r="U30" s="706">
        <f t="shared" si="13"/>
        <v>100</v>
      </c>
      <c r="V30" s="705" t="s">
        <v>14</v>
      </c>
      <c r="W30" s="706">
        <f t="shared" si="14"/>
        <v>100</v>
      </c>
      <c r="X30" s="1351"/>
      <c r="Y30" s="3714"/>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21"/>
      <c r="Q31" s="1348">
        <f t="shared" si="11"/>
        <v>111</v>
      </c>
      <c r="R31" s="705" t="s">
        <v>14</v>
      </c>
      <c r="S31" s="706">
        <f t="shared" si="12"/>
        <v>100</v>
      </c>
      <c r="T31" s="705" t="s">
        <v>14</v>
      </c>
      <c r="U31" s="706">
        <f t="shared" si="13"/>
        <v>100</v>
      </c>
      <c r="V31" s="705" t="s">
        <v>14</v>
      </c>
      <c r="W31" s="706">
        <f t="shared" si="14"/>
        <v>100</v>
      </c>
      <c r="X31" s="1351"/>
      <c r="Y31" s="3714"/>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21"/>
      <c r="Q32" s="1348">
        <f t="shared" si="11"/>
        <v>111</v>
      </c>
      <c r="R32" s="705" t="s">
        <v>14</v>
      </c>
      <c r="S32" s="706">
        <f t="shared" si="12"/>
        <v>100</v>
      </c>
      <c r="T32" s="705" t="s">
        <v>14</v>
      </c>
      <c r="U32" s="706">
        <f t="shared" si="13"/>
        <v>100</v>
      </c>
      <c r="V32" s="705" t="s">
        <v>14</v>
      </c>
      <c r="W32" s="706">
        <f t="shared" si="14"/>
        <v>100</v>
      </c>
      <c r="X32" s="1351"/>
      <c r="Y32" s="3714"/>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15" t="s">
        <v>1696</v>
      </c>
      <c r="Q33" s="1348" t="str">
        <f t="shared" si="11"/>
        <v>建筑类型</v>
      </c>
      <c r="R33" s="705" t="s">
        <v>14</v>
      </c>
      <c r="S33" s="706">
        <f t="shared" si="12"/>
        <v>100</v>
      </c>
      <c r="T33" s="705" t="s">
        <v>14</v>
      </c>
      <c r="U33" s="706">
        <f t="shared" si="13"/>
        <v>100</v>
      </c>
      <c r="V33" s="705" t="s">
        <v>14</v>
      </c>
      <c r="W33" s="706">
        <f t="shared" si="14"/>
        <v>100</v>
      </c>
      <c r="X33" s="1351"/>
      <c r="Y33" s="3718" t="s">
        <v>1696</v>
      </c>
      <c r="Z33" s="1352" t="str">
        <f t="shared" si="15"/>
        <v>建筑类型</v>
      </c>
      <c r="AA33" s="1349">
        <f t="shared" si="3"/>
        <v>1</v>
      </c>
      <c r="AB33" s="1349">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49" t="e">
        <f t="shared" si="3"/>
        <v>#N/A</v>
      </c>
      <c r="AB34" s="1349"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16"/>
      <c r="Q35" s="1348" t="str">
        <f t="shared" si="11"/>
        <v>建筑结构</v>
      </c>
      <c r="R35" s="705" t="s">
        <v>14</v>
      </c>
      <c r="S35" s="706">
        <f t="shared" si="12"/>
        <v>100</v>
      </c>
      <c r="T35" s="705" t="s">
        <v>14</v>
      </c>
      <c r="U35" s="706">
        <f t="shared" si="13"/>
        <v>100</v>
      </c>
      <c r="V35" s="705" t="s">
        <v>14</v>
      </c>
      <c r="W35" s="706">
        <f t="shared" si="14"/>
        <v>100</v>
      </c>
      <c r="X35" s="1351"/>
      <c r="Y35" s="3718"/>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16"/>
      <c r="Q36" s="1348" t="str">
        <f t="shared" si="11"/>
        <v>公共部分装修</v>
      </c>
      <c r="R36" s="705" t="s">
        <v>14</v>
      </c>
      <c r="S36" s="706">
        <f t="shared" si="12"/>
        <v>100</v>
      </c>
      <c r="T36" s="705" t="s">
        <v>14</v>
      </c>
      <c r="U36" s="706">
        <f t="shared" si="13"/>
        <v>100</v>
      </c>
      <c r="V36" s="705" t="s">
        <v>14</v>
      </c>
      <c r="W36" s="706">
        <f t="shared" si="14"/>
        <v>100</v>
      </c>
      <c r="X36" s="1351"/>
      <c r="Y36" s="3718"/>
      <c r="Z36" s="1352" t="str">
        <f t="shared" si="15"/>
        <v>公共部分装修</v>
      </c>
      <c r="AA36" s="1349">
        <f t="shared" si="3"/>
        <v>1</v>
      </c>
      <c r="AB36" s="1349">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16"/>
      <c r="Q37" s="1348" t="str">
        <f t="shared" si="11"/>
        <v>成新度</v>
      </c>
      <c r="R37" s="705" t="s">
        <v>14</v>
      </c>
      <c r="S37" s="706" t="e">
        <f t="shared" si="12"/>
        <v>#N/A</v>
      </c>
      <c r="T37" s="705" t="s">
        <v>14</v>
      </c>
      <c r="U37" s="706" t="e">
        <f t="shared" si="13"/>
        <v>#N/A</v>
      </c>
      <c r="V37" s="705" t="s">
        <v>14</v>
      </c>
      <c r="W37" s="706" t="e">
        <f t="shared" si="14"/>
        <v>#N/A</v>
      </c>
      <c r="X37" s="1351"/>
      <c r="Y37" s="3718"/>
      <c r="Z37" s="1352" t="str">
        <f t="shared" si="15"/>
        <v>成新度</v>
      </c>
      <c r="AA37" s="1349" t="e">
        <f t="shared" si="3"/>
        <v>#N/A</v>
      </c>
      <c r="AB37" s="1349"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6"/>
      <c r="Q38" s="1339"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16" t="s">
        <v>1696</v>
      </c>
      <c r="Q39" s="1348" t="str">
        <f t="shared" si="11"/>
        <v>物业管理</v>
      </c>
      <c r="R39" s="705" t="s">
        <v>14</v>
      </c>
      <c r="S39" s="706">
        <f t="shared" si="12"/>
        <v>100</v>
      </c>
      <c r="T39" s="705" t="s">
        <v>14</v>
      </c>
      <c r="U39" s="706">
        <f t="shared" si="13"/>
        <v>100</v>
      </c>
      <c r="V39" s="705" t="s">
        <v>14</v>
      </c>
      <c r="W39" s="706">
        <f t="shared" si="14"/>
        <v>100</v>
      </c>
      <c r="X39" s="1351"/>
      <c r="Y39" s="3718"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16"/>
      <c r="Q40" s="1348" t="str">
        <f t="shared" si="11"/>
        <v>市政基础设施</v>
      </c>
      <c r="R40" s="705" t="s">
        <v>14</v>
      </c>
      <c r="S40" s="706">
        <f t="shared" si="12"/>
        <v>100</v>
      </c>
      <c r="T40" s="705" t="s">
        <v>14</v>
      </c>
      <c r="U40" s="706">
        <f t="shared" si="13"/>
        <v>100</v>
      </c>
      <c r="V40" s="705" t="s">
        <v>14</v>
      </c>
      <c r="W40" s="706">
        <f t="shared" si="14"/>
        <v>100</v>
      </c>
      <c r="X40" s="1351"/>
      <c r="Y40" s="3718"/>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6"/>
      <c r="Q41" s="1348" t="str">
        <f t="shared" si="11"/>
        <v>层高</v>
      </c>
      <c r="R41" s="705" t="s">
        <v>14</v>
      </c>
      <c r="S41" s="706">
        <f t="shared" si="12"/>
        <v>100</v>
      </c>
      <c r="T41" s="705" t="s">
        <v>14</v>
      </c>
      <c r="U41" s="706">
        <f t="shared" si="13"/>
        <v>100</v>
      </c>
      <c r="V41" s="705" t="s">
        <v>14</v>
      </c>
      <c r="W41" s="706">
        <f t="shared" si="14"/>
        <v>100</v>
      </c>
      <c r="X41" s="1351"/>
      <c r="Y41" s="3718"/>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16"/>
      <c r="Q43" s="1348" t="str">
        <f t="shared" si="11"/>
        <v>内部装修</v>
      </c>
      <c r="R43" s="705" t="s">
        <v>14</v>
      </c>
      <c r="S43" s="706">
        <f t="shared" si="12"/>
        <v>100</v>
      </c>
      <c r="T43" s="705" t="s">
        <v>14</v>
      </c>
      <c r="U43" s="706">
        <f t="shared" si="13"/>
        <v>100</v>
      </c>
      <c r="V43" s="705" t="s">
        <v>14</v>
      </c>
      <c r="W43" s="706">
        <f t="shared" si="14"/>
        <v>100</v>
      </c>
      <c r="X43" s="1351"/>
      <c r="Y43" s="3718"/>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16"/>
      <c r="Q44" s="1348" t="str">
        <f t="shared" si="11"/>
        <v>内部装修维护情况</v>
      </c>
      <c r="R44" s="705" t="s">
        <v>14</v>
      </c>
      <c r="S44" s="706">
        <f t="shared" si="12"/>
        <v>100</v>
      </c>
      <c r="T44" s="705" t="s">
        <v>14</v>
      </c>
      <c r="U44" s="706">
        <f t="shared" si="13"/>
        <v>100</v>
      </c>
      <c r="V44" s="705" t="s">
        <v>14</v>
      </c>
      <c r="W44" s="706">
        <f t="shared" si="14"/>
        <v>100</v>
      </c>
      <c r="X44" s="1351"/>
      <c r="Y44" s="3718"/>
      <c r="Z44" s="1352" t="str">
        <f t="shared" si="15"/>
        <v>内部装修维护情况</v>
      </c>
      <c r="AA44" s="1349">
        <f t="shared" si="3"/>
        <v>1</v>
      </c>
      <c r="AB44" s="13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6"/>
      <c r="Q45" s="1339">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6"/>
      <c r="Q46" s="1348">
        <f t="shared" si="11"/>
        <v>111</v>
      </c>
      <c r="R46" s="705" t="s">
        <v>14</v>
      </c>
      <c r="S46" s="706">
        <f t="shared" si="12"/>
        <v>100</v>
      </c>
      <c r="T46" s="705" t="s">
        <v>14</v>
      </c>
      <c r="U46" s="706">
        <f t="shared" si="13"/>
        <v>100</v>
      </c>
      <c r="V46" s="705" t="s">
        <v>14</v>
      </c>
      <c r="W46" s="706">
        <f t="shared" si="14"/>
        <v>100</v>
      </c>
      <c r="X46" s="1351"/>
      <c r="Y46" s="3718"/>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7"/>
      <c r="Q47" s="1348">
        <f t="shared" si="11"/>
        <v>111</v>
      </c>
      <c r="R47" s="705" t="s">
        <v>14</v>
      </c>
      <c r="S47" s="706">
        <f t="shared" si="12"/>
        <v>100</v>
      </c>
      <c r="T47" s="705" t="s">
        <v>14</v>
      </c>
      <c r="U47" s="706">
        <f t="shared" si="13"/>
        <v>100</v>
      </c>
      <c r="V47" s="705" t="s">
        <v>14</v>
      </c>
      <c r="W47" s="706">
        <f t="shared" si="14"/>
        <v>100</v>
      </c>
      <c r="X47" s="1351"/>
      <c r="Y47" s="3719"/>
      <c r="Z47" s="1352">
        <f t="shared" si="15"/>
        <v>111</v>
      </c>
      <c r="AA47" s="1349">
        <f t="shared" si="3"/>
        <v>1</v>
      </c>
      <c r="AB47" s="1349">
        <f t="shared" si="4"/>
        <v>1</v>
      </c>
      <c r="AC47" s="1958">
        <f t="shared" si="5"/>
        <v>1</v>
      </c>
    </row>
    <row r="48" spans="1:29" ht="15">
      <c r="A48" s="430" t="s">
        <v>1708</v>
      </c>
      <c r="B48" s="431"/>
      <c r="C48" s="1151" t="s">
        <v>0</v>
      </c>
      <c r="D48" s="1152"/>
      <c r="E48" s="1153"/>
      <c r="F48" s="1154"/>
      <c r="G48" s="1155"/>
      <c r="H48" s="1156"/>
      <c r="I48" s="1153"/>
      <c r="J48" s="436"/>
      <c r="K48" s="714"/>
      <c r="L48" s="2720"/>
      <c r="M48" s="2712"/>
      <c r="N48" s="2712"/>
      <c r="O48" s="2712"/>
      <c r="P48" s="3693" t="str">
        <f>A48</f>
        <v>成交单价（元/平方米）</v>
      </c>
      <c r="Q48" s="3711"/>
      <c r="R48" s="3712">
        <f>E48</f>
        <v>0</v>
      </c>
      <c r="S48" s="3712"/>
      <c r="T48" s="3712">
        <f>G48</f>
        <v>0</v>
      </c>
      <c r="U48" s="3712"/>
      <c r="V48" s="3712">
        <f>I48</f>
        <v>0</v>
      </c>
      <c r="W48" s="3712"/>
      <c r="X48" s="397"/>
      <c r="Y48" s="712"/>
      <c r="Z48" s="397"/>
      <c r="AA48" s="397"/>
      <c r="AB48" s="397"/>
      <c r="AC48" s="578"/>
    </row>
    <row r="49" spans="1:29" ht="15.75" thickBot="1">
      <c r="A49" s="437" t="s">
        <v>1793</v>
      </c>
      <c r="B49" s="438"/>
      <c r="C49" s="1157" t="e">
        <f>R50</f>
        <v>#DIV/0!</v>
      </c>
      <c r="D49" s="2313" t="s">
        <v>2138</v>
      </c>
      <c r="E49" s="1158" t="e">
        <f>R49</f>
        <v>#DIV/0!</v>
      </c>
      <c r="F49" s="2314"/>
      <c r="G49" s="1157" t="e">
        <f>T49</f>
        <v>#DIV/0!</v>
      </c>
      <c r="H49" s="2314"/>
      <c r="I49" s="1158" t="e">
        <f>V49</f>
        <v>#DIV/0!</v>
      </c>
      <c r="J49" s="2314"/>
      <c r="K49" s="2316">
        <f>F49+H49+J49</f>
        <v>0</v>
      </c>
      <c r="L49" s="2720"/>
      <c r="M49" s="2712"/>
      <c r="N49" s="2712"/>
      <c r="O49" s="2712"/>
      <c r="P49" s="3693"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8"/>
    </row>
    <row r="50" spans="1:29" ht="15.75" thickBot="1">
      <c r="A50" s="441" t="s">
        <v>1794</v>
      </c>
      <c r="B50" s="442"/>
      <c r="C50" s="1160" t="e">
        <f>R50</f>
        <v>#DIV/0!</v>
      </c>
      <c r="D50" s="1160"/>
      <c r="E50" s="1160"/>
      <c r="F50" s="1160"/>
      <c r="G50" s="1160"/>
      <c r="H50" s="1160"/>
      <c r="I50" s="1160"/>
      <c r="J50" s="443"/>
      <c r="K50" s="715"/>
      <c r="L50" s="2720"/>
      <c r="M50" s="2712"/>
      <c r="N50" s="2712"/>
      <c r="O50" s="2712"/>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0" t="str">
        <f>YEAR(C7)&amp;"-"&amp;MONTH(C7)</f>
        <v>2024-4</v>
      </c>
      <c r="D59" s="1181">
        <f>EDATE(C59,-1)</f>
        <v>45352</v>
      </c>
      <c r="E59" s="1181">
        <f>EDATE(D59,-1)</f>
        <v>45323</v>
      </c>
      <c r="F59" s="1181">
        <f t="shared" ref="F59:O59" si="16">EDATE(E59,-1)</f>
        <v>45292</v>
      </c>
      <c r="G59" s="1181">
        <f t="shared" si="16"/>
        <v>45261</v>
      </c>
      <c r="H59" s="1181">
        <f t="shared" si="16"/>
        <v>45231</v>
      </c>
      <c r="I59" s="1181">
        <f t="shared" si="16"/>
        <v>45200</v>
      </c>
      <c r="J59" s="1181">
        <f t="shared" si="16"/>
        <v>45170</v>
      </c>
      <c r="K59" s="1181">
        <f t="shared" si="16"/>
        <v>45139</v>
      </c>
      <c r="L59" s="1181">
        <f t="shared" si="16"/>
        <v>45108</v>
      </c>
      <c r="M59" s="1181">
        <f t="shared" si="16"/>
        <v>45078</v>
      </c>
      <c r="N59" s="1181">
        <f t="shared" si="16"/>
        <v>45047</v>
      </c>
      <c r="O59" s="1181">
        <f t="shared" si="16"/>
        <v>45017</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10935.989999999998</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0"/>
      <c r="M4" s="911"/>
      <c r="N4" s="911"/>
      <c r="O4" s="911"/>
      <c r="P4" s="3698" t="s">
        <v>1775</v>
      </c>
      <c r="Q4" s="3699"/>
      <c r="R4" s="3681" t="s">
        <v>1771</v>
      </c>
      <c r="S4" s="3682"/>
      <c r="T4" s="3681" t="s">
        <v>1772</v>
      </c>
      <c r="U4" s="3682"/>
      <c r="V4" s="3706" t="s">
        <v>1773</v>
      </c>
      <c r="W4" s="3706"/>
      <c r="X4" s="1351"/>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910"/>
      <c r="M5" s="911"/>
      <c r="N5" s="911"/>
      <c r="O5" s="911"/>
      <c r="P5" s="3700"/>
      <c r="Q5" s="3701"/>
      <c r="R5" s="3683"/>
      <c r="S5" s="3684"/>
      <c r="T5" s="3683"/>
      <c r="U5" s="3684"/>
      <c r="V5" s="3706"/>
      <c r="W5" s="3706"/>
      <c r="X5" s="1351"/>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910"/>
      <c r="M6" s="911"/>
      <c r="N6" s="911"/>
      <c r="O6" s="911"/>
      <c r="P6" s="3702"/>
      <c r="Q6" s="3703"/>
      <c r="R6" s="3683"/>
      <c r="S6" s="3684"/>
      <c r="T6" s="3704"/>
      <c r="U6" s="3705"/>
      <c r="V6" s="3706"/>
      <c r="W6" s="3706"/>
      <c r="X6" s="1351"/>
      <c r="Y6" s="3704"/>
      <c r="Z6" s="3705"/>
      <c r="AA6" s="3678"/>
      <c r="AB6" s="3678"/>
      <c r="AC6" s="3678"/>
    </row>
    <row r="7" spans="1:29" s="108" customFormat="1" ht="15.75" thickBot="1">
      <c r="A7" s="362" t="s">
        <v>1679</v>
      </c>
      <c r="B7" s="363"/>
      <c r="C7" s="364">
        <f>'数据-取费表'!B2</f>
        <v>45411</v>
      </c>
      <c r="D7" s="365">
        <v>100</v>
      </c>
      <c r="E7" s="366"/>
      <c r="F7" s="367">
        <f>SUMIF(52:52,YEAR(E7)&amp;"-"&amp;MONTH(E7),53:53)</f>
        <v>0</v>
      </c>
      <c r="G7" s="366"/>
      <c r="H7" s="365">
        <f>SUMIF(52:52,YEAR(G7)&amp;"-"&amp;MONTH(G7),53:53)</f>
        <v>0</v>
      </c>
      <c r="I7" s="366"/>
      <c r="J7" s="365">
        <f>SUMIF(52:52,YEAR(I7)&amp;"-"&amp;MONTH(I7),53:53)</f>
        <v>0</v>
      </c>
      <c r="K7" s="560"/>
      <c r="L7" s="912"/>
      <c r="M7" s="913"/>
      <c r="N7" s="913"/>
      <c r="O7" s="913"/>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679" t="s">
        <v>1683</v>
      </c>
      <c r="Q8" s="3680"/>
      <c r="R8" s="701" t="s">
        <v>14</v>
      </c>
      <c r="S8" s="702">
        <f t="shared" si="0"/>
        <v>100</v>
      </c>
      <c r="T8" s="701" t="s">
        <v>14</v>
      </c>
      <c r="U8" s="702">
        <f t="shared" si="1"/>
        <v>100</v>
      </c>
      <c r="V8" s="701" t="s">
        <v>14</v>
      </c>
      <c r="W8" s="702">
        <f t="shared" si="2"/>
        <v>100</v>
      </c>
      <c r="X8" s="703"/>
      <c r="Y8" s="3679" t="s">
        <v>1683</v>
      </c>
      <c r="Z8" s="368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11" t="s">
        <v>1686</v>
      </c>
      <c r="Q9" s="1339"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5"/>
      <c r="M10" s="916"/>
      <c r="N10" s="916"/>
      <c r="O10" s="917"/>
      <c r="P10" s="3711"/>
      <c r="Q10" s="1339"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11"/>
      <c r="Q11" s="1339"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711"/>
      <c r="Q12" s="1339">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711"/>
      <c r="Q13" s="1339">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711"/>
      <c r="Q14" s="1339">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15">
      <c r="A15" s="391" t="s">
        <v>1690</v>
      </c>
      <c r="B15" s="61" t="s">
        <v>1827</v>
      </c>
      <c r="C15" s="1967">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13" t="s">
        <v>1691</v>
      </c>
      <c r="Q15" s="1348" t="str">
        <f t="shared" si="6"/>
        <v>产业集聚程度</v>
      </c>
      <c r="R15" s="705" t="s">
        <v>14</v>
      </c>
      <c r="S15" s="706">
        <f t="shared" si="0"/>
        <v>100</v>
      </c>
      <c r="T15" s="705" t="s">
        <v>14</v>
      </c>
      <c r="U15" s="706">
        <f t="shared" si="1"/>
        <v>100</v>
      </c>
      <c r="V15" s="705" t="s">
        <v>14</v>
      </c>
      <c r="W15" s="706">
        <f t="shared" si="2"/>
        <v>100</v>
      </c>
      <c r="X15" s="1351"/>
      <c r="Y15" s="3713"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0"/>
      <c r="M16" s="911"/>
      <c r="N16" s="911"/>
      <c r="O16" s="919"/>
      <c r="P16" s="3714"/>
      <c r="Q16" s="1348"/>
      <c r="R16" s="705"/>
      <c r="S16" s="706"/>
      <c r="T16" s="705"/>
      <c r="U16" s="706"/>
      <c r="V16" s="705"/>
      <c r="W16" s="706"/>
      <c r="X16" s="1351"/>
      <c r="Y16" s="3714"/>
      <c r="Z16" s="1352"/>
      <c r="AA16" s="1349">
        <v>1</v>
      </c>
      <c r="AB16" s="1349">
        <v>1</v>
      </c>
      <c r="AC16" s="1349">
        <v>1</v>
      </c>
    </row>
    <row r="17" spans="1:29" ht="15">
      <c r="A17" s="379"/>
      <c r="B17" s="402" t="s">
        <v>1259</v>
      </c>
      <c r="C17" s="1896">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14"/>
      <c r="Q17" s="1348" t="str">
        <f>B17</f>
        <v>交通便捷度</v>
      </c>
      <c r="R17" s="705" t="s">
        <v>14</v>
      </c>
      <c r="S17" s="706">
        <f>F17</f>
        <v>100</v>
      </c>
      <c r="T17" s="705" t="s">
        <v>14</v>
      </c>
      <c r="U17" s="706">
        <f>H17</f>
        <v>100</v>
      </c>
      <c r="V17" s="705" t="s">
        <v>14</v>
      </c>
      <c r="W17" s="706">
        <f>J17</f>
        <v>100</v>
      </c>
      <c r="X17" s="1351"/>
      <c r="Y17" s="371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0"/>
      <c r="M18" s="911"/>
      <c r="N18" s="911"/>
      <c r="O18" s="919"/>
      <c r="P18" s="3714"/>
      <c r="Q18" s="1348"/>
      <c r="R18" s="705"/>
      <c r="S18" s="706"/>
      <c r="T18" s="705"/>
      <c r="U18" s="706"/>
      <c r="V18" s="705"/>
      <c r="W18" s="706"/>
      <c r="X18" s="1351"/>
      <c r="Y18" s="3714"/>
      <c r="Z18" s="1352"/>
      <c r="AA18" s="1349">
        <v>1</v>
      </c>
      <c r="AB18" s="1349">
        <v>1</v>
      </c>
      <c r="AC18" s="1349">
        <v>1</v>
      </c>
    </row>
    <row r="19" spans="1:29" ht="15">
      <c r="A19" s="379"/>
      <c r="B19" s="402" t="s">
        <v>1812</v>
      </c>
      <c r="C19" s="1896">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14"/>
      <c r="Q19" s="1348" t="str">
        <f>B19</f>
        <v>公共配套设施</v>
      </c>
      <c r="R19" s="705" t="s">
        <v>14</v>
      </c>
      <c r="S19" s="706">
        <f>F19</f>
        <v>100</v>
      </c>
      <c r="T19" s="705" t="s">
        <v>14</v>
      </c>
      <c r="U19" s="706">
        <f>H19</f>
        <v>100</v>
      </c>
      <c r="V19" s="705" t="s">
        <v>14</v>
      </c>
      <c r="W19" s="706">
        <f>J19</f>
        <v>100</v>
      </c>
      <c r="X19" s="1351"/>
      <c r="Y19" s="371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0"/>
      <c r="M20" s="911"/>
      <c r="N20" s="911"/>
      <c r="O20" s="919"/>
      <c r="P20" s="3714"/>
      <c r="Q20" s="1348"/>
      <c r="R20" s="705"/>
      <c r="S20" s="706"/>
      <c r="T20" s="705"/>
      <c r="U20" s="706"/>
      <c r="V20" s="705"/>
      <c r="W20" s="706"/>
      <c r="X20" s="1351"/>
      <c r="Y20" s="3714"/>
      <c r="Z20" s="1352"/>
      <c r="AA20" s="1349">
        <v>1</v>
      </c>
      <c r="AB20" s="1349">
        <v>1</v>
      </c>
      <c r="AC20" s="1349">
        <v>1</v>
      </c>
    </row>
    <row r="21" spans="1:29" ht="15">
      <c r="A21" s="379"/>
      <c r="B21" s="1128" t="s">
        <v>1813</v>
      </c>
      <c r="C21" s="1896">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14"/>
      <c r="Q21" s="1348" t="str">
        <f>B21</f>
        <v>基础设施水平</v>
      </c>
      <c r="R21" s="705" t="s">
        <v>14</v>
      </c>
      <c r="S21" s="706">
        <f>F21</f>
        <v>100</v>
      </c>
      <c r="T21" s="705" t="s">
        <v>14</v>
      </c>
      <c r="U21" s="706">
        <f>H21</f>
        <v>100</v>
      </c>
      <c r="V21" s="705" t="s">
        <v>14</v>
      </c>
      <c r="W21" s="706">
        <f>J21</f>
        <v>100</v>
      </c>
      <c r="X21" s="1351"/>
      <c r="Y21" s="371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0"/>
      <c r="M22" s="911"/>
      <c r="N22" s="911"/>
      <c r="O22" s="919"/>
      <c r="P22" s="3714"/>
      <c r="Q22" s="1348"/>
      <c r="R22" s="705"/>
      <c r="S22" s="706"/>
      <c r="T22" s="705"/>
      <c r="U22" s="706"/>
      <c r="V22" s="705"/>
      <c r="W22" s="706"/>
      <c r="X22" s="1351"/>
      <c r="Y22" s="3714"/>
      <c r="Z22" s="1352"/>
      <c r="AA22" s="1349">
        <v>1</v>
      </c>
      <c r="AB22" s="1349">
        <v>1</v>
      </c>
      <c r="AC22" s="1349">
        <v>1</v>
      </c>
    </row>
    <row r="23" spans="1:29" ht="15">
      <c r="A23" s="379"/>
      <c r="B23" s="402" t="s">
        <v>1814</v>
      </c>
      <c r="C23" s="1896">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14"/>
      <c r="Q23" s="1348" t="str">
        <f>B23</f>
        <v>环境质量</v>
      </c>
      <c r="R23" s="705" t="s">
        <v>14</v>
      </c>
      <c r="S23" s="706">
        <f>F23</f>
        <v>100</v>
      </c>
      <c r="T23" s="705" t="s">
        <v>14</v>
      </c>
      <c r="U23" s="706">
        <f>H23</f>
        <v>100</v>
      </c>
      <c r="V23" s="705" t="s">
        <v>14</v>
      </c>
      <c r="W23" s="706">
        <f>J23</f>
        <v>100</v>
      </c>
      <c r="X23" s="1351"/>
      <c r="Y23" s="3714"/>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0"/>
      <c r="M24" s="911"/>
      <c r="N24" s="911"/>
      <c r="O24" s="919"/>
      <c r="P24" s="3714"/>
      <c r="Q24" s="1348"/>
      <c r="R24" s="705"/>
      <c r="S24" s="706"/>
      <c r="T24" s="705"/>
      <c r="U24" s="706"/>
      <c r="V24" s="705"/>
      <c r="W24" s="706"/>
      <c r="X24" s="1351"/>
      <c r="Y24" s="3714"/>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14"/>
      <c r="Q25" s="1348">
        <f>B25</f>
        <v>111</v>
      </c>
      <c r="R25" s="705" t="s">
        <v>14</v>
      </c>
      <c r="S25" s="706">
        <f>F25</f>
        <v>100</v>
      </c>
      <c r="T25" s="705" t="s">
        <v>14</v>
      </c>
      <c r="U25" s="706">
        <f>H25</f>
        <v>100</v>
      </c>
      <c r="V25" s="705" t="s">
        <v>14</v>
      </c>
      <c r="W25" s="706">
        <f>J25</f>
        <v>100</v>
      </c>
      <c r="X25" s="1351"/>
      <c r="Y25" s="3714"/>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14"/>
      <c r="Q26" s="1348">
        <f t="shared" ref="Q26:Q40" si="11">B26</f>
        <v>111</v>
      </c>
      <c r="R26" s="705" t="s">
        <v>14</v>
      </c>
      <c r="S26" s="706">
        <f>F26</f>
        <v>100</v>
      </c>
      <c r="T26" s="705" t="s">
        <v>14</v>
      </c>
      <c r="U26" s="706">
        <f>H26</f>
        <v>100</v>
      </c>
      <c r="V26" s="705" t="s">
        <v>14</v>
      </c>
      <c r="W26" s="706">
        <f>J26</f>
        <v>100</v>
      </c>
      <c r="X26" s="1351"/>
      <c r="Y26" s="3714"/>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14"/>
      <c r="Q27" s="1339">
        <f t="shared" si="11"/>
        <v>111</v>
      </c>
      <c r="R27" s="701" t="s">
        <v>14</v>
      </c>
      <c r="S27" s="702">
        <f>F27</f>
        <v>100</v>
      </c>
      <c r="T27" s="701" t="s">
        <v>14</v>
      </c>
      <c r="U27" s="702">
        <f>H27</f>
        <v>100</v>
      </c>
      <c r="V27" s="701" t="s">
        <v>14</v>
      </c>
      <c r="W27" s="702">
        <f>J27</f>
        <v>100</v>
      </c>
      <c r="X27" s="703"/>
      <c r="Y27" s="3714"/>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14"/>
      <c r="Q28" s="1348">
        <f t="shared" si="11"/>
        <v>111</v>
      </c>
      <c r="R28" s="705" t="s">
        <v>14</v>
      </c>
      <c r="S28" s="706">
        <f t="shared" ref="S28:S40" si="12">F28</f>
        <v>100</v>
      </c>
      <c r="T28" s="705" t="s">
        <v>14</v>
      </c>
      <c r="U28" s="706">
        <f t="shared" ref="U28:U40" si="13">H28</f>
        <v>100</v>
      </c>
      <c r="V28" s="705" t="s">
        <v>14</v>
      </c>
      <c r="W28" s="706">
        <f t="shared" ref="W28:W40" si="14">J28</f>
        <v>100</v>
      </c>
      <c r="X28" s="1351"/>
      <c r="Y28" s="3714"/>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737" t="s">
        <v>1696</v>
      </c>
      <c r="Q29" s="1348" t="str">
        <f t="shared" si="11"/>
        <v>建筑类型</v>
      </c>
      <c r="R29" s="705" t="s">
        <v>14</v>
      </c>
      <c r="S29" s="706">
        <f t="shared" si="12"/>
        <v>100</v>
      </c>
      <c r="T29" s="705" t="s">
        <v>14</v>
      </c>
      <c r="U29" s="706">
        <f t="shared" si="13"/>
        <v>100</v>
      </c>
      <c r="V29" s="705" t="s">
        <v>14</v>
      </c>
      <c r="W29" s="706">
        <f t="shared" si="14"/>
        <v>100</v>
      </c>
      <c r="X29" s="1351"/>
      <c r="Y29" s="3718"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18"/>
      <c r="Q31" s="1348" t="str">
        <f t="shared" si="11"/>
        <v>建筑结构</v>
      </c>
      <c r="R31" s="705" t="s">
        <v>14</v>
      </c>
      <c r="S31" s="706">
        <f t="shared" si="12"/>
        <v>100</v>
      </c>
      <c r="T31" s="705" t="s">
        <v>14</v>
      </c>
      <c r="U31" s="706">
        <f t="shared" si="13"/>
        <v>100</v>
      </c>
      <c r="V31" s="705" t="s">
        <v>14</v>
      </c>
      <c r="W31" s="706">
        <f t="shared" si="14"/>
        <v>100</v>
      </c>
      <c r="X31" s="1351"/>
      <c r="Y31" s="3718"/>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18"/>
      <c r="Q32" s="1348" t="str">
        <f t="shared" si="11"/>
        <v>公共部分装修</v>
      </c>
      <c r="R32" s="705" t="s">
        <v>14</v>
      </c>
      <c r="S32" s="706">
        <f t="shared" si="12"/>
        <v>100</v>
      </c>
      <c r="T32" s="705" t="s">
        <v>14</v>
      </c>
      <c r="U32" s="706">
        <f t="shared" si="13"/>
        <v>100</v>
      </c>
      <c r="V32" s="705" t="s">
        <v>14</v>
      </c>
      <c r="W32" s="706">
        <f t="shared" si="14"/>
        <v>100</v>
      </c>
      <c r="X32" s="1351"/>
      <c r="Y32" s="3718"/>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18"/>
      <c r="Q33" s="1348" t="str">
        <f t="shared" si="11"/>
        <v>成新度</v>
      </c>
      <c r="R33" s="705" t="s">
        <v>14</v>
      </c>
      <c r="S33" s="706" t="e">
        <f t="shared" si="12"/>
        <v>#N/A</v>
      </c>
      <c r="T33" s="705" t="s">
        <v>14</v>
      </c>
      <c r="U33" s="706" t="e">
        <f t="shared" si="13"/>
        <v>#N/A</v>
      </c>
      <c r="V33" s="705" t="s">
        <v>14</v>
      </c>
      <c r="W33" s="706" t="e">
        <f t="shared" si="14"/>
        <v>#N/A</v>
      </c>
      <c r="X33" s="1351"/>
      <c r="Y33" s="3718"/>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18"/>
      <c r="Q34" s="1339"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18" t="s">
        <v>1696</v>
      </c>
      <c r="Q35" s="1348" t="str">
        <f t="shared" si="11"/>
        <v>市政基础设施</v>
      </c>
      <c r="R35" s="705" t="s">
        <v>14</v>
      </c>
      <c r="S35" s="706">
        <f t="shared" si="12"/>
        <v>100</v>
      </c>
      <c r="T35" s="705" t="s">
        <v>14</v>
      </c>
      <c r="U35" s="706">
        <f t="shared" si="13"/>
        <v>100</v>
      </c>
      <c r="V35" s="705" t="s">
        <v>14</v>
      </c>
      <c r="W35" s="706">
        <f t="shared" si="14"/>
        <v>100</v>
      </c>
      <c r="X35" s="1351"/>
      <c r="Y35" s="3718"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18"/>
      <c r="Q36" s="1348" t="str">
        <f t="shared" si="11"/>
        <v>内部装修</v>
      </c>
      <c r="R36" s="705" t="s">
        <v>14</v>
      </c>
      <c r="S36" s="706">
        <f t="shared" si="12"/>
        <v>100</v>
      </c>
      <c r="T36" s="705" t="s">
        <v>14</v>
      </c>
      <c r="U36" s="706">
        <f t="shared" si="13"/>
        <v>100</v>
      </c>
      <c r="V36" s="705" t="s">
        <v>14</v>
      </c>
      <c r="W36" s="706">
        <f t="shared" si="14"/>
        <v>100</v>
      </c>
      <c r="X36" s="1351"/>
      <c r="Y36" s="3718"/>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18"/>
      <c r="Q37" s="1348" t="str">
        <f t="shared" si="11"/>
        <v>内部装修状况</v>
      </c>
      <c r="R37" s="705" t="s">
        <v>14</v>
      </c>
      <c r="S37" s="706">
        <f t="shared" si="12"/>
        <v>100</v>
      </c>
      <c r="T37" s="705" t="s">
        <v>14</v>
      </c>
      <c r="U37" s="706">
        <f t="shared" si="13"/>
        <v>100</v>
      </c>
      <c r="V37" s="705" t="s">
        <v>14</v>
      </c>
      <c r="W37" s="706">
        <f t="shared" si="14"/>
        <v>100</v>
      </c>
      <c r="X37" s="1351"/>
      <c r="Y37" s="3718"/>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18"/>
      <c r="Q39" s="1348">
        <f t="shared" si="11"/>
        <v>111</v>
      </c>
      <c r="R39" s="705" t="s">
        <v>14</v>
      </c>
      <c r="S39" s="706">
        <f t="shared" si="12"/>
        <v>100</v>
      </c>
      <c r="T39" s="705" t="s">
        <v>14</v>
      </c>
      <c r="U39" s="706">
        <f t="shared" si="13"/>
        <v>100</v>
      </c>
      <c r="V39" s="705" t="s">
        <v>14</v>
      </c>
      <c r="W39" s="706">
        <f t="shared" si="14"/>
        <v>100</v>
      </c>
      <c r="X39" s="1351"/>
      <c r="Y39" s="3718"/>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19"/>
      <c r="Q40" s="1348">
        <f t="shared" si="11"/>
        <v>111</v>
      </c>
      <c r="R40" s="705" t="s">
        <v>14</v>
      </c>
      <c r="S40" s="706">
        <f t="shared" si="12"/>
        <v>100</v>
      </c>
      <c r="T40" s="705" t="s">
        <v>14</v>
      </c>
      <c r="U40" s="706">
        <f t="shared" si="13"/>
        <v>100</v>
      </c>
      <c r="V40" s="705" t="s">
        <v>14</v>
      </c>
      <c r="W40" s="706">
        <f t="shared" si="14"/>
        <v>100</v>
      </c>
      <c r="X40" s="1351"/>
      <c r="Y40" s="3719"/>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4"/>
      <c r="L41" s="923"/>
      <c r="M41" s="924"/>
      <c r="N41" s="911"/>
      <c r="O41" s="924"/>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1793</v>
      </c>
      <c r="B42" s="438"/>
      <c r="C42" s="1157" t="e">
        <f>R43</f>
        <v>#DIV/0!</v>
      </c>
      <c r="D42" s="2313" t="s">
        <v>2138</v>
      </c>
      <c r="E42" s="1158" t="e">
        <f>R42</f>
        <v>#DIV/0!</v>
      </c>
      <c r="F42" s="2314"/>
      <c r="G42" s="1157" t="e">
        <f>T42</f>
        <v>#DIV/0!</v>
      </c>
      <c r="H42" s="2314"/>
      <c r="I42" s="1158" t="e">
        <f>V42</f>
        <v>#DIV/0!</v>
      </c>
      <c r="J42" s="2314"/>
      <c r="K42" s="2316">
        <f>F42+H42+J42</f>
        <v>0</v>
      </c>
      <c r="L42" s="923"/>
      <c r="M42" s="924"/>
      <c r="N42" s="911"/>
      <c r="O42" s="924"/>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1794</v>
      </c>
      <c r="B43" s="442"/>
      <c r="C43" s="1160" t="e">
        <f>R43</f>
        <v>#DIV/0!</v>
      </c>
      <c r="D43" s="1160"/>
      <c r="E43" s="1160"/>
      <c r="F43" s="1160"/>
      <c r="G43" s="1160"/>
      <c r="H43" s="1160"/>
      <c r="I43" s="1160"/>
      <c r="J43" s="1160"/>
      <c r="K43" s="715"/>
      <c r="L43" s="923"/>
      <c r="M43" s="924"/>
      <c r="N43" s="924"/>
      <c r="O43" s="924"/>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90"/>
      <c r="Y43" s="690"/>
      <c r="Z43" s="690"/>
      <c r="AA43" s="690"/>
      <c r="AB43" s="690"/>
      <c r="AC43" s="690"/>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4" t="s">
        <v>1798</v>
      </c>
      <c r="B51" s="690"/>
      <c r="C51" s="695"/>
      <c r="D51" s="695"/>
      <c r="E51" s="695"/>
      <c r="F51" s="696"/>
      <c r="G51" s="696"/>
      <c r="H51" s="695"/>
      <c r="I51" s="695"/>
      <c r="J51" s="695"/>
      <c r="K51" s="938"/>
      <c r="L51" s="939"/>
      <c r="M51" s="937"/>
      <c r="N51" s="937"/>
      <c r="O51" s="937"/>
      <c r="P51" s="452"/>
      <c r="Q51" s="453"/>
    </row>
    <row r="52" spans="1:17" s="457" customFormat="1" ht="15">
      <c r="A52" s="454" t="s">
        <v>1679</v>
      </c>
      <c r="B52" s="455"/>
      <c r="C52" s="1180" t="str">
        <f>YEAR(C7)&amp;"-"&amp;MONTH(C7)</f>
        <v>2024-4</v>
      </c>
      <c r="D52" s="1181">
        <f>EDATE(C52,-1)</f>
        <v>45352</v>
      </c>
      <c r="E52" s="1181">
        <f t="shared" ref="E52:O52" si="16">EDATE(D52,-1)</f>
        <v>45323</v>
      </c>
      <c r="F52" s="1181">
        <f t="shared" si="16"/>
        <v>45292</v>
      </c>
      <c r="G52" s="1181">
        <f t="shared" si="16"/>
        <v>45261</v>
      </c>
      <c r="H52" s="1181">
        <f t="shared" si="16"/>
        <v>45231</v>
      </c>
      <c r="I52" s="1181">
        <f t="shared" si="16"/>
        <v>45200</v>
      </c>
      <c r="J52" s="1181">
        <f t="shared" si="16"/>
        <v>45170</v>
      </c>
      <c r="K52" s="1181">
        <f t="shared" si="16"/>
        <v>45139</v>
      </c>
      <c r="L52" s="1181">
        <f t="shared" si="16"/>
        <v>45108</v>
      </c>
      <c r="M52" s="1181">
        <f t="shared" si="16"/>
        <v>45078</v>
      </c>
      <c r="N52" s="1181">
        <f t="shared" si="16"/>
        <v>45047</v>
      </c>
      <c r="O52" s="1181">
        <f t="shared" si="16"/>
        <v>45017</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估价对象为房地产，为所有。根据《国有土地使用证》[]，估价对象（分摊）出让国有建设用地使用权面积为3258.72平方米，建筑面积为10935.99平方米。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估价对象为房地产,属开发建设的，该项目尚在开发建设中。根据《国有土地使用证》[]，估价对象（分摊）出让国有建设用地使用权面积为3258.72平方米，规划建筑面积为10935.99平方米。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2024年4月29日（评估专业人员实地查勘之日）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3328</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1162"/>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1"/>
      <c r="M4" s="2712"/>
      <c r="N4" s="2712"/>
      <c r="O4" s="2712"/>
      <c r="P4" s="3698" t="s">
        <v>1775</v>
      </c>
      <c r="Q4" s="3699"/>
      <c r="R4" s="3681" t="s">
        <v>1771</v>
      </c>
      <c r="S4" s="3682"/>
      <c r="T4" s="3681" t="s">
        <v>1772</v>
      </c>
      <c r="U4" s="3682"/>
      <c r="V4" s="3706" t="s">
        <v>1773</v>
      </c>
      <c r="W4" s="3706"/>
      <c r="X4" s="1351"/>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1"/>
      <c r="M5" s="2712"/>
      <c r="N5" s="2712"/>
      <c r="O5" s="2712"/>
      <c r="P5" s="3700"/>
      <c r="Q5" s="3701"/>
      <c r="R5" s="3683"/>
      <c r="S5" s="3684"/>
      <c r="T5" s="3683"/>
      <c r="U5" s="3684"/>
      <c r="V5" s="3706"/>
      <c r="W5" s="3706"/>
      <c r="X5" s="1351"/>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1"/>
      <c r="M6" s="2712"/>
      <c r="N6" s="2712"/>
      <c r="O6" s="2712"/>
      <c r="P6" s="3702"/>
      <c r="Q6" s="3703"/>
      <c r="R6" s="3683"/>
      <c r="S6" s="3684"/>
      <c r="T6" s="3704"/>
      <c r="U6" s="3705"/>
      <c r="V6" s="3706"/>
      <c r="W6" s="3706"/>
      <c r="X6" s="1351"/>
      <c r="Y6" s="3704"/>
      <c r="Z6" s="3705"/>
      <c r="AA6" s="3678"/>
      <c r="AB6" s="3678"/>
      <c r="AC6" s="3678"/>
    </row>
    <row r="7" spans="1:29" s="108" customFormat="1" ht="15.75" thickBot="1">
      <c r="A7" s="362" t="s">
        <v>1679</v>
      </c>
      <c r="B7" s="363"/>
      <c r="C7" s="364">
        <f>'数据-取费表'!B2</f>
        <v>45411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79" t="s">
        <v>1680</v>
      </c>
      <c r="Q7" s="3707"/>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79" t="s">
        <v>1683</v>
      </c>
      <c r="Q8" s="3680"/>
      <c r="R8" s="701" t="s">
        <v>14</v>
      </c>
      <c r="S8" s="702">
        <f t="shared" si="0"/>
        <v>100</v>
      </c>
      <c r="T8" s="701" t="s">
        <v>14</v>
      </c>
      <c r="U8" s="702">
        <f t="shared" si="1"/>
        <v>100</v>
      </c>
      <c r="V8" s="701" t="s">
        <v>14</v>
      </c>
      <c r="W8" s="702">
        <f t="shared" si="2"/>
        <v>100</v>
      </c>
      <c r="X8" s="703"/>
      <c r="Y8" s="3679" t="s">
        <v>1683</v>
      </c>
      <c r="Z8" s="368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1" t="s">
        <v>1686</v>
      </c>
      <c r="Q9" s="1339"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5"/>
      <c r="M10" s="2716"/>
      <c r="N10" s="2716"/>
      <c r="O10" s="2716"/>
      <c r="P10" s="3711"/>
      <c r="Q10" s="1339"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1"/>
      <c r="Q11" s="1339">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1"/>
      <c r="Q12" s="1339">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1"/>
      <c r="Q13" s="1339">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
      <c r="A14" s="355" t="s">
        <v>1690</v>
      </c>
      <c r="B14" s="577" t="s">
        <v>1833</v>
      </c>
      <c r="C14" s="1967">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3" t="s">
        <v>1691</v>
      </c>
      <c r="Q14" s="1348" t="str">
        <f t="shared" si="6"/>
        <v>交通便捷度</v>
      </c>
      <c r="R14" s="705" t="s">
        <v>14</v>
      </c>
      <c r="S14" s="706">
        <f t="shared" si="0"/>
        <v>100</v>
      </c>
      <c r="T14" s="705" t="s">
        <v>14</v>
      </c>
      <c r="U14" s="706">
        <f t="shared" si="1"/>
        <v>100</v>
      </c>
      <c r="V14" s="705" t="s">
        <v>14</v>
      </c>
      <c r="W14" s="706">
        <f t="shared" si="2"/>
        <v>100</v>
      </c>
      <c r="X14" s="1351"/>
      <c r="Y14" s="3713"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14"/>
      <c r="Q15" s="1348"/>
      <c r="R15" s="705"/>
      <c r="S15" s="706"/>
      <c r="T15" s="705"/>
      <c r="U15" s="706"/>
      <c r="V15" s="705"/>
      <c r="W15" s="706"/>
      <c r="X15" s="1351"/>
      <c r="Y15" s="3714"/>
      <c r="Z15" s="1352"/>
      <c r="AA15" s="1349">
        <v>1</v>
      </c>
      <c r="AB15" s="1349">
        <v>1</v>
      </c>
      <c r="AC15" s="1349">
        <v>1</v>
      </c>
    </row>
    <row r="16" spans="1:29" ht="15">
      <c r="A16" s="358"/>
      <c r="B16" s="579" t="s">
        <v>1812</v>
      </c>
      <c r="C16" s="1896">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14"/>
      <c r="Q16" s="1348" t="str">
        <f>B16</f>
        <v>公共配套设施</v>
      </c>
      <c r="R16" s="705" t="s">
        <v>14</v>
      </c>
      <c r="S16" s="706">
        <f>F16</f>
        <v>100</v>
      </c>
      <c r="T16" s="705" t="s">
        <v>14</v>
      </c>
      <c r="U16" s="706">
        <f>H16</f>
        <v>100</v>
      </c>
      <c r="V16" s="705" t="s">
        <v>14</v>
      </c>
      <c r="W16" s="706">
        <f>J16</f>
        <v>100</v>
      </c>
      <c r="X16" s="1351"/>
      <c r="Y16" s="3714"/>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14"/>
      <c r="Q17" s="1348"/>
      <c r="R17" s="705"/>
      <c r="S17" s="706"/>
      <c r="T17" s="705"/>
      <c r="U17" s="706"/>
      <c r="V17" s="705"/>
      <c r="W17" s="706"/>
      <c r="X17" s="1351"/>
      <c r="Y17" s="3714"/>
      <c r="Z17" s="1352"/>
      <c r="AA17" s="1349">
        <v>1</v>
      </c>
      <c r="AB17" s="1349">
        <v>1</v>
      </c>
      <c r="AC17" s="1349">
        <v>1</v>
      </c>
    </row>
    <row r="18" spans="1:29" ht="15">
      <c r="A18" s="358"/>
      <c r="B18" s="581" t="s">
        <v>1813</v>
      </c>
      <c r="C18" s="1896">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14"/>
      <c r="Q18" s="1348" t="str">
        <f>B18</f>
        <v>基础设施水平</v>
      </c>
      <c r="R18" s="705" t="s">
        <v>14</v>
      </c>
      <c r="S18" s="706">
        <f>F18</f>
        <v>100</v>
      </c>
      <c r="T18" s="705" t="s">
        <v>14</v>
      </c>
      <c r="U18" s="706">
        <f>H18</f>
        <v>100</v>
      </c>
      <c r="V18" s="705" t="s">
        <v>14</v>
      </c>
      <c r="W18" s="706">
        <f>J18</f>
        <v>100</v>
      </c>
      <c r="X18" s="1351"/>
      <c r="Y18" s="3714"/>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14"/>
      <c r="Q19" s="1348"/>
      <c r="R19" s="705"/>
      <c r="S19" s="706"/>
      <c r="T19" s="705"/>
      <c r="U19" s="706"/>
      <c r="V19" s="705"/>
      <c r="W19" s="706"/>
      <c r="X19" s="1351"/>
      <c r="Y19" s="3714"/>
      <c r="Z19" s="1352"/>
      <c r="AA19" s="1349">
        <v>1</v>
      </c>
      <c r="AB19" s="1349">
        <v>1</v>
      </c>
      <c r="AC19" s="1349">
        <v>1</v>
      </c>
    </row>
    <row r="20" spans="1:29" ht="15">
      <c r="A20" s="358"/>
      <c r="B20" s="579" t="s">
        <v>1834</v>
      </c>
      <c r="C20" s="1896">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14"/>
      <c r="Q20" s="1348" t="str">
        <f>B20</f>
        <v>自然及人文环境</v>
      </c>
      <c r="R20" s="705" t="s">
        <v>14</v>
      </c>
      <c r="S20" s="706">
        <f>F20</f>
        <v>100</v>
      </c>
      <c r="T20" s="705" t="s">
        <v>14</v>
      </c>
      <c r="U20" s="706">
        <f>H20</f>
        <v>100</v>
      </c>
      <c r="V20" s="705" t="s">
        <v>14</v>
      </c>
      <c r="W20" s="706">
        <f>J20</f>
        <v>100</v>
      </c>
      <c r="X20" s="1351"/>
      <c r="Y20" s="3714"/>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14"/>
      <c r="Q21" s="1348"/>
      <c r="R21" s="705"/>
      <c r="S21" s="706"/>
      <c r="T21" s="705"/>
      <c r="U21" s="706"/>
      <c r="V21" s="705"/>
      <c r="W21" s="706"/>
      <c r="X21" s="1351"/>
      <c r="Y21" s="3714"/>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14"/>
      <c r="Q22" s="1348" t="str">
        <f>B22</f>
        <v>楼层</v>
      </c>
      <c r="R22" s="705" t="s">
        <v>14</v>
      </c>
      <c r="S22" s="706">
        <f>F22</f>
        <v>100</v>
      </c>
      <c r="T22" s="705" t="s">
        <v>14</v>
      </c>
      <c r="U22" s="706">
        <f>H22</f>
        <v>100</v>
      </c>
      <c r="V22" s="705" t="s">
        <v>14</v>
      </c>
      <c r="W22" s="706">
        <f>J22</f>
        <v>100</v>
      </c>
      <c r="X22" s="1351"/>
      <c r="Y22" s="3714"/>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14"/>
      <c r="Q23" s="1348">
        <f>B23</f>
        <v>111</v>
      </c>
      <c r="R23" s="705" t="s">
        <v>14</v>
      </c>
      <c r="S23" s="706">
        <f>F23</f>
        <v>100</v>
      </c>
      <c r="T23" s="705" t="s">
        <v>14</v>
      </c>
      <c r="U23" s="706">
        <f>H23</f>
        <v>100</v>
      </c>
      <c r="V23" s="705" t="s">
        <v>14</v>
      </c>
      <c r="W23" s="706">
        <f>J23</f>
        <v>100</v>
      </c>
      <c r="X23" s="1351"/>
      <c r="Y23" s="3714"/>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14"/>
      <c r="Q24" s="1348">
        <f t="shared" ref="Q24:Q36" si="11">B24</f>
        <v>111</v>
      </c>
      <c r="R24" s="705" t="s">
        <v>14</v>
      </c>
      <c r="S24" s="706">
        <f>F24</f>
        <v>100</v>
      </c>
      <c r="T24" s="705" t="s">
        <v>14</v>
      </c>
      <c r="U24" s="706">
        <f>H24</f>
        <v>100</v>
      </c>
      <c r="V24" s="705" t="s">
        <v>14</v>
      </c>
      <c r="W24" s="706">
        <f>J24</f>
        <v>100</v>
      </c>
      <c r="X24" s="1351"/>
      <c r="Y24" s="3714"/>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14"/>
      <c r="Q25" s="1339">
        <f t="shared" si="11"/>
        <v>111</v>
      </c>
      <c r="R25" s="701" t="s">
        <v>14</v>
      </c>
      <c r="S25" s="702">
        <f>F25</f>
        <v>100</v>
      </c>
      <c r="T25" s="701" t="s">
        <v>14</v>
      </c>
      <c r="U25" s="702">
        <f>H25</f>
        <v>100</v>
      </c>
      <c r="V25" s="701" t="s">
        <v>14</v>
      </c>
      <c r="W25" s="702">
        <f>J25</f>
        <v>100</v>
      </c>
      <c r="X25" s="703"/>
      <c r="Y25" s="3714"/>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37" t="s">
        <v>1696</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18"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8"/>
      <c r="Q28" s="1348" t="str">
        <f t="shared" si="11"/>
        <v>公共部分装修</v>
      </c>
      <c r="R28" s="705" t="s">
        <v>14</v>
      </c>
      <c r="S28" s="706">
        <f t="shared" si="12"/>
        <v>100</v>
      </c>
      <c r="T28" s="705" t="s">
        <v>14</v>
      </c>
      <c r="U28" s="706">
        <f t="shared" si="13"/>
        <v>100</v>
      </c>
      <c r="V28" s="705" t="s">
        <v>14</v>
      </c>
      <c r="W28" s="706">
        <f t="shared" si="14"/>
        <v>100</v>
      </c>
      <c r="X28" s="1351"/>
      <c r="Y28" s="3718"/>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18"/>
      <c r="Q29" s="1348" t="str">
        <f t="shared" si="11"/>
        <v>成新率</v>
      </c>
      <c r="R29" s="705" t="s">
        <v>14</v>
      </c>
      <c r="S29" s="706" t="e">
        <f t="shared" si="12"/>
        <v>#N/A</v>
      </c>
      <c r="T29" s="705" t="s">
        <v>14</v>
      </c>
      <c r="U29" s="706" t="e">
        <f t="shared" si="13"/>
        <v>#N/A</v>
      </c>
      <c r="V29" s="705" t="s">
        <v>14</v>
      </c>
      <c r="W29" s="706" t="e">
        <f t="shared" si="14"/>
        <v>#N/A</v>
      </c>
      <c r="X29" s="1351"/>
      <c r="Y29" s="3718"/>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18"/>
      <c r="Q30" s="1348" t="str">
        <f t="shared" si="11"/>
        <v>物业等级</v>
      </c>
      <c r="R30" s="705" t="s">
        <v>14</v>
      </c>
      <c r="S30" s="706">
        <f t="shared" si="12"/>
        <v>100</v>
      </c>
      <c r="T30" s="705" t="s">
        <v>14</v>
      </c>
      <c r="U30" s="706">
        <f t="shared" si="13"/>
        <v>100</v>
      </c>
      <c r="V30" s="705" t="s">
        <v>14</v>
      </c>
      <c r="W30" s="706">
        <f t="shared" si="14"/>
        <v>100</v>
      </c>
      <c r="X30" s="1351"/>
      <c r="Y30" s="3718"/>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18"/>
      <c r="Q31" s="1339"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8" t="s">
        <v>1696</v>
      </c>
      <c r="Q32" s="1348" t="str">
        <f t="shared" si="11"/>
        <v>车位类型</v>
      </c>
      <c r="R32" s="705" t="s">
        <v>14</v>
      </c>
      <c r="S32" s="706">
        <f t="shared" si="12"/>
        <v>100</v>
      </c>
      <c r="T32" s="705" t="s">
        <v>14</v>
      </c>
      <c r="U32" s="706">
        <f t="shared" si="13"/>
        <v>100</v>
      </c>
      <c r="V32" s="705" t="s">
        <v>14</v>
      </c>
      <c r="W32" s="706">
        <f t="shared" si="14"/>
        <v>100</v>
      </c>
      <c r="X32" s="1351"/>
      <c r="Y32" s="3718"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8"/>
      <c r="Q33" s="1348" t="str">
        <f t="shared" si="11"/>
        <v>是否直接入户</v>
      </c>
      <c r="R33" s="705" t="s">
        <v>14</v>
      </c>
      <c r="S33" s="706">
        <f t="shared" si="12"/>
        <v>100</v>
      </c>
      <c r="T33" s="705" t="s">
        <v>14</v>
      </c>
      <c r="U33" s="706">
        <f t="shared" si="13"/>
        <v>100</v>
      </c>
      <c r="V33" s="705" t="s">
        <v>14</v>
      </c>
      <c r="W33" s="706">
        <f t="shared" si="14"/>
        <v>100</v>
      </c>
      <c r="X33" s="1351"/>
      <c r="Y33" s="3718"/>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8"/>
      <c r="Q34" s="1348">
        <f t="shared" si="11"/>
        <v>111</v>
      </c>
      <c r="R34" s="705" t="s">
        <v>14</v>
      </c>
      <c r="S34" s="706">
        <f t="shared" si="12"/>
        <v>100</v>
      </c>
      <c r="T34" s="705" t="s">
        <v>14</v>
      </c>
      <c r="U34" s="706">
        <f t="shared" si="13"/>
        <v>100</v>
      </c>
      <c r="V34" s="705" t="s">
        <v>14</v>
      </c>
      <c r="W34" s="706">
        <f t="shared" si="14"/>
        <v>100</v>
      </c>
      <c r="X34" s="1351"/>
      <c r="Y34" s="3718"/>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8"/>
      <c r="Q36" s="1348">
        <f t="shared" si="11"/>
        <v>111</v>
      </c>
      <c r="R36" s="705" t="s">
        <v>14</v>
      </c>
      <c r="S36" s="706">
        <f t="shared" si="12"/>
        <v>100</v>
      </c>
      <c r="T36" s="705" t="s">
        <v>14</v>
      </c>
      <c r="U36" s="706">
        <f t="shared" si="13"/>
        <v>100</v>
      </c>
      <c r="V36" s="705" t="s">
        <v>14</v>
      </c>
      <c r="W36" s="706">
        <f t="shared" si="14"/>
        <v>100</v>
      </c>
      <c r="X36" s="1351"/>
      <c r="Y36" s="3718"/>
      <c r="Z36" s="1352">
        <f t="shared" si="15"/>
        <v>111</v>
      </c>
      <c r="AA36" s="1349">
        <f t="shared" si="3"/>
        <v>1</v>
      </c>
      <c r="AB36" s="1349">
        <f t="shared" si="4"/>
        <v>1</v>
      </c>
      <c r="AC36" s="1349">
        <f t="shared" si="5"/>
        <v>1</v>
      </c>
    </row>
    <row r="37" spans="1:29" ht="15">
      <c r="A37" s="430" t="s">
        <v>1844</v>
      </c>
      <c r="B37" s="1969" t="s">
        <v>3348</v>
      </c>
      <c r="C37" s="1151" t="s">
        <v>0</v>
      </c>
      <c r="D37" s="1152"/>
      <c r="E37" s="1153"/>
      <c r="F37" s="1154"/>
      <c r="G37" s="1155"/>
      <c r="H37" s="1156"/>
      <c r="I37" s="1153"/>
      <c r="J37" s="1156"/>
      <c r="K37" s="568"/>
      <c r="L37" s="2720"/>
      <c r="M37" s="2721"/>
      <c r="N37" s="2712"/>
      <c r="O37" s="2721"/>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1845</v>
      </c>
      <c r="B38" s="438" t="str">
        <f>B37</f>
        <v>元/平方米</v>
      </c>
      <c r="C38" s="1157" t="e">
        <f>R39</f>
        <v>#DIV/0!</v>
      </c>
      <c r="D38" s="2313" t="s">
        <v>2138</v>
      </c>
      <c r="E38" s="1158" t="e">
        <f>R38</f>
        <v>#DIV/0!</v>
      </c>
      <c r="F38" s="2314"/>
      <c r="G38" s="1157" t="e">
        <f>T38</f>
        <v>#DIV/0!</v>
      </c>
      <c r="H38" s="2314"/>
      <c r="I38" s="1158" t="e">
        <f>V38</f>
        <v>#DIV/0!</v>
      </c>
      <c r="J38" s="2314"/>
      <c r="K38" s="2316">
        <f>F38+H38+J38</f>
        <v>0</v>
      </c>
      <c r="L38" s="2720"/>
      <c r="M38" s="2721"/>
      <c r="N38" s="2721"/>
      <c r="O38" s="2721"/>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1846</v>
      </c>
      <c r="B39" s="442"/>
      <c r="C39" s="1160" t="e">
        <f>R39</f>
        <v>#DIV/0!</v>
      </c>
      <c r="D39" s="1160"/>
      <c r="E39" s="1160"/>
      <c r="F39" s="1160"/>
      <c r="G39" s="1160"/>
      <c r="H39" s="1160"/>
      <c r="I39" s="1160"/>
      <c r="J39" s="1160"/>
      <c r="K39" s="569"/>
      <c r="L39" s="2720"/>
      <c r="M39" s="2721"/>
      <c r="N39" s="2721"/>
      <c r="O39" s="2721"/>
      <c r="P39" s="3708" t="str">
        <f>A39</f>
        <v>估价对象XX用房的比较价值（楼面单价，元/平方米）</v>
      </c>
      <c r="Q39" s="3709"/>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0" t="str">
        <f>YEAR(C7)&amp;"-"&amp;MONTH(C7)</f>
        <v>2024-4</v>
      </c>
      <c r="D48" s="1181">
        <f>EDATE(C48,-1)</f>
        <v>45352</v>
      </c>
      <c r="E48" s="1181">
        <f t="shared" ref="E48:O48" si="16">EDATE(D48,-1)</f>
        <v>45323</v>
      </c>
      <c r="F48" s="1181">
        <f t="shared" si="16"/>
        <v>45292</v>
      </c>
      <c r="G48" s="1181">
        <f t="shared" si="16"/>
        <v>45261</v>
      </c>
      <c r="H48" s="1181">
        <f t="shared" si="16"/>
        <v>45231</v>
      </c>
      <c r="I48" s="1181">
        <f t="shared" si="16"/>
        <v>45200</v>
      </c>
      <c r="J48" s="1181">
        <f t="shared" si="16"/>
        <v>45170</v>
      </c>
      <c r="K48" s="1181">
        <f t="shared" si="16"/>
        <v>45139</v>
      </c>
      <c r="L48" s="1181">
        <f t="shared" si="16"/>
        <v>45108</v>
      </c>
      <c r="M48" s="1181">
        <f t="shared" si="16"/>
        <v>45078</v>
      </c>
      <c r="N48" s="1181">
        <f t="shared" si="16"/>
        <v>45047</v>
      </c>
      <c r="O48" s="1181">
        <f t="shared" si="16"/>
        <v>45017</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3329</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1"/>
      <c r="M4" s="2712"/>
      <c r="N4" s="2712"/>
      <c r="O4" s="2712"/>
      <c r="P4" s="3698" t="s">
        <v>1775</v>
      </c>
      <c r="Q4" s="3699"/>
      <c r="R4" s="3681" t="s">
        <v>1771</v>
      </c>
      <c r="S4" s="3682"/>
      <c r="T4" s="3681" t="s">
        <v>1772</v>
      </c>
      <c r="U4" s="3682"/>
      <c r="V4" s="3706" t="s">
        <v>1773</v>
      </c>
      <c r="W4" s="3706"/>
      <c r="X4" s="1351"/>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1"/>
      <c r="M5" s="2712"/>
      <c r="N5" s="2712"/>
      <c r="O5" s="2712"/>
      <c r="P5" s="3700"/>
      <c r="Q5" s="3701"/>
      <c r="R5" s="3683"/>
      <c r="S5" s="3684"/>
      <c r="T5" s="3683"/>
      <c r="U5" s="3684"/>
      <c r="V5" s="3706"/>
      <c r="W5" s="3706"/>
      <c r="X5" s="1351"/>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1"/>
      <c r="M6" s="2712"/>
      <c r="N6" s="2712"/>
      <c r="O6" s="2712"/>
      <c r="P6" s="3702"/>
      <c r="Q6" s="3703"/>
      <c r="R6" s="3683"/>
      <c r="S6" s="3684"/>
      <c r="T6" s="3704"/>
      <c r="U6" s="3705"/>
      <c r="V6" s="3706"/>
      <c r="W6" s="3706"/>
      <c r="X6" s="1351"/>
      <c r="Y6" s="3704"/>
      <c r="Z6" s="3705"/>
      <c r="AA6" s="3678"/>
      <c r="AB6" s="3678"/>
      <c r="AC6" s="3678"/>
    </row>
    <row r="7" spans="1:29" s="108" customFormat="1" ht="15.75" thickBot="1">
      <c r="A7" s="362" t="s">
        <v>1679</v>
      </c>
      <c r="B7" s="363"/>
      <c r="C7" s="364">
        <f>'数据-取费表'!B2</f>
        <v>45411</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679" t="s">
        <v>1680</v>
      </c>
      <c r="Q7" s="3707"/>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79" t="s">
        <v>1683</v>
      </c>
      <c r="Q8" s="3680"/>
      <c r="R8" s="701" t="s">
        <v>14</v>
      </c>
      <c r="S8" s="702">
        <f t="shared" si="0"/>
        <v>100</v>
      </c>
      <c r="T8" s="701" t="s">
        <v>14</v>
      </c>
      <c r="U8" s="702">
        <f t="shared" si="1"/>
        <v>100</v>
      </c>
      <c r="V8" s="701" t="s">
        <v>14</v>
      </c>
      <c r="W8" s="702">
        <f t="shared" si="2"/>
        <v>100</v>
      </c>
      <c r="X8" s="703"/>
      <c r="Y8" s="3679" t="s">
        <v>1683</v>
      </c>
      <c r="Z8" s="368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1" t="s">
        <v>1686</v>
      </c>
      <c r="Q9" s="1339"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5"/>
      <c r="M10" s="2716"/>
      <c r="N10" s="2716"/>
      <c r="O10" s="2769"/>
      <c r="P10" s="3711"/>
      <c r="Q10" s="1339"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1"/>
      <c r="Q11" s="1339">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1"/>
      <c r="Q12" s="1339">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1"/>
      <c r="Q13" s="1339">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
      <c r="A14" s="391" t="s">
        <v>1690</v>
      </c>
      <c r="B14" s="61" t="s">
        <v>1833</v>
      </c>
      <c r="C14" s="1967">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3" t="s">
        <v>1691</v>
      </c>
      <c r="Q14" s="1348" t="str">
        <f t="shared" si="6"/>
        <v>交通便捷度</v>
      </c>
      <c r="R14" s="705" t="s">
        <v>14</v>
      </c>
      <c r="S14" s="706">
        <f t="shared" si="0"/>
        <v>100</v>
      </c>
      <c r="T14" s="705" t="s">
        <v>14</v>
      </c>
      <c r="U14" s="706">
        <f t="shared" si="1"/>
        <v>100</v>
      </c>
      <c r="V14" s="705" t="s">
        <v>14</v>
      </c>
      <c r="W14" s="706">
        <f t="shared" si="2"/>
        <v>100</v>
      </c>
      <c r="X14" s="1351"/>
      <c r="Y14" s="3713"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14"/>
      <c r="Q15" s="1348"/>
      <c r="R15" s="705"/>
      <c r="S15" s="706"/>
      <c r="T15" s="705"/>
      <c r="U15" s="706"/>
      <c r="V15" s="705"/>
      <c r="W15" s="706"/>
      <c r="X15" s="1351"/>
      <c r="Y15" s="3714"/>
      <c r="Z15" s="1352"/>
      <c r="AA15" s="1349">
        <v>1</v>
      </c>
      <c r="AB15" s="1349">
        <v>1</v>
      </c>
      <c r="AC15" s="1349">
        <v>1</v>
      </c>
    </row>
    <row r="16" spans="1:29" ht="15">
      <c r="A16" s="379"/>
      <c r="B16" s="402" t="s">
        <v>1812</v>
      </c>
      <c r="C16" s="1896">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14"/>
      <c r="Q16" s="1348" t="str">
        <f>B16</f>
        <v>公共配套设施</v>
      </c>
      <c r="R16" s="705" t="s">
        <v>14</v>
      </c>
      <c r="S16" s="706">
        <f>F16</f>
        <v>100</v>
      </c>
      <c r="T16" s="705" t="s">
        <v>14</v>
      </c>
      <c r="U16" s="706">
        <f>H16</f>
        <v>100</v>
      </c>
      <c r="V16" s="705" t="s">
        <v>14</v>
      </c>
      <c r="W16" s="706">
        <f>J16</f>
        <v>100</v>
      </c>
      <c r="X16" s="1351"/>
      <c r="Y16" s="3714"/>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14"/>
      <c r="Q17" s="1348"/>
      <c r="R17" s="705"/>
      <c r="S17" s="706"/>
      <c r="T17" s="705"/>
      <c r="U17" s="706"/>
      <c r="V17" s="705"/>
      <c r="W17" s="706"/>
      <c r="X17" s="1351"/>
      <c r="Y17" s="3714"/>
      <c r="Z17" s="1352"/>
      <c r="AA17" s="1349">
        <v>1</v>
      </c>
      <c r="AB17" s="1349">
        <v>1</v>
      </c>
      <c r="AC17" s="1349">
        <v>1</v>
      </c>
    </row>
    <row r="18" spans="1:29" ht="15">
      <c r="A18" s="379"/>
      <c r="B18" s="1128" t="s">
        <v>1813</v>
      </c>
      <c r="C18" s="1896">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14"/>
      <c r="Q18" s="1348" t="str">
        <f>B18</f>
        <v>基础设施水平</v>
      </c>
      <c r="R18" s="705" t="s">
        <v>14</v>
      </c>
      <c r="S18" s="706">
        <f>F18</f>
        <v>100</v>
      </c>
      <c r="T18" s="705" t="s">
        <v>14</v>
      </c>
      <c r="U18" s="706">
        <f>H18</f>
        <v>100</v>
      </c>
      <c r="V18" s="705" t="s">
        <v>14</v>
      </c>
      <c r="W18" s="706">
        <f>J18</f>
        <v>100</v>
      </c>
      <c r="X18" s="1351"/>
      <c r="Y18" s="3714"/>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14"/>
      <c r="Q19" s="1348"/>
      <c r="R19" s="705"/>
      <c r="S19" s="706"/>
      <c r="T19" s="705"/>
      <c r="U19" s="706"/>
      <c r="V19" s="705"/>
      <c r="W19" s="706"/>
      <c r="X19" s="1351"/>
      <c r="Y19" s="3714"/>
      <c r="Z19" s="1352"/>
      <c r="AA19" s="1349">
        <v>1</v>
      </c>
      <c r="AB19" s="1349">
        <v>1</v>
      </c>
      <c r="AC19" s="1349">
        <v>1</v>
      </c>
    </row>
    <row r="20" spans="1:29" ht="15">
      <c r="A20" s="379"/>
      <c r="B20" s="402" t="s">
        <v>1834</v>
      </c>
      <c r="C20" s="1896">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14"/>
      <c r="Q20" s="1348" t="str">
        <f>B20</f>
        <v>自然及人文环境</v>
      </c>
      <c r="R20" s="705" t="s">
        <v>14</v>
      </c>
      <c r="S20" s="706">
        <f>F20</f>
        <v>100</v>
      </c>
      <c r="T20" s="705" t="s">
        <v>14</v>
      </c>
      <c r="U20" s="706">
        <f>H20</f>
        <v>100</v>
      </c>
      <c r="V20" s="705" t="s">
        <v>14</v>
      </c>
      <c r="W20" s="706">
        <f>J20</f>
        <v>100</v>
      </c>
      <c r="X20" s="1351"/>
      <c r="Y20" s="3714"/>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14"/>
      <c r="Q21" s="1348"/>
      <c r="R21" s="705"/>
      <c r="S21" s="706"/>
      <c r="T21" s="705"/>
      <c r="U21" s="706"/>
      <c r="V21" s="705"/>
      <c r="W21" s="706"/>
      <c r="X21" s="1351"/>
      <c r="Y21" s="3714"/>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14"/>
      <c r="Q22" s="1348" t="str">
        <f>B22</f>
        <v>楼层</v>
      </c>
      <c r="R22" s="705" t="s">
        <v>14</v>
      </c>
      <c r="S22" s="706">
        <f>F22</f>
        <v>100</v>
      </c>
      <c r="T22" s="705" t="s">
        <v>14</v>
      </c>
      <c r="U22" s="706">
        <f>H22</f>
        <v>100</v>
      </c>
      <c r="V22" s="705" t="s">
        <v>14</v>
      </c>
      <c r="W22" s="706">
        <f>J22</f>
        <v>100</v>
      </c>
      <c r="X22" s="1351"/>
      <c r="Y22" s="3714"/>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14"/>
      <c r="Q23" s="1348">
        <f>B23</f>
        <v>111</v>
      </c>
      <c r="R23" s="705" t="s">
        <v>14</v>
      </c>
      <c r="S23" s="706">
        <f>F23</f>
        <v>100</v>
      </c>
      <c r="T23" s="705" t="s">
        <v>14</v>
      </c>
      <c r="U23" s="706">
        <f>H23</f>
        <v>100</v>
      </c>
      <c r="V23" s="705" t="s">
        <v>14</v>
      </c>
      <c r="W23" s="706">
        <f>J23</f>
        <v>100</v>
      </c>
      <c r="X23" s="1351"/>
      <c r="Y23" s="3714"/>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14"/>
      <c r="Q24" s="1348">
        <f t="shared" ref="Q24:Q34" si="11">B24</f>
        <v>111</v>
      </c>
      <c r="R24" s="705" t="s">
        <v>14</v>
      </c>
      <c r="S24" s="706">
        <f>F24</f>
        <v>100</v>
      </c>
      <c r="T24" s="705" t="s">
        <v>14</v>
      </c>
      <c r="U24" s="706">
        <f>H24</f>
        <v>100</v>
      </c>
      <c r="V24" s="705" t="s">
        <v>14</v>
      </c>
      <c r="W24" s="706">
        <f>J24</f>
        <v>100</v>
      </c>
      <c r="X24" s="1351"/>
      <c r="Y24" s="3714"/>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14"/>
      <c r="Q25" s="1339">
        <f t="shared" si="11"/>
        <v>111</v>
      </c>
      <c r="R25" s="701" t="s">
        <v>14</v>
      </c>
      <c r="S25" s="702">
        <f>F25</f>
        <v>100</v>
      </c>
      <c r="T25" s="701" t="s">
        <v>14</v>
      </c>
      <c r="U25" s="702">
        <f>H25</f>
        <v>100</v>
      </c>
      <c r="V25" s="701" t="s">
        <v>14</v>
      </c>
      <c r="W25" s="702">
        <f>J25</f>
        <v>100</v>
      </c>
      <c r="X25" s="703"/>
      <c r="Y25" s="3714"/>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37"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18"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18"/>
      <c r="Q28" s="1348" t="str">
        <f t="shared" si="11"/>
        <v>物业等级</v>
      </c>
      <c r="R28" s="705" t="s">
        <v>14</v>
      </c>
      <c r="S28" s="706">
        <f t="shared" si="12"/>
        <v>100</v>
      </c>
      <c r="T28" s="705" t="s">
        <v>14</v>
      </c>
      <c r="U28" s="706">
        <f t="shared" si="13"/>
        <v>100</v>
      </c>
      <c r="V28" s="705" t="s">
        <v>14</v>
      </c>
      <c r="W28" s="706">
        <f t="shared" si="14"/>
        <v>100</v>
      </c>
      <c r="X28" s="1351"/>
      <c r="Y28" s="3718"/>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18"/>
      <c r="Q29" s="1348" t="str">
        <f t="shared" si="11"/>
        <v>有无电梯</v>
      </c>
      <c r="R29" s="705" t="s">
        <v>14</v>
      </c>
      <c r="S29" s="706">
        <f t="shared" si="12"/>
        <v>100</v>
      </c>
      <c r="T29" s="705" t="s">
        <v>14</v>
      </c>
      <c r="U29" s="706">
        <f t="shared" si="13"/>
        <v>100</v>
      </c>
      <c r="V29" s="705" t="s">
        <v>14</v>
      </c>
      <c r="W29" s="706">
        <f t="shared" si="14"/>
        <v>100</v>
      </c>
      <c r="X29" s="1351"/>
      <c r="Y29" s="3718"/>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18"/>
      <c r="Q30" s="1348" t="str">
        <f t="shared" si="11"/>
        <v>建筑面积</v>
      </c>
      <c r="R30" s="705" t="s">
        <v>14</v>
      </c>
      <c r="S30" s="706" t="e">
        <f t="shared" si="12"/>
        <v>#N/A</v>
      </c>
      <c r="T30" s="705" t="s">
        <v>14</v>
      </c>
      <c r="U30" s="706" t="e">
        <f t="shared" si="13"/>
        <v>#N/A</v>
      </c>
      <c r="V30" s="705" t="s">
        <v>14</v>
      </c>
      <c r="W30" s="706" t="e">
        <f t="shared" si="14"/>
        <v>#N/A</v>
      </c>
      <c r="X30" s="1351"/>
      <c r="Y30" s="3718"/>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18"/>
      <c r="Q31" s="1339"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18" t="s">
        <v>1696</v>
      </c>
      <c r="Q32" s="1348">
        <f t="shared" si="11"/>
        <v>111</v>
      </c>
      <c r="R32" s="705" t="s">
        <v>14</v>
      </c>
      <c r="S32" s="706">
        <f t="shared" si="12"/>
        <v>100</v>
      </c>
      <c r="T32" s="705" t="s">
        <v>14</v>
      </c>
      <c r="U32" s="706">
        <f t="shared" si="13"/>
        <v>100</v>
      </c>
      <c r="V32" s="705" t="s">
        <v>14</v>
      </c>
      <c r="W32" s="706">
        <f t="shared" si="14"/>
        <v>100</v>
      </c>
      <c r="X32" s="1351"/>
      <c r="Y32" s="3718"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18"/>
      <c r="Q33" s="1348">
        <f t="shared" si="11"/>
        <v>111</v>
      </c>
      <c r="R33" s="705" t="s">
        <v>14</v>
      </c>
      <c r="S33" s="706">
        <f t="shared" si="12"/>
        <v>100</v>
      </c>
      <c r="T33" s="705" t="s">
        <v>14</v>
      </c>
      <c r="U33" s="706">
        <f t="shared" si="13"/>
        <v>100</v>
      </c>
      <c r="V33" s="705" t="s">
        <v>14</v>
      </c>
      <c r="W33" s="706">
        <f t="shared" si="14"/>
        <v>100</v>
      </c>
      <c r="X33" s="1351"/>
      <c r="Y33" s="3718"/>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18"/>
      <c r="Q34" s="1348">
        <f t="shared" si="11"/>
        <v>111</v>
      </c>
      <c r="R34" s="705" t="s">
        <v>14</v>
      </c>
      <c r="S34" s="706">
        <f t="shared" si="12"/>
        <v>100</v>
      </c>
      <c r="T34" s="705" t="s">
        <v>14</v>
      </c>
      <c r="U34" s="706">
        <f t="shared" si="13"/>
        <v>100</v>
      </c>
      <c r="V34" s="705" t="s">
        <v>14</v>
      </c>
      <c r="W34" s="706">
        <f t="shared" si="14"/>
        <v>100</v>
      </c>
      <c r="X34" s="1351"/>
      <c r="Y34" s="3718"/>
      <c r="Z34" s="1352">
        <f t="shared" si="15"/>
        <v>111</v>
      </c>
      <c r="AA34" s="1349">
        <f t="shared" si="3"/>
        <v>1</v>
      </c>
      <c r="AB34" s="1349">
        <f t="shared" si="4"/>
        <v>1</v>
      </c>
      <c r="AC34" s="1349">
        <f t="shared" si="5"/>
        <v>1</v>
      </c>
    </row>
    <row r="35" spans="1:30" ht="15">
      <c r="A35" s="430" t="s">
        <v>1708</v>
      </c>
      <c r="B35" s="431"/>
      <c r="C35" s="1151" t="s">
        <v>0</v>
      </c>
      <c r="D35" s="1152"/>
      <c r="E35" s="1153"/>
      <c r="F35" s="1154"/>
      <c r="G35" s="1155"/>
      <c r="H35" s="1156"/>
      <c r="I35" s="1153"/>
      <c r="J35" s="1156"/>
      <c r="K35" s="714"/>
      <c r="L35" s="2720"/>
      <c r="M35" s="2721"/>
      <c r="N35" s="2712"/>
      <c r="O35" s="2721"/>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1793</v>
      </c>
      <c r="B36" s="438"/>
      <c r="C36" s="1157" t="e">
        <f>R37</f>
        <v>#DIV/0!</v>
      </c>
      <c r="D36" s="2313" t="s">
        <v>2138</v>
      </c>
      <c r="E36" s="1158" t="e">
        <f>R36</f>
        <v>#DIV/0!</v>
      </c>
      <c r="F36" s="2314"/>
      <c r="G36" s="1157" t="e">
        <f>T36</f>
        <v>#DIV/0!</v>
      </c>
      <c r="H36" s="2314"/>
      <c r="I36" s="1158" t="e">
        <f>V36</f>
        <v>#DIV/0!</v>
      </c>
      <c r="J36" s="2314"/>
      <c r="K36" s="2316">
        <f>F36+H36+J36</f>
        <v>0</v>
      </c>
      <c r="L36" s="2720"/>
      <c r="M36" s="2721"/>
      <c r="N36" s="2712"/>
      <c r="O36" s="2721"/>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1794</v>
      </c>
      <c r="B37" s="442"/>
      <c r="C37" s="1160" t="e">
        <f>R37</f>
        <v>#DIV/0!</v>
      </c>
      <c r="D37" s="1160"/>
      <c r="E37" s="1160"/>
      <c r="F37" s="1160"/>
      <c r="G37" s="1160"/>
      <c r="H37" s="1160"/>
      <c r="I37" s="1160"/>
      <c r="J37" s="1160"/>
      <c r="K37" s="715"/>
      <c r="L37" s="2720"/>
      <c r="M37" s="2721"/>
      <c r="N37" s="2721"/>
      <c r="O37" s="2721"/>
      <c r="P37" s="3708" t="str">
        <f>A37</f>
        <v>估价对象XX用房的比较价值（楼面单价，元/平方米）</v>
      </c>
      <c r="Q37" s="3709"/>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0" t="str">
        <f>YEAR(C7)&amp;"-"&amp;MONTH(C7)</f>
        <v>2024-4</v>
      </c>
      <c r="D46" s="1181">
        <f>EDATE(C46,-1)</f>
        <v>45352</v>
      </c>
      <c r="E46" s="1181">
        <f t="shared" ref="E46:O46" si="16">EDATE(D46,-1)</f>
        <v>45323</v>
      </c>
      <c r="F46" s="1181">
        <f t="shared" si="16"/>
        <v>45292</v>
      </c>
      <c r="G46" s="1181">
        <f t="shared" si="16"/>
        <v>45261</v>
      </c>
      <c r="H46" s="1181">
        <f t="shared" si="16"/>
        <v>45231</v>
      </c>
      <c r="I46" s="1181">
        <f t="shared" si="16"/>
        <v>45200</v>
      </c>
      <c r="J46" s="1181">
        <f t="shared" si="16"/>
        <v>45170</v>
      </c>
      <c r="K46" s="1181">
        <f t="shared" si="16"/>
        <v>45139</v>
      </c>
      <c r="L46" s="1181">
        <f t="shared" si="16"/>
        <v>45108</v>
      </c>
      <c r="M46" s="1181">
        <f t="shared" si="16"/>
        <v>45078</v>
      </c>
      <c r="N46" s="1181">
        <f t="shared" si="16"/>
        <v>45047</v>
      </c>
      <c r="O46" s="1181">
        <f t="shared" si="16"/>
        <v>45017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workbookViewId="0">
      <pane xSplit="1" topLeftCell="B1" activePane="topRight" state="frozen"/>
      <selection pane="topRight" activeCell="D38" sqref="D38"/>
    </sheetView>
  </sheetViews>
  <sheetFormatPr defaultRowHeight="12"/>
  <cols>
    <col min="1" max="1" width="26" style="3461" customWidth="1"/>
    <col min="2" max="2" width="20" style="3461" customWidth="1"/>
    <col min="3" max="3" width="14" style="3461" customWidth="1"/>
    <col min="4" max="4" width="12.375" style="3461" customWidth="1"/>
    <col min="5" max="5" width="12.625" style="3461" customWidth="1"/>
    <col min="6" max="6" width="20" style="3461" customWidth="1"/>
    <col min="7" max="7" width="9.875" style="3461" customWidth="1"/>
    <col min="8" max="9" width="20" style="3461" customWidth="1"/>
    <col min="10" max="11" width="20" style="3461" hidden="1" customWidth="1"/>
    <col min="12" max="12" width="11.75" style="3461" customWidth="1"/>
    <col min="13" max="13" width="13" style="3461" customWidth="1"/>
    <col min="14" max="14" width="8.875" style="3461" customWidth="1"/>
    <col min="15" max="15" width="10.875" style="3461" customWidth="1"/>
    <col min="16" max="16" width="10.5" style="3461" customWidth="1"/>
    <col min="17" max="17" width="11" style="3461" customWidth="1"/>
    <col min="18" max="18" width="10.875" style="3461" customWidth="1"/>
    <col min="19" max="19" width="8" style="3461" customWidth="1"/>
    <col min="20" max="20" width="7" style="3461" customWidth="1"/>
    <col min="21" max="21" width="99.375" style="3461" bestFit="1" customWidth="1"/>
    <col min="22" max="16384" width="9" style="3461"/>
  </cols>
  <sheetData>
    <row r="1" spans="1:21">
      <c r="A1" s="3739" t="s">
        <v>3581</v>
      </c>
      <c r="B1" s="3739" t="s">
        <v>3580</v>
      </c>
      <c r="C1" s="3739" t="s">
        <v>3579</v>
      </c>
      <c r="D1" s="3739" t="s">
        <v>3578</v>
      </c>
      <c r="E1" s="3739" t="s">
        <v>3577</v>
      </c>
      <c r="F1" s="3739" t="s">
        <v>3576</v>
      </c>
      <c r="G1" s="3739" t="s">
        <v>3575</v>
      </c>
      <c r="H1" s="3739" t="s">
        <v>3574</v>
      </c>
      <c r="I1" s="3739" t="s">
        <v>3573</v>
      </c>
      <c r="J1" s="3739" t="s">
        <v>3572</v>
      </c>
      <c r="K1" s="3739" t="s">
        <v>3571</v>
      </c>
      <c r="L1" s="3739" t="s">
        <v>3570</v>
      </c>
      <c r="M1" s="3739" t="s">
        <v>3569</v>
      </c>
      <c r="N1" s="3739" t="s">
        <v>3568</v>
      </c>
      <c r="O1" s="3739" t="s">
        <v>3567</v>
      </c>
      <c r="P1" s="3739" t="s">
        <v>3566</v>
      </c>
      <c r="Q1" s="3739" t="s">
        <v>3565</v>
      </c>
      <c r="R1" s="3739" t="s">
        <v>3564</v>
      </c>
      <c r="S1" s="3739" t="s">
        <v>3563</v>
      </c>
      <c r="T1" s="3739" t="s">
        <v>3562</v>
      </c>
      <c r="U1" s="3739" t="s">
        <v>3561</v>
      </c>
    </row>
    <row r="2" spans="1:21">
      <c r="A2" s="3739" t="s">
        <v>3560</v>
      </c>
      <c r="B2" s="3739" t="s">
        <v>3559</v>
      </c>
      <c r="C2" s="3739" t="s">
        <v>3414</v>
      </c>
      <c r="D2" s="3739">
        <v>37655.61</v>
      </c>
      <c r="E2" s="3739">
        <v>56108.97</v>
      </c>
      <c r="F2" s="3739" t="s">
        <v>3558</v>
      </c>
      <c r="G2" s="3739" t="s">
        <v>3412</v>
      </c>
      <c r="H2" s="3739" t="s">
        <v>3557</v>
      </c>
      <c r="I2" s="3739" t="s">
        <v>3556</v>
      </c>
      <c r="J2" s="3739" t="s">
        <v>3409</v>
      </c>
      <c r="K2" s="3739" t="s">
        <v>3408</v>
      </c>
      <c r="L2" s="3740">
        <v>45366.000497685185</v>
      </c>
      <c r="M2" s="3740">
        <v>45366.000497685185</v>
      </c>
      <c r="N2" s="3739" t="s">
        <v>3407</v>
      </c>
      <c r="O2" s="3739">
        <v>74000</v>
      </c>
      <c r="P2" s="3739">
        <v>15000</v>
      </c>
      <c r="Q2" s="3739">
        <v>74000</v>
      </c>
      <c r="R2" s="3739">
        <v>1310.1199999999999</v>
      </c>
      <c r="S2" s="3739">
        <v>13189</v>
      </c>
      <c r="T2" s="3739">
        <v>0</v>
      </c>
      <c r="U2" s="3739" t="s">
        <v>3555</v>
      </c>
    </row>
    <row r="3" spans="1:21">
      <c r="A3" s="3739" t="s">
        <v>3554</v>
      </c>
      <c r="B3" s="3739" t="s">
        <v>3553</v>
      </c>
      <c r="C3" s="3739" t="s">
        <v>3414</v>
      </c>
      <c r="D3" s="3739">
        <v>17446.77</v>
      </c>
      <c r="E3" s="3739">
        <v>34893.550000000003</v>
      </c>
      <c r="F3" s="3739" t="s">
        <v>3552</v>
      </c>
      <c r="G3" s="3739" t="s">
        <v>3412</v>
      </c>
      <c r="H3" s="3739" t="s">
        <v>3411</v>
      </c>
      <c r="I3" s="3739" t="s">
        <v>3418</v>
      </c>
      <c r="J3" s="3739" t="s">
        <v>3409</v>
      </c>
      <c r="K3" s="3739" t="s">
        <v>3408</v>
      </c>
      <c r="L3" s="3740">
        <v>45329.000497685185</v>
      </c>
      <c r="M3" s="3740">
        <v>45329.000497685185</v>
      </c>
      <c r="N3" s="3739" t="s">
        <v>3407</v>
      </c>
      <c r="O3" s="3739">
        <v>13000</v>
      </c>
      <c r="P3" s="3739">
        <v>2600</v>
      </c>
      <c r="Q3" s="3739">
        <v>13000</v>
      </c>
      <c r="R3" s="3739">
        <v>496.75</v>
      </c>
      <c r="S3" s="3739">
        <v>3726</v>
      </c>
      <c r="T3" s="3739">
        <v>0</v>
      </c>
      <c r="U3" s="3739" t="s">
        <v>3551</v>
      </c>
    </row>
    <row r="4" spans="1:21" s="3463" customFormat="1">
      <c r="A4" s="3741" t="s">
        <v>3550</v>
      </c>
      <c r="B4" s="3741" t="s">
        <v>3549</v>
      </c>
      <c r="C4" s="3741" t="s">
        <v>3414</v>
      </c>
      <c r="D4" s="3741">
        <v>9999.98</v>
      </c>
      <c r="E4" s="3741">
        <v>17599.96</v>
      </c>
      <c r="F4" s="3741">
        <v>1.76</v>
      </c>
      <c r="G4" s="3741" t="s">
        <v>3412</v>
      </c>
      <c r="H4" s="3741" t="s">
        <v>3428</v>
      </c>
      <c r="I4" s="3741" t="s">
        <v>3427</v>
      </c>
      <c r="J4" s="3741" t="s">
        <v>3409</v>
      </c>
      <c r="K4" s="3741" t="s">
        <v>3408</v>
      </c>
      <c r="L4" s="3742">
        <v>45320.000497685185</v>
      </c>
      <c r="M4" s="3742">
        <v>45320.000497685185</v>
      </c>
      <c r="N4" s="3741" t="s">
        <v>3407</v>
      </c>
      <c r="O4" s="3741">
        <v>37700</v>
      </c>
      <c r="P4" s="3741">
        <v>7600</v>
      </c>
      <c r="Q4" s="3741">
        <v>37700</v>
      </c>
      <c r="R4" s="3741">
        <v>2513.34</v>
      </c>
      <c r="S4" s="3741">
        <v>21421</v>
      </c>
      <c r="T4" s="3741">
        <v>0</v>
      </c>
      <c r="U4" s="3741" t="s">
        <v>3548</v>
      </c>
    </row>
    <row r="5" spans="1:21" s="3462" customFormat="1">
      <c r="A5" s="3743" t="s">
        <v>3547</v>
      </c>
      <c r="B5" s="3743" t="s">
        <v>3546</v>
      </c>
      <c r="C5" s="3743" t="s">
        <v>3414</v>
      </c>
      <c r="D5" s="3743">
        <v>70601.06</v>
      </c>
      <c r="E5" s="3743">
        <v>285523</v>
      </c>
      <c r="F5" s="3743">
        <v>4.04</v>
      </c>
      <c r="G5" s="3743" t="s">
        <v>3412</v>
      </c>
      <c r="H5" s="3743" t="s">
        <v>3428</v>
      </c>
      <c r="I5" s="3743" t="s">
        <v>3545</v>
      </c>
      <c r="J5" s="3743" t="s">
        <v>3409</v>
      </c>
      <c r="K5" s="3743" t="s">
        <v>3408</v>
      </c>
      <c r="L5" s="3744">
        <v>45314.000497685185</v>
      </c>
      <c r="M5" s="3744">
        <v>45314.000497685185</v>
      </c>
      <c r="N5" s="3743" t="s">
        <v>3407</v>
      </c>
      <c r="O5" s="3743">
        <v>642000</v>
      </c>
      <c r="P5" s="3743">
        <v>129000</v>
      </c>
      <c r="Q5" s="3743">
        <v>642000</v>
      </c>
      <c r="R5" s="3743">
        <v>6062.23</v>
      </c>
      <c r="S5" s="3743">
        <v>22485</v>
      </c>
      <c r="T5" s="3743">
        <v>0</v>
      </c>
      <c r="U5" s="3743" t="s">
        <v>3544</v>
      </c>
    </row>
    <row r="6" spans="1:21">
      <c r="A6" s="3739" t="s">
        <v>3543</v>
      </c>
      <c r="B6" s="3739" t="s">
        <v>3542</v>
      </c>
      <c r="C6" s="3739" t="s">
        <v>3414</v>
      </c>
      <c r="D6" s="3739">
        <v>32636.74</v>
      </c>
      <c r="E6" s="3739">
        <v>78328</v>
      </c>
      <c r="F6" s="3739">
        <v>2.4</v>
      </c>
      <c r="G6" s="3739" t="s">
        <v>3412</v>
      </c>
      <c r="H6" s="3739" t="s">
        <v>3411</v>
      </c>
      <c r="I6" s="3739" t="s">
        <v>3488</v>
      </c>
      <c r="J6" s="3739" t="s">
        <v>3409</v>
      </c>
      <c r="K6" s="3739" t="s">
        <v>3408</v>
      </c>
      <c r="L6" s="3740">
        <v>45308.000497685185</v>
      </c>
      <c r="M6" s="3740">
        <v>45308.000497685185</v>
      </c>
      <c r="N6" s="3739" t="s">
        <v>3407</v>
      </c>
      <c r="O6" s="3739">
        <v>65000</v>
      </c>
      <c r="P6" s="3739">
        <v>13000</v>
      </c>
      <c r="Q6" s="3739">
        <v>65000</v>
      </c>
      <c r="R6" s="3739">
        <v>1327.75</v>
      </c>
      <c r="S6" s="3739">
        <v>8298</v>
      </c>
      <c r="T6" s="3739">
        <v>0</v>
      </c>
      <c r="U6" s="3739" t="s">
        <v>3541</v>
      </c>
    </row>
    <row r="7" spans="1:21">
      <c r="A7" s="3739" t="s">
        <v>3540</v>
      </c>
      <c r="B7" s="3739" t="s">
        <v>3539</v>
      </c>
      <c r="C7" s="3739" t="s">
        <v>3414</v>
      </c>
      <c r="D7" s="3739">
        <v>7467</v>
      </c>
      <c r="E7" s="3739">
        <v>52000</v>
      </c>
      <c r="F7" s="3739" t="s">
        <v>3538</v>
      </c>
      <c r="G7" s="3739" t="s">
        <v>3412</v>
      </c>
      <c r="H7" s="3739" t="s">
        <v>3428</v>
      </c>
      <c r="I7" s="3739" t="s">
        <v>3427</v>
      </c>
      <c r="J7" s="3739" t="s">
        <v>3409</v>
      </c>
      <c r="K7" s="3739" t="s">
        <v>3408</v>
      </c>
      <c r="L7" s="3740">
        <v>45288.000497685185</v>
      </c>
      <c r="M7" s="3740">
        <v>45288.000497685185</v>
      </c>
      <c r="N7" s="3739" t="s">
        <v>3407</v>
      </c>
      <c r="O7" s="3739">
        <v>118000</v>
      </c>
      <c r="P7" s="3739">
        <v>24000</v>
      </c>
      <c r="Q7" s="3739">
        <v>118000</v>
      </c>
      <c r="R7" s="3739">
        <v>10535.24</v>
      </c>
      <c r="S7" s="3739">
        <v>22692</v>
      </c>
      <c r="T7" s="3739">
        <v>0</v>
      </c>
      <c r="U7" s="3739" t="s">
        <v>3537</v>
      </c>
    </row>
    <row r="8" spans="1:21">
      <c r="A8" s="3739" t="s">
        <v>3536</v>
      </c>
      <c r="B8" s="3739" t="s">
        <v>3535</v>
      </c>
      <c r="C8" s="3739" t="s">
        <v>3414</v>
      </c>
      <c r="D8" s="3739">
        <v>29963.72</v>
      </c>
      <c r="E8" s="3739">
        <v>68916.56</v>
      </c>
      <c r="F8" s="3739">
        <v>2.2999999999999998</v>
      </c>
      <c r="G8" s="3739" t="s">
        <v>3412</v>
      </c>
      <c r="H8" s="3739" t="s">
        <v>3419</v>
      </c>
      <c r="I8" s="3739" t="s">
        <v>3418</v>
      </c>
      <c r="J8" s="3739" t="s">
        <v>3409</v>
      </c>
      <c r="K8" s="3739" t="s">
        <v>3408</v>
      </c>
      <c r="L8" s="3740">
        <v>45207.000497685185</v>
      </c>
      <c r="M8" s="3740">
        <v>45207.000497685185</v>
      </c>
      <c r="N8" s="3739" t="s">
        <v>3407</v>
      </c>
      <c r="O8" s="3739">
        <v>25700</v>
      </c>
      <c r="P8" s="3739">
        <v>5200</v>
      </c>
      <c r="Q8" s="3739">
        <v>25700</v>
      </c>
      <c r="R8" s="3739">
        <v>571.79999999999995</v>
      </c>
      <c r="S8" s="3739">
        <v>3729</v>
      </c>
      <c r="T8" s="3739">
        <v>0</v>
      </c>
      <c r="U8" s="3739" t="s">
        <v>3534</v>
      </c>
    </row>
    <row r="9" spans="1:21">
      <c r="A9" s="3739" t="s">
        <v>3533</v>
      </c>
      <c r="B9" s="3739" t="s">
        <v>3532</v>
      </c>
      <c r="C9" s="3739" t="s">
        <v>3414</v>
      </c>
      <c r="D9" s="3739">
        <v>9632.01</v>
      </c>
      <c r="E9" s="3739">
        <v>15025.93</v>
      </c>
      <c r="F9" s="3739">
        <v>1.56</v>
      </c>
      <c r="G9" s="3739" t="s">
        <v>3412</v>
      </c>
      <c r="H9" s="3739" t="s">
        <v>3419</v>
      </c>
      <c r="I9" s="3739" t="s">
        <v>3418</v>
      </c>
      <c r="J9" s="3739" t="s">
        <v>3409</v>
      </c>
      <c r="K9" s="3739" t="s">
        <v>3408</v>
      </c>
      <c r="L9" s="3740">
        <v>45189.000497685185</v>
      </c>
      <c r="M9" s="3740">
        <v>45189.000497685185</v>
      </c>
      <c r="N9" s="3739" t="s">
        <v>3407</v>
      </c>
      <c r="O9" s="3739">
        <v>13700</v>
      </c>
      <c r="P9" s="3739">
        <v>3000</v>
      </c>
      <c r="Q9" s="3739">
        <v>13700</v>
      </c>
      <c r="R9" s="3739">
        <v>948.23</v>
      </c>
      <c r="S9" s="3739">
        <v>9118</v>
      </c>
      <c r="T9" s="3739">
        <v>0</v>
      </c>
      <c r="U9" s="3739" t="s">
        <v>3524</v>
      </c>
    </row>
    <row r="10" spans="1:21">
      <c r="A10" s="3739" t="s">
        <v>3531</v>
      </c>
      <c r="B10" s="3739" t="s">
        <v>3530</v>
      </c>
      <c r="C10" s="3739" t="s">
        <v>3414</v>
      </c>
      <c r="D10" s="3739">
        <v>49900.54</v>
      </c>
      <c r="E10" s="3739">
        <v>109781.19</v>
      </c>
      <c r="F10" s="3739">
        <v>2.2000000000000002</v>
      </c>
      <c r="G10" s="3739" t="s">
        <v>3412</v>
      </c>
      <c r="H10" s="3739" t="s">
        <v>3419</v>
      </c>
      <c r="I10" s="3739" t="s">
        <v>3418</v>
      </c>
      <c r="J10" s="3739" t="s">
        <v>3409</v>
      </c>
      <c r="K10" s="3739" t="s">
        <v>3408</v>
      </c>
      <c r="L10" s="3740">
        <v>45141.000497685185</v>
      </c>
      <c r="M10" s="3740">
        <v>45141.000497685185</v>
      </c>
      <c r="N10" s="3739" t="s">
        <v>3407</v>
      </c>
      <c r="O10" s="3739">
        <v>227000</v>
      </c>
      <c r="P10" s="3739">
        <v>46000</v>
      </c>
      <c r="Q10" s="3739">
        <v>227000</v>
      </c>
      <c r="R10" s="3739">
        <v>3032.7</v>
      </c>
      <c r="S10" s="3739">
        <v>20677</v>
      </c>
      <c r="T10" s="3739">
        <v>0</v>
      </c>
      <c r="U10" s="3739" t="s">
        <v>3529</v>
      </c>
    </row>
    <row r="11" spans="1:21">
      <c r="A11" s="3739" t="s">
        <v>3528</v>
      </c>
      <c r="B11" s="3739" t="s">
        <v>3527</v>
      </c>
      <c r="C11" s="3739" t="s">
        <v>3414</v>
      </c>
      <c r="D11" s="3739">
        <v>15459.22</v>
      </c>
      <c r="E11" s="3739">
        <v>52599.12</v>
      </c>
      <c r="F11" s="3739" t="s">
        <v>3526</v>
      </c>
      <c r="G11" s="3739" t="s">
        <v>3412</v>
      </c>
      <c r="H11" s="3739" t="s">
        <v>3419</v>
      </c>
      <c r="I11" s="3739" t="s">
        <v>3525</v>
      </c>
      <c r="J11" s="3739" t="s">
        <v>3409</v>
      </c>
      <c r="K11" s="3739" t="s">
        <v>3408</v>
      </c>
      <c r="L11" s="3740">
        <v>45114.000497685185</v>
      </c>
      <c r="M11" s="3740">
        <v>45114.000497685185</v>
      </c>
      <c r="N11" s="3739" t="s">
        <v>3407</v>
      </c>
      <c r="O11" s="3739">
        <v>53100</v>
      </c>
      <c r="P11" s="3739">
        <v>11000</v>
      </c>
      <c r="Q11" s="3739">
        <v>53100</v>
      </c>
      <c r="R11" s="3739">
        <v>2289.9</v>
      </c>
      <c r="S11" s="3739">
        <v>10095</v>
      </c>
      <c r="T11" s="3739">
        <v>0</v>
      </c>
      <c r="U11" s="3739" t="s">
        <v>3524</v>
      </c>
    </row>
    <row r="12" spans="1:21" s="3462" customFormat="1">
      <c r="A12" s="3743" t="s">
        <v>3523</v>
      </c>
      <c r="B12" s="3743" t="s">
        <v>3522</v>
      </c>
      <c r="C12" s="3743" t="s">
        <v>3414</v>
      </c>
      <c r="D12" s="3743">
        <v>10610.35</v>
      </c>
      <c r="E12" s="3743">
        <v>47747</v>
      </c>
      <c r="F12" s="3743">
        <v>4.5</v>
      </c>
      <c r="G12" s="3743" t="s">
        <v>3412</v>
      </c>
      <c r="H12" s="3743" t="s">
        <v>3428</v>
      </c>
      <c r="I12" s="3743" t="s">
        <v>3427</v>
      </c>
      <c r="J12" s="3743" t="s">
        <v>3409</v>
      </c>
      <c r="K12" s="3743" t="s">
        <v>3408</v>
      </c>
      <c r="L12" s="3744">
        <v>45114.000497685185</v>
      </c>
      <c r="M12" s="3744">
        <v>45114.000497685185</v>
      </c>
      <c r="N12" s="3743" t="s">
        <v>3407</v>
      </c>
      <c r="O12" s="3743">
        <v>134000</v>
      </c>
      <c r="P12" s="3743">
        <v>27000</v>
      </c>
      <c r="Q12" s="3743">
        <v>134000</v>
      </c>
      <c r="R12" s="3743">
        <v>8419.4500000000007</v>
      </c>
      <c r="S12" s="3743">
        <v>28065</v>
      </c>
      <c r="T12" s="3743">
        <v>0</v>
      </c>
      <c r="U12" s="3743" t="s">
        <v>3521</v>
      </c>
    </row>
    <row r="13" spans="1:21">
      <c r="A13" s="3739" t="s">
        <v>3520</v>
      </c>
      <c r="B13" s="3739" t="s">
        <v>3519</v>
      </c>
      <c r="C13" s="3739" t="s">
        <v>3414</v>
      </c>
      <c r="D13" s="3739">
        <v>67829.210000000006</v>
      </c>
      <c r="E13" s="3739">
        <v>298100</v>
      </c>
      <c r="F13" s="3739">
        <v>4.4000000000000004</v>
      </c>
      <c r="G13" s="3739" t="s">
        <v>3412</v>
      </c>
      <c r="H13" s="3739" t="s">
        <v>3518</v>
      </c>
      <c r="I13" s="3739" t="s">
        <v>3517</v>
      </c>
      <c r="J13" s="3739" t="s">
        <v>3409</v>
      </c>
      <c r="K13" s="3739" t="s">
        <v>3408</v>
      </c>
      <c r="L13" s="3740">
        <v>45090.000497685185</v>
      </c>
      <c r="M13" s="3740">
        <v>45090.000497685185</v>
      </c>
      <c r="N13" s="3739" t="s">
        <v>3407</v>
      </c>
      <c r="O13" s="3739">
        <v>680000</v>
      </c>
      <c r="P13" s="3739">
        <v>136000</v>
      </c>
      <c r="Q13" s="3739">
        <v>680000</v>
      </c>
      <c r="R13" s="3739">
        <v>6683.45</v>
      </c>
      <c r="S13" s="3739">
        <v>22811</v>
      </c>
      <c r="T13" s="3739">
        <v>0</v>
      </c>
      <c r="U13" s="3739" t="s">
        <v>3516</v>
      </c>
    </row>
    <row r="14" spans="1:21">
      <c r="A14" s="3739" t="s">
        <v>3515</v>
      </c>
      <c r="B14" s="3739" t="s">
        <v>3514</v>
      </c>
      <c r="C14" s="3739" t="s">
        <v>3414</v>
      </c>
      <c r="D14" s="3739">
        <v>101190.07</v>
      </c>
      <c r="E14" s="3739">
        <v>198291</v>
      </c>
      <c r="F14" s="3739" t="s">
        <v>3513</v>
      </c>
      <c r="G14" s="3739" t="s">
        <v>3412</v>
      </c>
      <c r="H14" s="3739" t="s">
        <v>3419</v>
      </c>
      <c r="I14" s="3739" t="s">
        <v>3418</v>
      </c>
      <c r="J14" s="3739" t="s">
        <v>3409</v>
      </c>
      <c r="K14" s="3739" t="s">
        <v>3408</v>
      </c>
      <c r="L14" s="3740">
        <v>45089.000497685185</v>
      </c>
      <c r="M14" s="3740">
        <v>45089.000497685185</v>
      </c>
      <c r="N14" s="3739" t="s">
        <v>3407</v>
      </c>
      <c r="O14" s="3739">
        <v>100000</v>
      </c>
      <c r="P14" s="3739">
        <v>20000</v>
      </c>
      <c r="Q14" s="3739">
        <v>100000</v>
      </c>
      <c r="R14" s="3739">
        <v>658.83</v>
      </c>
      <c r="S14" s="3739">
        <v>5043</v>
      </c>
      <c r="T14" s="3739">
        <v>0</v>
      </c>
      <c r="U14" s="3739" t="s">
        <v>3512</v>
      </c>
    </row>
    <row r="15" spans="1:21">
      <c r="A15" s="3739" t="s">
        <v>3511</v>
      </c>
      <c r="B15" s="3739" t="s">
        <v>3510</v>
      </c>
      <c r="C15" s="3739" t="s">
        <v>3414</v>
      </c>
      <c r="D15" s="3739">
        <v>5500.65</v>
      </c>
      <c r="E15" s="3739">
        <v>15401.81</v>
      </c>
      <c r="F15" s="3739" t="s">
        <v>3468</v>
      </c>
      <c r="G15" s="3739" t="s">
        <v>3412</v>
      </c>
      <c r="H15" s="3739" t="s">
        <v>3419</v>
      </c>
      <c r="I15" s="3739" t="s">
        <v>3427</v>
      </c>
      <c r="J15" s="3739" t="s">
        <v>3409</v>
      </c>
      <c r="K15" s="3739" t="s">
        <v>3408</v>
      </c>
      <c r="L15" s="3740">
        <v>45030.000497685185</v>
      </c>
      <c r="M15" s="3740">
        <v>45030.000497685185</v>
      </c>
      <c r="N15" s="3739" t="s">
        <v>3407</v>
      </c>
      <c r="O15" s="3739">
        <v>17000</v>
      </c>
      <c r="P15" s="3739">
        <v>4000</v>
      </c>
      <c r="Q15" s="3739">
        <v>17000</v>
      </c>
      <c r="R15" s="3739">
        <v>2060.36</v>
      </c>
      <c r="S15" s="3739">
        <v>11038</v>
      </c>
      <c r="T15" s="3739">
        <v>0</v>
      </c>
      <c r="U15" s="3739" t="s">
        <v>3509</v>
      </c>
    </row>
    <row r="16" spans="1:21">
      <c r="A16" s="3739" t="s">
        <v>3508</v>
      </c>
      <c r="B16" s="3739" t="s">
        <v>3507</v>
      </c>
      <c r="C16" s="3739" t="s">
        <v>3414</v>
      </c>
      <c r="D16" s="3739">
        <v>82500</v>
      </c>
      <c r="E16" s="3739">
        <v>165000</v>
      </c>
      <c r="F16" s="3739">
        <v>2</v>
      </c>
      <c r="G16" s="3739" t="s">
        <v>3412</v>
      </c>
      <c r="H16" s="3739" t="s">
        <v>3419</v>
      </c>
      <c r="I16" s="3739" t="s">
        <v>3506</v>
      </c>
      <c r="J16" s="3739" t="s">
        <v>3409</v>
      </c>
      <c r="K16" s="3739" t="s">
        <v>3408</v>
      </c>
      <c r="L16" s="3740">
        <v>45012.000497685185</v>
      </c>
      <c r="M16" s="3740">
        <v>45012.000497685185</v>
      </c>
      <c r="N16" s="3739" t="s">
        <v>3407</v>
      </c>
      <c r="O16" s="3739">
        <v>260700</v>
      </c>
      <c r="P16" s="3739">
        <v>78000</v>
      </c>
      <c r="Q16" s="3739">
        <v>260700</v>
      </c>
      <c r="R16" s="3739">
        <v>2106.67</v>
      </c>
      <c r="S16" s="3739">
        <v>15800</v>
      </c>
      <c r="T16" s="3739">
        <v>0</v>
      </c>
      <c r="U16" s="3739" t="s">
        <v>3505</v>
      </c>
    </row>
    <row r="17" spans="1:21" s="3462" customFormat="1">
      <c r="A17" s="3743" t="s">
        <v>3504</v>
      </c>
      <c r="B17" s="3743" t="s">
        <v>3503</v>
      </c>
      <c r="C17" s="3743" t="s">
        <v>3414</v>
      </c>
      <c r="D17" s="3743">
        <v>62796.800000000003</v>
      </c>
      <c r="E17" s="3743">
        <v>275500</v>
      </c>
      <c r="F17" s="3743">
        <v>4.3899999999999997</v>
      </c>
      <c r="G17" s="3743" t="s">
        <v>3412</v>
      </c>
      <c r="H17" s="3743" t="s">
        <v>3419</v>
      </c>
      <c r="I17" s="3743" t="s">
        <v>3427</v>
      </c>
      <c r="J17" s="3743" t="s">
        <v>3409</v>
      </c>
      <c r="K17" s="3743" t="s">
        <v>3408</v>
      </c>
      <c r="L17" s="3744">
        <v>44980.000497685185</v>
      </c>
      <c r="M17" s="3744">
        <v>44980.000497685185</v>
      </c>
      <c r="N17" s="3743" t="s">
        <v>3407</v>
      </c>
      <c r="O17" s="3743">
        <v>635800</v>
      </c>
      <c r="P17" s="3743">
        <v>127500</v>
      </c>
      <c r="Q17" s="3743">
        <v>635800</v>
      </c>
      <c r="R17" s="3743">
        <v>6749.81</v>
      </c>
      <c r="S17" s="3743">
        <v>23078</v>
      </c>
      <c r="T17" s="3743">
        <v>0</v>
      </c>
      <c r="U17" s="3743" t="s">
        <v>3502</v>
      </c>
    </row>
    <row r="18" spans="1:21">
      <c r="A18" s="3739" t="s">
        <v>3501</v>
      </c>
      <c r="B18" s="3739" t="s">
        <v>3500</v>
      </c>
      <c r="C18" s="3739" t="s">
        <v>3414</v>
      </c>
      <c r="D18" s="3739">
        <v>4800</v>
      </c>
      <c r="E18" s="3739">
        <v>1920</v>
      </c>
      <c r="F18" s="3739" t="s">
        <v>3499</v>
      </c>
      <c r="G18" s="3739" t="s">
        <v>3412</v>
      </c>
      <c r="H18" s="3739" t="s">
        <v>3498</v>
      </c>
      <c r="I18" s="3739" t="s">
        <v>3497</v>
      </c>
      <c r="J18" s="3739" t="s">
        <v>3409</v>
      </c>
      <c r="K18" s="3739" t="s">
        <v>3408</v>
      </c>
      <c r="L18" s="3740">
        <v>44945.000497685185</v>
      </c>
      <c r="M18" s="3740">
        <v>44945.000497685185</v>
      </c>
      <c r="N18" s="3739" t="s">
        <v>3407</v>
      </c>
      <c r="O18" s="3739">
        <v>5800</v>
      </c>
      <c r="P18" s="3739">
        <v>1200</v>
      </c>
      <c r="Q18" s="3739">
        <v>5800</v>
      </c>
      <c r="R18" s="3739">
        <v>805.56</v>
      </c>
      <c r="S18" s="3739">
        <v>30208</v>
      </c>
      <c r="T18" s="3739">
        <v>0</v>
      </c>
      <c r="U18" s="3739" t="s">
        <v>3496</v>
      </c>
    </row>
    <row r="19" spans="1:21">
      <c r="A19" s="3739" t="s">
        <v>3495</v>
      </c>
      <c r="B19" s="3739" t="s">
        <v>3494</v>
      </c>
      <c r="C19" s="3739" t="s">
        <v>3414</v>
      </c>
      <c r="D19" s="3739">
        <v>46654.62</v>
      </c>
      <c r="E19" s="3739">
        <v>88643.78</v>
      </c>
      <c r="F19" s="3739">
        <v>1.9</v>
      </c>
      <c r="G19" s="3739" t="s">
        <v>3412</v>
      </c>
      <c r="H19" s="3739" t="s">
        <v>3493</v>
      </c>
      <c r="I19" s="3739" t="s">
        <v>3492</v>
      </c>
      <c r="J19" s="3739" t="s">
        <v>3409</v>
      </c>
      <c r="K19" s="3739" t="s">
        <v>3408</v>
      </c>
      <c r="L19" s="3740">
        <v>44936.000497685185</v>
      </c>
      <c r="M19" s="3740">
        <v>44936.000497685185</v>
      </c>
      <c r="N19" s="3739" t="s">
        <v>3407</v>
      </c>
      <c r="O19" s="3739">
        <v>28000</v>
      </c>
      <c r="P19" s="3739">
        <v>6000</v>
      </c>
      <c r="Q19" s="3739">
        <v>28000</v>
      </c>
      <c r="R19" s="3739">
        <v>400.1</v>
      </c>
      <c r="S19" s="3739">
        <v>3159</v>
      </c>
      <c r="T19" s="3739">
        <v>0</v>
      </c>
      <c r="U19" s="3739" t="s">
        <v>3491</v>
      </c>
    </row>
    <row r="20" spans="1:21">
      <c r="A20" s="3739" t="s">
        <v>3490</v>
      </c>
      <c r="B20" s="3739" t="s">
        <v>3489</v>
      </c>
      <c r="C20" s="3739" t="s">
        <v>3414</v>
      </c>
      <c r="D20" s="3739">
        <v>64012.4</v>
      </c>
      <c r="E20" s="3739">
        <v>192037.19</v>
      </c>
      <c r="F20" s="3739">
        <v>3</v>
      </c>
      <c r="G20" s="3739" t="s">
        <v>3412</v>
      </c>
      <c r="H20" s="3739" t="s">
        <v>3419</v>
      </c>
      <c r="I20" s="3739" t="s">
        <v>3488</v>
      </c>
      <c r="J20" s="3739" t="s">
        <v>3409</v>
      </c>
      <c r="K20" s="3739" t="s">
        <v>3408</v>
      </c>
      <c r="L20" s="3740">
        <v>44931.000497685185</v>
      </c>
      <c r="M20" s="3740">
        <v>44931.000497685185</v>
      </c>
      <c r="N20" s="3739" t="s">
        <v>3407</v>
      </c>
      <c r="O20" s="3739">
        <v>177000</v>
      </c>
      <c r="P20" s="3739">
        <v>36000</v>
      </c>
      <c r="Q20" s="3739">
        <v>177000</v>
      </c>
      <c r="R20" s="3739">
        <v>1843.39</v>
      </c>
      <c r="S20" s="3739">
        <v>9217</v>
      </c>
      <c r="T20" s="3739">
        <v>0</v>
      </c>
      <c r="U20" s="3739" t="s">
        <v>3487</v>
      </c>
    </row>
    <row r="21" spans="1:21">
      <c r="A21" s="3739" t="s">
        <v>3486</v>
      </c>
      <c r="B21" s="3739" t="s">
        <v>3485</v>
      </c>
      <c r="C21" s="3739" t="s">
        <v>3414</v>
      </c>
      <c r="D21" s="3739">
        <v>32733.22</v>
      </c>
      <c r="E21" s="3739">
        <v>72013.08</v>
      </c>
      <c r="F21" s="3739">
        <v>2.2000000000000002</v>
      </c>
      <c r="G21" s="3739" t="s">
        <v>3412</v>
      </c>
      <c r="H21" s="3739" t="s">
        <v>3419</v>
      </c>
      <c r="I21" s="3739" t="s">
        <v>3418</v>
      </c>
      <c r="J21" s="3739" t="s">
        <v>3409</v>
      </c>
      <c r="K21" s="3739" t="s">
        <v>3408</v>
      </c>
      <c r="L21" s="3740">
        <v>44865.000497685185</v>
      </c>
      <c r="M21" s="3740">
        <v>44865.000497685185</v>
      </c>
      <c r="N21" s="3739" t="s">
        <v>3407</v>
      </c>
      <c r="O21" s="3739">
        <v>149000</v>
      </c>
      <c r="P21" s="3739">
        <v>30000</v>
      </c>
      <c r="Q21" s="3739">
        <v>149000</v>
      </c>
      <c r="R21" s="3739">
        <v>3034.63</v>
      </c>
      <c r="S21" s="3739">
        <v>20691</v>
      </c>
      <c r="T21" s="3739">
        <v>0</v>
      </c>
      <c r="U21" s="3739" t="s">
        <v>3484</v>
      </c>
    </row>
    <row r="22" spans="1:21">
      <c r="A22" s="3739" t="s">
        <v>3483</v>
      </c>
      <c r="B22" s="3739" t="s">
        <v>3482</v>
      </c>
      <c r="C22" s="3739" t="s">
        <v>3414</v>
      </c>
      <c r="D22" s="3739">
        <v>29506.55</v>
      </c>
      <c r="E22" s="3739">
        <v>64914.41</v>
      </c>
      <c r="F22" s="3739">
        <v>2.2000000000000002</v>
      </c>
      <c r="G22" s="3739" t="s">
        <v>3412</v>
      </c>
      <c r="H22" s="3739" t="s">
        <v>3419</v>
      </c>
      <c r="I22" s="3739" t="s">
        <v>3418</v>
      </c>
      <c r="J22" s="3739" t="s">
        <v>3409</v>
      </c>
      <c r="K22" s="3739" t="s">
        <v>3408</v>
      </c>
      <c r="L22" s="3740">
        <v>44865.000497685185</v>
      </c>
      <c r="M22" s="3740">
        <v>44865.000497685185</v>
      </c>
      <c r="N22" s="3739" t="s">
        <v>3407</v>
      </c>
      <c r="O22" s="3739">
        <v>135000</v>
      </c>
      <c r="P22" s="3739">
        <v>27000</v>
      </c>
      <c r="Q22" s="3739">
        <v>135000</v>
      </c>
      <c r="R22" s="3739">
        <v>3050.17</v>
      </c>
      <c r="S22" s="3739">
        <v>20797</v>
      </c>
      <c r="T22" s="3739">
        <v>0</v>
      </c>
      <c r="U22" s="3739" t="s">
        <v>3481</v>
      </c>
    </row>
    <row r="23" spans="1:21">
      <c r="A23" s="3739" t="s">
        <v>3480</v>
      </c>
      <c r="B23" s="3739" t="s">
        <v>3479</v>
      </c>
      <c r="C23" s="3739" t="s">
        <v>3414</v>
      </c>
      <c r="D23" s="3739">
        <v>12629.88</v>
      </c>
      <c r="E23" s="3739">
        <v>80000</v>
      </c>
      <c r="F23" s="3739" t="s">
        <v>3478</v>
      </c>
      <c r="G23" s="3739" t="s">
        <v>3412</v>
      </c>
      <c r="H23" s="3739" t="s">
        <v>3419</v>
      </c>
      <c r="I23" s="3739" t="s">
        <v>3427</v>
      </c>
      <c r="J23" s="3739" t="s">
        <v>3409</v>
      </c>
      <c r="K23" s="3739" t="s">
        <v>3408</v>
      </c>
      <c r="L23" s="3740">
        <v>44798.000497685185</v>
      </c>
      <c r="M23" s="3740">
        <v>44798.000497685185</v>
      </c>
      <c r="N23" s="3739" t="s">
        <v>3407</v>
      </c>
      <c r="O23" s="3739">
        <v>166000</v>
      </c>
      <c r="P23" s="3739">
        <v>34000</v>
      </c>
      <c r="Q23" s="3739">
        <v>166000</v>
      </c>
      <c r="R23" s="3739">
        <v>8762.2900000000009</v>
      </c>
      <c r="S23" s="3739">
        <v>20750</v>
      </c>
      <c r="T23" s="3739">
        <v>0</v>
      </c>
      <c r="U23" s="3739" t="s">
        <v>3477</v>
      </c>
    </row>
    <row r="24" spans="1:21">
      <c r="A24" s="3739" t="s">
        <v>3476</v>
      </c>
      <c r="B24" s="3739" t="s">
        <v>3475</v>
      </c>
      <c r="C24" s="3739" t="s">
        <v>3414</v>
      </c>
      <c r="D24" s="3739">
        <v>10000</v>
      </c>
      <c r="E24" s="3739">
        <v>22000</v>
      </c>
      <c r="F24" s="3739" t="s">
        <v>3460</v>
      </c>
      <c r="G24" s="3739" t="s">
        <v>3412</v>
      </c>
      <c r="H24" s="3739" t="s">
        <v>3419</v>
      </c>
      <c r="I24" s="3739" t="s">
        <v>3418</v>
      </c>
      <c r="J24" s="3739" t="s">
        <v>3409</v>
      </c>
      <c r="K24" s="3739" t="s">
        <v>3408</v>
      </c>
      <c r="L24" s="3740">
        <v>44795.000497685185</v>
      </c>
      <c r="M24" s="3740">
        <v>44795.000497685185</v>
      </c>
      <c r="N24" s="3739" t="s">
        <v>3407</v>
      </c>
      <c r="O24" s="3739">
        <v>36400</v>
      </c>
      <c r="P24" s="3739">
        <v>7300</v>
      </c>
      <c r="Q24" s="3739">
        <v>36400</v>
      </c>
      <c r="R24" s="3739">
        <v>2426.67</v>
      </c>
      <c r="S24" s="3739">
        <v>16545</v>
      </c>
      <c r="T24" s="3739">
        <v>0</v>
      </c>
      <c r="U24" s="3739" t="s">
        <v>3474</v>
      </c>
    </row>
    <row r="25" spans="1:21">
      <c r="A25" s="3739" t="s">
        <v>3473</v>
      </c>
      <c r="B25" s="3739" t="s">
        <v>3472</v>
      </c>
      <c r="C25" s="3739" t="s">
        <v>3414</v>
      </c>
      <c r="D25" s="3739">
        <v>5500</v>
      </c>
      <c r="E25" s="3739">
        <v>12100</v>
      </c>
      <c r="F25" s="3739" t="s">
        <v>3460</v>
      </c>
      <c r="G25" s="3739" t="s">
        <v>3412</v>
      </c>
      <c r="H25" s="3739" t="s">
        <v>3419</v>
      </c>
      <c r="I25" s="3739" t="s">
        <v>3418</v>
      </c>
      <c r="J25" s="3739" t="s">
        <v>3409</v>
      </c>
      <c r="K25" s="3739" t="s">
        <v>3408</v>
      </c>
      <c r="L25" s="3740">
        <v>44796.000497685185</v>
      </c>
      <c r="M25" s="3740">
        <v>44796.000497685185</v>
      </c>
      <c r="N25" s="3739" t="s">
        <v>3407</v>
      </c>
      <c r="O25" s="3739">
        <v>20000</v>
      </c>
      <c r="P25" s="3739">
        <v>4000</v>
      </c>
      <c r="Q25" s="3739">
        <v>20000</v>
      </c>
      <c r="R25" s="3739">
        <v>2424.2399999999998</v>
      </c>
      <c r="S25" s="3739">
        <v>16529</v>
      </c>
      <c r="T25" s="3739">
        <v>0</v>
      </c>
      <c r="U25" s="3739" t="s">
        <v>3471</v>
      </c>
    </row>
    <row r="26" spans="1:21">
      <c r="A26" s="3739" t="s">
        <v>3470</v>
      </c>
      <c r="B26" s="3739" t="s">
        <v>3469</v>
      </c>
      <c r="C26" s="3739" t="s">
        <v>3414</v>
      </c>
      <c r="D26" s="3739">
        <v>16122.82</v>
      </c>
      <c r="E26" s="3739">
        <v>45143.91</v>
      </c>
      <c r="F26" s="3739" t="s">
        <v>3468</v>
      </c>
      <c r="G26" s="3739" t="s">
        <v>3412</v>
      </c>
      <c r="H26" s="3739" t="s">
        <v>3419</v>
      </c>
      <c r="I26" s="3739" t="s">
        <v>3418</v>
      </c>
      <c r="J26" s="3739" t="s">
        <v>3409</v>
      </c>
      <c r="K26" s="3739" t="s">
        <v>3408</v>
      </c>
      <c r="L26" s="3740">
        <v>44761.000497685185</v>
      </c>
      <c r="M26" s="3740">
        <v>44761.000497685185</v>
      </c>
      <c r="N26" s="3739" t="s">
        <v>3407</v>
      </c>
      <c r="O26" s="3739">
        <v>76000</v>
      </c>
      <c r="P26" s="3739">
        <v>16000</v>
      </c>
      <c r="Q26" s="3739">
        <v>76000</v>
      </c>
      <c r="R26" s="3739">
        <v>3142.54</v>
      </c>
      <c r="S26" s="3739">
        <v>16835</v>
      </c>
      <c r="T26" s="3739">
        <v>0</v>
      </c>
      <c r="U26" s="3739" t="s">
        <v>3467</v>
      </c>
    </row>
    <row r="27" spans="1:21">
      <c r="A27" s="3739" t="s">
        <v>3466</v>
      </c>
      <c r="B27" s="3739" t="s">
        <v>3465</v>
      </c>
      <c r="C27" s="3739" t="s">
        <v>3414</v>
      </c>
      <c r="D27" s="3739">
        <v>17308.8</v>
      </c>
      <c r="E27" s="3739">
        <v>86544</v>
      </c>
      <c r="F27" s="3739" t="s">
        <v>3464</v>
      </c>
      <c r="G27" s="3739" t="s">
        <v>3412</v>
      </c>
      <c r="H27" s="3739" t="s">
        <v>3419</v>
      </c>
      <c r="I27" s="3739" t="s">
        <v>3418</v>
      </c>
      <c r="J27" s="3739" t="s">
        <v>3409</v>
      </c>
      <c r="K27" s="3739" t="s">
        <v>3408</v>
      </c>
      <c r="L27" s="3740">
        <v>44735.000497685185</v>
      </c>
      <c r="M27" s="3740">
        <v>44735.000497685185</v>
      </c>
      <c r="N27" s="3739" t="s">
        <v>3407</v>
      </c>
      <c r="O27" s="3739">
        <v>91400</v>
      </c>
      <c r="P27" s="3739">
        <v>18300</v>
      </c>
      <c r="Q27" s="3739">
        <v>91400</v>
      </c>
      <c r="R27" s="3739">
        <v>3520.37</v>
      </c>
      <c r="S27" s="3739">
        <v>10561</v>
      </c>
      <c r="T27" s="3739">
        <v>0</v>
      </c>
      <c r="U27" s="3739" t="s">
        <v>3463</v>
      </c>
    </row>
    <row r="28" spans="1:21">
      <c r="A28" s="3739" t="s">
        <v>3462</v>
      </c>
      <c r="B28" s="3739" t="s">
        <v>3461</v>
      </c>
      <c r="C28" s="3739" t="s">
        <v>3414</v>
      </c>
      <c r="D28" s="3739">
        <v>59169.74</v>
      </c>
      <c r="E28" s="3739">
        <v>130173.43</v>
      </c>
      <c r="F28" s="3739" t="s">
        <v>3460</v>
      </c>
      <c r="G28" s="3739" t="s">
        <v>3412</v>
      </c>
      <c r="H28" s="3739" t="s">
        <v>3419</v>
      </c>
      <c r="I28" s="3739" t="s">
        <v>3418</v>
      </c>
      <c r="J28" s="3739" t="s">
        <v>3409</v>
      </c>
      <c r="K28" s="3739" t="s">
        <v>3408</v>
      </c>
      <c r="L28" s="3740">
        <v>44680.000497685185</v>
      </c>
      <c r="M28" s="3740">
        <v>44680.000497685185</v>
      </c>
      <c r="N28" s="3739" t="s">
        <v>3407</v>
      </c>
      <c r="O28" s="3739">
        <v>131600</v>
      </c>
      <c r="P28" s="3739">
        <v>27000</v>
      </c>
      <c r="Q28" s="3739">
        <v>131600</v>
      </c>
      <c r="R28" s="3739">
        <v>1482.74</v>
      </c>
      <c r="S28" s="3739">
        <v>10110</v>
      </c>
      <c r="T28" s="3739">
        <v>0</v>
      </c>
      <c r="U28" s="3739" t="s">
        <v>3457</v>
      </c>
    </row>
    <row r="29" spans="1:21">
      <c r="A29" s="3739" t="s">
        <v>3459</v>
      </c>
      <c r="B29" s="3739" t="s">
        <v>3458</v>
      </c>
      <c r="C29" s="3739" t="s">
        <v>3414</v>
      </c>
      <c r="D29" s="3739">
        <v>12066.9</v>
      </c>
      <c r="E29" s="3739">
        <v>18100.349999999999</v>
      </c>
      <c r="F29" s="3739">
        <v>1.5</v>
      </c>
      <c r="G29" s="3739" t="s">
        <v>3412</v>
      </c>
      <c r="H29" s="3739" t="s">
        <v>3428</v>
      </c>
      <c r="I29" s="3739" t="s">
        <v>3427</v>
      </c>
      <c r="J29" s="3739" t="s">
        <v>3409</v>
      </c>
      <c r="K29" s="3739" t="s">
        <v>3408</v>
      </c>
      <c r="L29" s="3740">
        <v>44621.000497685185</v>
      </c>
      <c r="M29" s="3740">
        <v>44621.000497685185</v>
      </c>
      <c r="N29" s="3739" t="s">
        <v>3407</v>
      </c>
      <c r="O29" s="3739">
        <v>9400</v>
      </c>
      <c r="P29" s="3739">
        <v>1900</v>
      </c>
      <c r="Q29" s="3739">
        <v>9400</v>
      </c>
      <c r="R29" s="3739">
        <v>519.33000000000004</v>
      </c>
      <c r="S29" s="3739">
        <v>5193</v>
      </c>
      <c r="T29" s="3739">
        <v>0</v>
      </c>
      <c r="U29" s="3739" t="s">
        <v>3457</v>
      </c>
    </row>
    <row r="30" spans="1:21">
      <c r="A30" s="3739" t="s">
        <v>3456</v>
      </c>
      <c r="B30" s="3739" t="s">
        <v>3455</v>
      </c>
      <c r="C30" s="3739" t="s">
        <v>3414</v>
      </c>
      <c r="D30" s="3739">
        <v>15178.6</v>
      </c>
      <c r="E30" s="3739">
        <v>45535.8</v>
      </c>
      <c r="F30" s="3739">
        <v>3</v>
      </c>
      <c r="G30" s="3739" t="s">
        <v>3412</v>
      </c>
      <c r="H30" s="3739" t="s">
        <v>3419</v>
      </c>
      <c r="I30" s="3739" t="s">
        <v>3418</v>
      </c>
      <c r="J30" s="3739" t="s">
        <v>3409</v>
      </c>
      <c r="K30" s="3739" t="s">
        <v>3408</v>
      </c>
      <c r="L30" s="3740">
        <v>44600.000497685185</v>
      </c>
      <c r="M30" s="3740">
        <v>44600.000497685185</v>
      </c>
      <c r="N30" s="3739" t="s">
        <v>3407</v>
      </c>
      <c r="O30" s="3739">
        <v>58400</v>
      </c>
      <c r="P30" s="3739">
        <v>11700</v>
      </c>
      <c r="Q30" s="3739">
        <v>58400</v>
      </c>
      <c r="R30" s="3739">
        <v>2565.0100000000002</v>
      </c>
      <c r="S30" s="3739">
        <v>12825</v>
      </c>
      <c r="T30" s="3739">
        <v>0</v>
      </c>
      <c r="U30" s="3739" t="s">
        <v>3454</v>
      </c>
    </row>
    <row r="31" spans="1:21">
      <c r="A31" s="3739" t="s">
        <v>3453</v>
      </c>
      <c r="B31" s="3739" t="s">
        <v>3452</v>
      </c>
      <c r="C31" s="3739" t="s">
        <v>3414</v>
      </c>
      <c r="D31" s="3739">
        <v>19258.580000000002</v>
      </c>
      <c r="E31" s="3739">
        <v>38517.17</v>
      </c>
      <c r="F31" s="3739">
        <v>2</v>
      </c>
      <c r="G31" s="3739" t="s">
        <v>3412</v>
      </c>
      <c r="H31" s="3739" t="s">
        <v>3419</v>
      </c>
      <c r="I31" s="3739" t="s">
        <v>3418</v>
      </c>
      <c r="J31" s="3739" t="s">
        <v>3409</v>
      </c>
      <c r="K31" s="3739" t="s">
        <v>3408</v>
      </c>
      <c r="L31" s="3740">
        <v>44580.000497685185</v>
      </c>
      <c r="M31" s="3740">
        <v>44580.000497685185</v>
      </c>
      <c r="N31" s="3739" t="s">
        <v>3407</v>
      </c>
      <c r="O31" s="3739">
        <v>28400</v>
      </c>
      <c r="P31" s="3739">
        <v>5700</v>
      </c>
      <c r="Q31" s="3739">
        <v>28400</v>
      </c>
      <c r="R31" s="3739">
        <v>983.11</v>
      </c>
      <c r="S31" s="3739">
        <v>7373</v>
      </c>
      <c r="T31" s="3739">
        <v>0</v>
      </c>
      <c r="U31" s="3739" t="s">
        <v>3451</v>
      </c>
    </row>
    <row r="32" spans="1:21">
      <c r="A32" s="3739" t="s">
        <v>3450</v>
      </c>
      <c r="B32" s="3739" t="s">
        <v>3449</v>
      </c>
      <c r="C32" s="3739" t="s">
        <v>3414</v>
      </c>
      <c r="D32" s="3739">
        <v>28547.88</v>
      </c>
      <c r="E32" s="3739">
        <v>51828.53</v>
      </c>
      <c r="F32" s="3739">
        <v>1.82</v>
      </c>
      <c r="G32" s="3739" t="s">
        <v>3412</v>
      </c>
      <c r="H32" s="3739" t="s">
        <v>3419</v>
      </c>
      <c r="I32" s="3739" t="s">
        <v>3418</v>
      </c>
      <c r="J32" s="3739" t="s">
        <v>3409</v>
      </c>
      <c r="K32" s="3739" t="s">
        <v>3408</v>
      </c>
      <c r="L32" s="3740">
        <v>44580.000497685185</v>
      </c>
      <c r="M32" s="3740">
        <v>44580.000497685185</v>
      </c>
      <c r="N32" s="3739" t="s">
        <v>3407</v>
      </c>
      <c r="O32" s="3739">
        <v>37700</v>
      </c>
      <c r="P32" s="3739">
        <v>7600</v>
      </c>
      <c r="Q32" s="3739">
        <v>37700</v>
      </c>
      <c r="R32" s="3739">
        <v>880.39</v>
      </c>
      <c r="S32" s="3739">
        <v>7274</v>
      </c>
      <c r="T32" s="3739">
        <v>0</v>
      </c>
      <c r="U32" s="3739" t="s">
        <v>3448</v>
      </c>
    </row>
    <row r="33" spans="1:21">
      <c r="A33" s="3739" t="s">
        <v>3447</v>
      </c>
      <c r="B33" s="3739" t="s">
        <v>3446</v>
      </c>
      <c r="C33" s="3739" t="s">
        <v>3414</v>
      </c>
      <c r="D33" s="3739">
        <v>29991.73</v>
      </c>
      <c r="E33" s="3739">
        <v>119966.93</v>
      </c>
      <c r="F33" s="3739">
        <v>4</v>
      </c>
      <c r="G33" s="3739" t="s">
        <v>3412</v>
      </c>
      <c r="H33" s="3739" t="s">
        <v>3419</v>
      </c>
      <c r="I33" s="3739" t="s">
        <v>3418</v>
      </c>
      <c r="J33" s="3739" t="s">
        <v>3409</v>
      </c>
      <c r="K33" s="3739" t="s">
        <v>3408</v>
      </c>
      <c r="L33" s="3740">
        <v>44566.000497685185</v>
      </c>
      <c r="M33" s="3740">
        <v>44566.000497685185</v>
      </c>
      <c r="N33" s="3739" t="s">
        <v>3407</v>
      </c>
      <c r="O33" s="3739">
        <v>165300</v>
      </c>
      <c r="P33" s="3739">
        <v>33100</v>
      </c>
      <c r="Q33" s="3739">
        <v>165300</v>
      </c>
      <c r="R33" s="3739">
        <v>3674.35</v>
      </c>
      <c r="S33" s="3739">
        <v>13779</v>
      </c>
      <c r="T33" s="3739">
        <v>0</v>
      </c>
      <c r="U33" s="3739" t="s">
        <v>3445</v>
      </c>
    </row>
    <row r="34" spans="1:21">
      <c r="A34" s="3739" t="s">
        <v>3444</v>
      </c>
      <c r="B34" s="3739" t="s">
        <v>3443</v>
      </c>
      <c r="C34" s="3739" t="s">
        <v>3414</v>
      </c>
      <c r="D34" s="3739">
        <v>15197.52</v>
      </c>
      <c r="E34" s="3739">
        <v>30395.05</v>
      </c>
      <c r="F34" s="3739">
        <v>2</v>
      </c>
      <c r="G34" s="3739" t="s">
        <v>3412</v>
      </c>
      <c r="H34" s="3739" t="s">
        <v>3442</v>
      </c>
      <c r="I34" s="3739" t="s">
        <v>3442</v>
      </c>
      <c r="J34" s="3739" t="s">
        <v>3441</v>
      </c>
      <c r="K34" s="3739" t="s">
        <v>3408</v>
      </c>
      <c r="L34" s="3740">
        <v>44554.000497685185</v>
      </c>
      <c r="M34" s="3740">
        <v>44554.000497685185</v>
      </c>
      <c r="N34" s="3739" t="s">
        <v>3407</v>
      </c>
      <c r="O34" s="3739">
        <v>42600</v>
      </c>
      <c r="P34" s="3739">
        <v>8600</v>
      </c>
      <c r="Q34" s="3739">
        <v>42600</v>
      </c>
      <c r="R34" s="3739">
        <v>1868.73</v>
      </c>
      <c r="S34" s="3739">
        <v>14015</v>
      </c>
      <c r="T34" s="3739">
        <v>0</v>
      </c>
      <c r="U34" s="3739" t="s">
        <v>3440</v>
      </c>
    </row>
    <row r="35" spans="1:21">
      <c r="A35" s="3739" t="s">
        <v>3439</v>
      </c>
      <c r="B35" s="3739" t="s">
        <v>3438</v>
      </c>
      <c r="C35" s="3739" t="s">
        <v>3414</v>
      </c>
      <c r="D35" s="3739">
        <v>38252.550000000003</v>
      </c>
      <c r="E35" s="3739">
        <v>84155.61</v>
      </c>
      <c r="F35" s="3739">
        <v>2.2000000000000002</v>
      </c>
      <c r="G35" s="3739" t="s">
        <v>3412</v>
      </c>
      <c r="H35" s="3739" t="s">
        <v>3419</v>
      </c>
      <c r="I35" s="3739" t="s">
        <v>3418</v>
      </c>
      <c r="J35" s="3739" t="s">
        <v>3409</v>
      </c>
      <c r="K35" s="3739" t="s">
        <v>3408</v>
      </c>
      <c r="L35" s="3740">
        <v>44495.000497685185</v>
      </c>
      <c r="M35" s="3740">
        <v>44495.000497685185</v>
      </c>
      <c r="N35" s="3739" t="s">
        <v>3407</v>
      </c>
      <c r="O35" s="3739">
        <v>175000</v>
      </c>
      <c r="P35" s="3739">
        <v>35000</v>
      </c>
      <c r="Q35" s="3739">
        <v>175000</v>
      </c>
      <c r="R35" s="3739">
        <v>3049.91</v>
      </c>
      <c r="S35" s="3739">
        <v>20795</v>
      </c>
      <c r="T35" s="3739">
        <v>0</v>
      </c>
      <c r="U35" s="3739" t="s">
        <v>3437</v>
      </c>
    </row>
    <row r="36" spans="1:21">
      <c r="A36" s="3739" t="s">
        <v>3436</v>
      </c>
      <c r="B36" s="3739" t="s">
        <v>3435</v>
      </c>
      <c r="C36" s="3739" t="s">
        <v>3414</v>
      </c>
      <c r="D36" s="3739">
        <v>30025.18</v>
      </c>
      <c r="E36" s="3739">
        <v>66055.39</v>
      </c>
      <c r="F36" s="3739">
        <v>2.2000000000000002</v>
      </c>
      <c r="G36" s="3739" t="s">
        <v>3412</v>
      </c>
      <c r="H36" s="3739" t="s">
        <v>3419</v>
      </c>
      <c r="I36" s="3739" t="s">
        <v>3418</v>
      </c>
      <c r="J36" s="3739" t="s">
        <v>3409</v>
      </c>
      <c r="K36" s="3739" t="s">
        <v>3408</v>
      </c>
      <c r="L36" s="3740">
        <v>44495.000497685185</v>
      </c>
      <c r="M36" s="3740">
        <v>44495.000497685185</v>
      </c>
      <c r="N36" s="3739" t="s">
        <v>3407</v>
      </c>
      <c r="O36" s="3739">
        <v>137000</v>
      </c>
      <c r="P36" s="3739">
        <v>137000</v>
      </c>
      <c r="Q36" s="3739">
        <v>137000</v>
      </c>
      <c r="R36" s="3739">
        <v>3041.89</v>
      </c>
      <c r="S36" s="3739">
        <v>20740</v>
      </c>
      <c r="T36" s="3739">
        <v>0</v>
      </c>
      <c r="U36" s="3739" t="s">
        <v>3434</v>
      </c>
    </row>
    <row r="37" spans="1:21">
      <c r="A37" s="3739" t="s">
        <v>3433</v>
      </c>
      <c r="B37" s="3739" t="s">
        <v>3432</v>
      </c>
      <c r="C37" s="3739" t="s">
        <v>3414</v>
      </c>
      <c r="D37" s="3739">
        <v>204418.11</v>
      </c>
      <c r="E37" s="3739">
        <v>302000</v>
      </c>
      <c r="F37" s="3739">
        <v>1.5</v>
      </c>
      <c r="G37" s="3739" t="s">
        <v>3412</v>
      </c>
      <c r="H37" s="3739" t="s">
        <v>3419</v>
      </c>
      <c r="I37" s="3739" t="s">
        <v>3418</v>
      </c>
      <c r="J37" s="3739" t="s">
        <v>3409</v>
      </c>
      <c r="K37" s="3739" t="s">
        <v>3408</v>
      </c>
      <c r="L37" s="3740">
        <v>44495.000497685185</v>
      </c>
      <c r="M37" s="3740">
        <v>44495.000497685185</v>
      </c>
      <c r="N37" s="3739" t="s">
        <v>3407</v>
      </c>
      <c r="O37" s="3739">
        <v>506700</v>
      </c>
      <c r="P37" s="3739">
        <v>101400</v>
      </c>
      <c r="Q37" s="3739">
        <v>506700</v>
      </c>
      <c r="R37" s="3739">
        <v>1652.5</v>
      </c>
      <c r="S37" s="3739">
        <v>16778</v>
      </c>
      <c r="T37" s="3739">
        <v>0</v>
      </c>
      <c r="U37" s="3739" t="s">
        <v>3431</v>
      </c>
    </row>
    <row r="38" spans="1:21">
      <c r="A38" s="3739" t="s">
        <v>3430</v>
      </c>
      <c r="B38" s="3739" t="s">
        <v>3429</v>
      </c>
      <c r="C38" s="3739" t="s">
        <v>3414</v>
      </c>
      <c r="D38" s="3739">
        <v>12136.3</v>
      </c>
      <c r="E38" s="3739">
        <v>42477</v>
      </c>
      <c r="F38" s="3739">
        <v>3.5</v>
      </c>
      <c r="G38" s="3739" t="s">
        <v>3412</v>
      </c>
      <c r="H38" s="3739" t="s">
        <v>3428</v>
      </c>
      <c r="I38" s="3739" t="s">
        <v>3427</v>
      </c>
      <c r="J38" s="3739" t="s">
        <v>3409</v>
      </c>
      <c r="K38" s="3739" t="s">
        <v>3408</v>
      </c>
      <c r="L38" s="3740">
        <v>44495.000497685185</v>
      </c>
      <c r="M38" s="3740">
        <v>44495.000497685185</v>
      </c>
      <c r="N38" s="3739" t="s">
        <v>3407</v>
      </c>
      <c r="O38" s="3739">
        <v>71000</v>
      </c>
      <c r="P38" s="3739">
        <v>14200</v>
      </c>
      <c r="Q38" s="3739">
        <v>71000</v>
      </c>
      <c r="R38" s="3739">
        <v>3900.15</v>
      </c>
      <c r="S38" s="3739">
        <v>16715</v>
      </c>
      <c r="T38" s="3739">
        <v>0</v>
      </c>
      <c r="U38" s="3739" t="s">
        <v>3426</v>
      </c>
    </row>
    <row r="39" spans="1:21">
      <c r="A39" s="3739" t="s">
        <v>3425</v>
      </c>
      <c r="B39" s="3739" t="s">
        <v>3424</v>
      </c>
      <c r="C39" s="3739" t="s">
        <v>3414</v>
      </c>
      <c r="D39" s="3739">
        <v>5907.54</v>
      </c>
      <c r="E39" s="3739">
        <v>21900</v>
      </c>
      <c r="F39" s="3739">
        <v>3.71</v>
      </c>
      <c r="G39" s="3739" t="s">
        <v>3412</v>
      </c>
      <c r="H39" s="3739" t="s">
        <v>3419</v>
      </c>
      <c r="I39" s="3739" t="s">
        <v>3423</v>
      </c>
      <c r="J39" s="3739" t="s">
        <v>3409</v>
      </c>
      <c r="K39" s="3739" t="s">
        <v>3408</v>
      </c>
      <c r="L39" s="3740">
        <v>44495.000497685185</v>
      </c>
      <c r="M39" s="3740">
        <v>44495.000497685185</v>
      </c>
      <c r="N39" s="3739" t="s">
        <v>3407</v>
      </c>
      <c r="O39" s="3739">
        <v>46000</v>
      </c>
      <c r="P39" s="3739">
        <v>9500</v>
      </c>
      <c r="Q39" s="3739">
        <v>46000</v>
      </c>
      <c r="R39" s="3739">
        <v>5191.1099999999997</v>
      </c>
      <c r="S39" s="3739">
        <v>21005</v>
      </c>
      <c r="T39" s="3739">
        <v>0</v>
      </c>
      <c r="U39" s="3739" t="s">
        <v>3422</v>
      </c>
    </row>
    <row r="40" spans="1:21">
      <c r="A40" s="3739" t="s">
        <v>3421</v>
      </c>
      <c r="B40" s="3739" t="s">
        <v>3420</v>
      </c>
      <c r="C40" s="3739" t="s">
        <v>3414</v>
      </c>
      <c r="D40" s="3739">
        <v>25121.77</v>
      </c>
      <c r="E40" s="3739">
        <v>55267.89</v>
      </c>
      <c r="F40" s="3739">
        <v>2.2000000000000002</v>
      </c>
      <c r="G40" s="3739" t="s">
        <v>3412</v>
      </c>
      <c r="H40" s="3739" t="s">
        <v>3419</v>
      </c>
      <c r="I40" s="3739" t="s">
        <v>3418</v>
      </c>
      <c r="J40" s="3739" t="s">
        <v>3409</v>
      </c>
      <c r="K40" s="3739" t="s">
        <v>3408</v>
      </c>
      <c r="L40" s="3740">
        <v>44495.000497685185</v>
      </c>
      <c r="M40" s="3740">
        <v>44495.000497685185</v>
      </c>
      <c r="N40" s="3739" t="s">
        <v>3407</v>
      </c>
      <c r="O40" s="3739">
        <v>115000</v>
      </c>
      <c r="P40" s="3739">
        <v>23000</v>
      </c>
      <c r="Q40" s="3739">
        <v>115000</v>
      </c>
      <c r="R40" s="3739">
        <v>3051.8</v>
      </c>
      <c r="S40" s="3739">
        <v>20808</v>
      </c>
      <c r="T40" s="3739">
        <v>0</v>
      </c>
      <c r="U40" s="3739" t="s">
        <v>3417</v>
      </c>
    </row>
    <row r="41" spans="1:21">
      <c r="A41" s="3739" t="s">
        <v>3416</v>
      </c>
      <c r="B41" s="3739" t="s">
        <v>3415</v>
      </c>
      <c r="C41" s="3739" t="s">
        <v>3414</v>
      </c>
      <c r="D41" s="3739">
        <v>17147.95</v>
      </c>
      <c r="E41" s="3739">
        <v>53158.65</v>
      </c>
      <c r="F41" s="3739" t="s">
        <v>3413</v>
      </c>
      <c r="G41" s="3739" t="s">
        <v>3412</v>
      </c>
      <c r="H41" s="3739" t="s">
        <v>3411</v>
      </c>
      <c r="I41" s="3739" t="s">
        <v>3410</v>
      </c>
      <c r="J41" s="3739" t="s">
        <v>3409</v>
      </c>
      <c r="K41" s="3739" t="s">
        <v>3408</v>
      </c>
      <c r="L41" s="3740">
        <v>44335.000497685185</v>
      </c>
      <c r="M41" s="3740">
        <v>44335.000497685185</v>
      </c>
      <c r="N41" s="3739" t="s">
        <v>3407</v>
      </c>
      <c r="O41" s="3739">
        <v>69200</v>
      </c>
      <c r="P41" s="3739">
        <v>14000</v>
      </c>
      <c r="Q41" s="3739">
        <v>69200</v>
      </c>
      <c r="R41" s="3739">
        <v>2690.31</v>
      </c>
      <c r="S41" s="3739">
        <v>13018</v>
      </c>
      <c r="T41" s="3739">
        <v>0</v>
      </c>
      <c r="U41" s="3739" t="s">
        <v>3406</v>
      </c>
    </row>
  </sheetData>
  <mergeCells count="861">
    <mergeCell ref="B41"/>
    <mergeCell ref="C41"/>
    <mergeCell ref="D41"/>
    <mergeCell ref="E41"/>
    <mergeCell ref="F41"/>
    <mergeCell ref="G41"/>
    <mergeCell ref="A40"/>
    <mergeCell ref="B40"/>
    <mergeCell ref="C40"/>
    <mergeCell ref="D40"/>
    <mergeCell ref="E40"/>
    <mergeCell ref="F40"/>
    <mergeCell ref="G40"/>
    <mergeCell ref="N41"/>
    <mergeCell ref="U41"/>
    <mergeCell ref="O41"/>
    <mergeCell ref="P41"/>
    <mergeCell ref="Q41"/>
    <mergeCell ref="R41"/>
    <mergeCell ref="S41"/>
    <mergeCell ref="H41"/>
    <mergeCell ref="I41"/>
    <mergeCell ref="J41"/>
    <mergeCell ref="K41"/>
    <mergeCell ref="L41"/>
    <mergeCell ref="M41"/>
    <mergeCell ref="T41"/>
    <mergeCell ref="S40"/>
    <mergeCell ref="T40"/>
    <mergeCell ref="A41"/>
    <mergeCell ref="C39"/>
    <mergeCell ref="D39"/>
    <mergeCell ref="E39"/>
    <mergeCell ref="F39"/>
    <mergeCell ref="N40"/>
    <mergeCell ref="U40"/>
    <mergeCell ref="O40"/>
    <mergeCell ref="P40"/>
    <mergeCell ref="Q40"/>
    <mergeCell ref="R40"/>
    <mergeCell ref="H40"/>
    <mergeCell ref="I40"/>
    <mergeCell ref="J40"/>
    <mergeCell ref="K40"/>
    <mergeCell ref="L40"/>
    <mergeCell ref="M40"/>
    <mergeCell ref="R39"/>
    <mergeCell ref="S39"/>
    <mergeCell ref="T39"/>
    <mergeCell ref="A38"/>
    <mergeCell ref="B38"/>
    <mergeCell ref="C38"/>
    <mergeCell ref="D38"/>
    <mergeCell ref="E38"/>
    <mergeCell ref="F38"/>
    <mergeCell ref="M39"/>
    <mergeCell ref="N39"/>
    <mergeCell ref="U39"/>
    <mergeCell ref="O39"/>
    <mergeCell ref="P39"/>
    <mergeCell ref="Q39"/>
    <mergeCell ref="G39"/>
    <mergeCell ref="H39"/>
    <mergeCell ref="I39"/>
    <mergeCell ref="J39"/>
    <mergeCell ref="K39"/>
    <mergeCell ref="L39"/>
    <mergeCell ref="Q38"/>
    <mergeCell ref="R38"/>
    <mergeCell ref="S38"/>
    <mergeCell ref="T38"/>
    <mergeCell ref="A39"/>
    <mergeCell ref="B39"/>
    <mergeCell ref="G38"/>
    <mergeCell ref="H38"/>
    <mergeCell ref="I38"/>
    <mergeCell ref="J38"/>
    <mergeCell ref="K38"/>
    <mergeCell ref="L38"/>
    <mergeCell ref="Q37"/>
    <mergeCell ref="R37"/>
    <mergeCell ref="S37"/>
    <mergeCell ref="M38"/>
    <mergeCell ref="N38"/>
    <mergeCell ref="U38"/>
    <mergeCell ref="O38"/>
    <mergeCell ref="P38"/>
    <mergeCell ref="I37"/>
    <mergeCell ref="J37"/>
    <mergeCell ref="K37"/>
    <mergeCell ref="L37"/>
    <mergeCell ref="M37"/>
    <mergeCell ref="T37"/>
    <mergeCell ref="U37"/>
    <mergeCell ref="O37"/>
    <mergeCell ref="P37"/>
    <mergeCell ref="A37"/>
    <mergeCell ref="B37"/>
    <mergeCell ref="C37"/>
    <mergeCell ref="D37"/>
    <mergeCell ref="E37"/>
    <mergeCell ref="F37"/>
    <mergeCell ref="G37"/>
    <mergeCell ref="H37"/>
    <mergeCell ref="T35"/>
    <mergeCell ref="A36"/>
    <mergeCell ref="B36"/>
    <mergeCell ref="C36"/>
    <mergeCell ref="D36"/>
    <mergeCell ref="E36"/>
    <mergeCell ref="F36"/>
    <mergeCell ref="G36"/>
    <mergeCell ref="N37"/>
    <mergeCell ref="D35"/>
    <mergeCell ref="E35"/>
    <mergeCell ref="F35"/>
    <mergeCell ref="G35"/>
    <mergeCell ref="H35"/>
    <mergeCell ref="N36"/>
    <mergeCell ref="U36"/>
    <mergeCell ref="O36"/>
    <mergeCell ref="P36"/>
    <mergeCell ref="Q36"/>
    <mergeCell ref="R36"/>
    <mergeCell ref="S36"/>
    <mergeCell ref="T36"/>
    <mergeCell ref="H36"/>
    <mergeCell ref="I36"/>
    <mergeCell ref="J36"/>
    <mergeCell ref="K36"/>
    <mergeCell ref="L36"/>
    <mergeCell ref="M36"/>
    <mergeCell ref="A34"/>
    <mergeCell ref="B34"/>
    <mergeCell ref="C34"/>
    <mergeCell ref="D34"/>
    <mergeCell ref="E34"/>
    <mergeCell ref="F34"/>
    <mergeCell ref="G34"/>
    <mergeCell ref="U35"/>
    <mergeCell ref="O35"/>
    <mergeCell ref="P35"/>
    <mergeCell ref="Q35"/>
    <mergeCell ref="R35"/>
    <mergeCell ref="S35"/>
    <mergeCell ref="I35"/>
    <mergeCell ref="J35"/>
    <mergeCell ref="K35"/>
    <mergeCell ref="L35"/>
    <mergeCell ref="M35"/>
    <mergeCell ref="N35"/>
    <mergeCell ref="S34"/>
    <mergeCell ref="T34"/>
    <mergeCell ref="A35"/>
    <mergeCell ref="B35"/>
    <mergeCell ref="C35"/>
    <mergeCell ref="C33"/>
    <mergeCell ref="D33"/>
    <mergeCell ref="E33"/>
    <mergeCell ref="F33"/>
    <mergeCell ref="N34"/>
    <mergeCell ref="U34"/>
    <mergeCell ref="O34"/>
    <mergeCell ref="P34"/>
    <mergeCell ref="Q34"/>
    <mergeCell ref="R34"/>
    <mergeCell ref="H34"/>
    <mergeCell ref="I34"/>
    <mergeCell ref="J34"/>
    <mergeCell ref="K34"/>
    <mergeCell ref="L34"/>
    <mergeCell ref="M34"/>
    <mergeCell ref="R33"/>
    <mergeCell ref="S33"/>
    <mergeCell ref="T33"/>
    <mergeCell ref="A32"/>
    <mergeCell ref="B32"/>
    <mergeCell ref="C32"/>
    <mergeCell ref="D32"/>
    <mergeCell ref="E32"/>
    <mergeCell ref="F32"/>
    <mergeCell ref="M33"/>
    <mergeCell ref="N33"/>
    <mergeCell ref="U33"/>
    <mergeCell ref="O33"/>
    <mergeCell ref="P33"/>
    <mergeCell ref="Q33"/>
    <mergeCell ref="G33"/>
    <mergeCell ref="H33"/>
    <mergeCell ref="I33"/>
    <mergeCell ref="J33"/>
    <mergeCell ref="K33"/>
    <mergeCell ref="L33"/>
    <mergeCell ref="Q32"/>
    <mergeCell ref="R32"/>
    <mergeCell ref="S32"/>
    <mergeCell ref="T32"/>
    <mergeCell ref="A33"/>
    <mergeCell ref="B33"/>
    <mergeCell ref="G32"/>
    <mergeCell ref="H32"/>
    <mergeCell ref="I32"/>
    <mergeCell ref="J32"/>
    <mergeCell ref="K32"/>
    <mergeCell ref="L32"/>
    <mergeCell ref="Q31"/>
    <mergeCell ref="R31"/>
    <mergeCell ref="S31"/>
    <mergeCell ref="M32"/>
    <mergeCell ref="N32"/>
    <mergeCell ref="U32"/>
    <mergeCell ref="O32"/>
    <mergeCell ref="P32"/>
    <mergeCell ref="I31"/>
    <mergeCell ref="J31"/>
    <mergeCell ref="K31"/>
    <mergeCell ref="L31"/>
    <mergeCell ref="M31"/>
    <mergeCell ref="T31"/>
    <mergeCell ref="U31"/>
    <mergeCell ref="O31"/>
    <mergeCell ref="P31"/>
    <mergeCell ref="A31"/>
    <mergeCell ref="B31"/>
    <mergeCell ref="C31"/>
    <mergeCell ref="D31"/>
    <mergeCell ref="E31"/>
    <mergeCell ref="F31"/>
    <mergeCell ref="G31"/>
    <mergeCell ref="H31"/>
    <mergeCell ref="T29"/>
    <mergeCell ref="A30"/>
    <mergeCell ref="B30"/>
    <mergeCell ref="C30"/>
    <mergeCell ref="D30"/>
    <mergeCell ref="E30"/>
    <mergeCell ref="F30"/>
    <mergeCell ref="G30"/>
    <mergeCell ref="N31"/>
    <mergeCell ref="D29"/>
    <mergeCell ref="E29"/>
    <mergeCell ref="F29"/>
    <mergeCell ref="G29"/>
    <mergeCell ref="H29"/>
    <mergeCell ref="N30"/>
    <mergeCell ref="U30"/>
    <mergeCell ref="O30"/>
    <mergeCell ref="P30"/>
    <mergeCell ref="Q30"/>
    <mergeCell ref="R30"/>
    <mergeCell ref="S30"/>
    <mergeCell ref="T30"/>
    <mergeCell ref="H30"/>
    <mergeCell ref="I30"/>
    <mergeCell ref="J30"/>
    <mergeCell ref="K30"/>
    <mergeCell ref="L30"/>
    <mergeCell ref="M30"/>
    <mergeCell ref="A28"/>
    <mergeCell ref="B28"/>
    <mergeCell ref="C28"/>
    <mergeCell ref="D28"/>
    <mergeCell ref="E28"/>
    <mergeCell ref="F28"/>
    <mergeCell ref="G28"/>
    <mergeCell ref="U29"/>
    <mergeCell ref="O29"/>
    <mergeCell ref="P29"/>
    <mergeCell ref="Q29"/>
    <mergeCell ref="R29"/>
    <mergeCell ref="S29"/>
    <mergeCell ref="I29"/>
    <mergeCell ref="J29"/>
    <mergeCell ref="K29"/>
    <mergeCell ref="L29"/>
    <mergeCell ref="M29"/>
    <mergeCell ref="N29"/>
    <mergeCell ref="S28"/>
    <mergeCell ref="T28"/>
    <mergeCell ref="A29"/>
    <mergeCell ref="B29"/>
    <mergeCell ref="C29"/>
    <mergeCell ref="C27"/>
    <mergeCell ref="D27"/>
    <mergeCell ref="E27"/>
    <mergeCell ref="F27"/>
    <mergeCell ref="N28"/>
    <mergeCell ref="U28"/>
    <mergeCell ref="O28"/>
    <mergeCell ref="P28"/>
    <mergeCell ref="Q28"/>
    <mergeCell ref="R28"/>
    <mergeCell ref="H28"/>
    <mergeCell ref="I28"/>
    <mergeCell ref="J28"/>
    <mergeCell ref="K28"/>
    <mergeCell ref="L28"/>
    <mergeCell ref="M28"/>
    <mergeCell ref="R27"/>
    <mergeCell ref="S27"/>
    <mergeCell ref="T27"/>
    <mergeCell ref="A26"/>
    <mergeCell ref="B26"/>
    <mergeCell ref="C26"/>
    <mergeCell ref="D26"/>
    <mergeCell ref="E26"/>
    <mergeCell ref="F26"/>
    <mergeCell ref="M27"/>
    <mergeCell ref="N27"/>
    <mergeCell ref="U27"/>
    <mergeCell ref="O27"/>
    <mergeCell ref="P27"/>
    <mergeCell ref="Q27"/>
    <mergeCell ref="G27"/>
    <mergeCell ref="H27"/>
    <mergeCell ref="I27"/>
    <mergeCell ref="J27"/>
    <mergeCell ref="K27"/>
    <mergeCell ref="L27"/>
    <mergeCell ref="Q26"/>
    <mergeCell ref="R26"/>
    <mergeCell ref="S26"/>
    <mergeCell ref="T26"/>
    <mergeCell ref="A27"/>
    <mergeCell ref="B27"/>
    <mergeCell ref="G26"/>
    <mergeCell ref="H26"/>
    <mergeCell ref="I26"/>
    <mergeCell ref="J26"/>
    <mergeCell ref="K26"/>
    <mergeCell ref="L26"/>
    <mergeCell ref="Q25"/>
    <mergeCell ref="R25"/>
    <mergeCell ref="S25"/>
    <mergeCell ref="M26"/>
    <mergeCell ref="N26"/>
    <mergeCell ref="U26"/>
    <mergeCell ref="O26"/>
    <mergeCell ref="P26"/>
    <mergeCell ref="I25"/>
    <mergeCell ref="J25"/>
    <mergeCell ref="K25"/>
    <mergeCell ref="L25"/>
    <mergeCell ref="M25"/>
    <mergeCell ref="T25"/>
    <mergeCell ref="U25"/>
    <mergeCell ref="O25"/>
    <mergeCell ref="P25"/>
    <mergeCell ref="A25"/>
    <mergeCell ref="B25"/>
    <mergeCell ref="C25"/>
    <mergeCell ref="D25"/>
    <mergeCell ref="E25"/>
    <mergeCell ref="F25"/>
    <mergeCell ref="G25"/>
    <mergeCell ref="H25"/>
    <mergeCell ref="T23"/>
    <mergeCell ref="A24"/>
    <mergeCell ref="B24"/>
    <mergeCell ref="C24"/>
    <mergeCell ref="D24"/>
    <mergeCell ref="E24"/>
    <mergeCell ref="F24"/>
    <mergeCell ref="G24"/>
    <mergeCell ref="N25"/>
    <mergeCell ref="D23"/>
    <mergeCell ref="E23"/>
    <mergeCell ref="F23"/>
    <mergeCell ref="G23"/>
    <mergeCell ref="H23"/>
    <mergeCell ref="N24"/>
    <mergeCell ref="U24"/>
    <mergeCell ref="O24"/>
    <mergeCell ref="P24"/>
    <mergeCell ref="Q24"/>
    <mergeCell ref="R24"/>
    <mergeCell ref="S24"/>
    <mergeCell ref="T24"/>
    <mergeCell ref="H24"/>
    <mergeCell ref="I24"/>
    <mergeCell ref="J24"/>
    <mergeCell ref="K24"/>
    <mergeCell ref="L24"/>
    <mergeCell ref="M24"/>
    <mergeCell ref="A22"/>
    <mergeCell ref="B22"/>
    <mergeCell ref="C22"/>
    <mergeCell ref="D22"/>
    <mergeCell ref="E22"/>
    <mergeCell ref="F22"/>
    <mergeCell ref="G22"/>
    <mergeCell ref="U23"/>
    <mergeCell ref="O23"/>
    <mergeCell ref="P23"/>
    <mergeCell ref="Q23"/>
    <mergeCell ref="R23"/>
    <mergeCell ref="S23"/>
    <mergeCell ref="I23"/>
    <mergeCell ref="J23"/>
    <mergeCell ref="K23"/>
    <mergeCell ref="L23"/>
    <mergeCell ref="M23"/>
    <mergeCell ref="N23"/>
    <mergeCell ref="S22"/>
    <mergeCell ref="T22"/>
    <mergeCell ref="A23"/>
    <mergeCell ref="B23"/>
    <mergeCell ref="C23"/>
    <mergeCell ref="C21"/>
    <mergeCell ref="D21"/>
    <mergeCell ref="E21"/>
    <mergeCell ref="F21"/>
    <mergeCell ref="N22"/>
    <mergeCell ref="U22"/>
    <mergeCell ref="O22"/>
    <mergeCell ref="P22"/>
    <mergeCell ref="Q22"/>
    <mergeCell ref="R22"/>
    <mergeCell ref="H22"/>
    <mergeCell ref="I22"/>
    <mergeCell ref="J22"/>
    <mergeCell ref="K22"/>
    <mergeCell ref="L22"/>
    <mergeCell ref="M22"/>
    <mergeCell ref="R21"/>
    <mergeCell ref="S21"/>
    <mergeCell ref="T21"/>
    <mergeCell ref="A20"/>
    <mergeCell ref="B20"/>
    <mergeCell ref="C20"/>
    <mergeCell ref="D20"/>
    <mergeCell ref="E20"/>
    <mergeCell ref="F20"/>
    <mergeCell ref="M21"/>
    <mergeCell ref="N21"/>
    <mergeCell ref="U21"/>
    <mergeCell ref="O21"/>
    <mergeCell ref="P21"/>
    <mergeCell ref="Q21"/>
    <mergeCell ref="G21"/>
    <mergeCell ref="H21"/>
    <mergeCell ref="I21"/>
    <mergeCell ref="J21"/>
    <mergeCell ref="K21"/>
    <mergeCell ref="L21"/>
    <mergeCell ref="Q20"/>
    <mergeCell ref="R20"/>
    <mergeCell ref="S20"/>
    <mergeCell ref="T20"/>
    <mergeCell ref="A21"/>
    <mergeCell ref="B21"/>
    <mergeCell ref="G20"/>
    <mergeCell ref="H20"/>
    <mergeCell ref="I20"/>
    <mergeCell ref="J20"/>
    <mergeCell ref="K20"/>
    <mergeCell ref="L20"/>
    <mergeCell ref="Q19"/>
    <mergeCell ref="R19"/>
    <mergeCell ref="S19"/>
    <mergeCell ref="M20"/>
    <mergeCell ref="N20"/>
    <mergeCell ref="U20"/>
    <mergeCell ref="O20"/>
    <mergeCell ref="P20"/>
    <mergeCell ref="I19"/>
    <mergeCell ref="J19"/>
    <mergeCell ref="K19"/>
    <mergeCell ref="L19"/>
    <mergeCell ref="M19"/>
    <mergeCell ref="T19"/>
    <mergeCell ref="U19"/>
    <mergeCell ref="O19"/>
    <mergeCell ref="P19"/>
    <mergeCell ref="A19"/>
    <mergeCell ref="B19"/>
    <mergeCell ref="C19"/>
    <mergeCell ref="D19"/>
    <mergeCell ref="E19"/>
    <mergeCell ref="F19"/>
    <mergeCell ref="G19"/>
    <mergeCell ref="H19"/>
    <mergeCell ref="T17"/>
    <mergeCell ref="A18"/>
    <mergeCell ref="B18"/>
    <mergeCell ref="C18"/>
    <mergeCell ref="D18"/>
    <mergeCell ref="E18"/>
    <mergeCell ref="F18"/>
    <mergeCell ref="G18"/>
    <mergeCell ref="N19"/>
    <mergeCell ref="D17"/>
    <mergeCell ref="E17"/>
    <mergeCell ref="F17"/>
    <mergeCell ref="G17"/>
    <mergeCell ref="H17"/>
    <mergeCell ref="N18"/>
    <mergeCell ref="U18"/>
    <mergeCell ref="O18"/>
    <mergeCell ref="P18"/>
    <mergeCell ref="Q18"/>
    <mergeCell ref="R18"/>
    <mergeCell ref="S18"/>
    <mergeCell ref="T18"/>
    <mergeCell ref="H18"/>
    <mergeCell ref="I18"/>
    <mergeCell ref="J18"/>
    <mergeCell ref="K18"/>
    <mergeCell ref="L18"/>
    <mergeCell ref="M18"/>
    <mergeCell ref="A16"/>
    <mergeCell ref="B16"/>
    <mergeCell ref="C16"/>
    <mergeCell ref="D16"/>
    <mergeCell ref="E16"/>
    <mergeCell ref="F16"/>
    <mergeCell ref="G16"/>
    <mergeCell ref="U17"/>
    <mergeCell ref="O17"/>
    <mergeCell ref="P17"/>
    <mergeCell ref="Q17"/>
    <mergeCell ref="R17"/>
    <mergeCell ref="S17"/>
    <mergeCell ref="I17"/>
    <mergeCell ref="J17"/>
    <mergeCell ref="K17"/>
    <mergeCell ref="L17"/>
    <mergeCell ref="M17"/>
    <mergeCell ref="N17"/>
    <mergeCell ref="S16"/>
    <mergeCell ref="T16"/>
    <mergeCell ref="A17"/>
    <mergeCell ref="B17"/>
    <mergeCell ref="C17"/>
    <mergeCell ref="C15"/>
    <mergeCell ref="D15"/>
    <mergeCell ref="E15"/>
    <mergeCell ref="F15"/>
    <mergeCell ref="N16"/>
    <mergeCell ref="U16"/>
    <mergeCell ref="O16"/>
    <mergeCell ref="P16"/>
    <mergeCell ref="Q16"/>
    <mergeCell ref="R16"/>
    <mergeCell ref="H16"/>
    <mergeCell ref="I16"/>
    <mergeCell ref="J16"/>
    <mergeCell ref="K16"/>
    <mergeCell ref="L16"/>
    <mergeCell ref="M16"/>
    <mergeCell ref="R15"/>
    <mergeCell ref="S15"/>
    <mergeCell ref="T15"/>
    <mergeCell ref="A14"/>
    <mergeCell ref="B14"/>
    <mergeCell ref="C14"/>
    <mergeCell ref="D14"/>
    <mergeCell ref="E14"/>
    <mergeCell ref="F14"/>
    <mergeCell ref="M15"/>
    <mergeCell ref="N15"/>
    <mergeCell ref="U15"/>
    <mergeCell ref="O15"/>
    <mergeCell ref="P15"/>
    <mergeCell ref="Q15"/>
    <mergeCell ref="G15"/>
    <mergeCell ref="H15"/>
    <mergeCell ref="I15"/>
    <mergeCell ref="J15"/>
    <mergeCell ref="K15"/>
    <mergeCell ref="L15"/>
    <mergeCell ref="Q14"/>
    <mergeCell ref="R14"/>
    <mergeCell ref="S14"/>
    <mergeCell ref="T14"/>
    <mergeCell ref="A15"/>
    <mergeCell ref="B15"/>
    <mergeCell ref="G14"/>
    <mergeCell ref="H14"/>
    <mergeCell ref="I14"/>
    <mergeCell ref="J14"/>
    <mergeCell ref="K14"/>
    <mergeCell ref="L14"/>
    <mergeCell ref="Q13"/>
    <mergeCell ref="R13"/>
    <mergeCell ref="S13"/>
    <mergeCell ref="M14"/>
    <mergeCell ref="N14"/>
    <mergeCell ref="U14"/>
    <mergeCell ref="O14"/>
    <mergeCell ref="P14"/>
    <mergeCell ref="I13"/>
    <mergeCell ref="J13"/>
    <mergeCell ref="K13"/>
    <mergeCell ref="L13"/>
    <mergeCell ref="M13"/>
    <mergeCell ref="T13"/>
    <mergeCell ref="U13"/>
    <mergeCell ref="O13"/>
    <mergeCell ref="P13"/>
    <mergeCell ref="A13"/>
    <mergeCell ref="B13"/>
    <mergeCell ref="C13"/>
    <mergeCell ref="D13"/>
    <mergeCell ref="E13"/>
    <mergeCell ref="F13"/>
    <mergeCell ref="G13"/>
    <mergeCell ref="H13"/>
    <mergeCell ref="T11"/>
    <mergeCell ref="A12"/>
    <mergeCell ref="B12"/>
    <mergeCell ref="C12"/>
    <mergeCell ref="D12"/>
    <mergeCell ref="E12"/>
    <mergeCell ref="F12"/>
    <mergeCell ref="G12"/>
    <mergeCell ref="N13"/>
    <mergeCell ref="D11"/>
    <mergeCell ref="E11"/>
    <mergeCell ref="F11"/>
    <mergeCell ref="G11"/>
    <mergeCell ref="H11"/>
    <mergeCell ref="N12"/>
    <mergeCell ref="U12"/>
    <mergeCell ref="O12"/>
    <mergeCell ref="P12"/>
    <mergeCell ref="Q12"/>
    <mergeCell ref="R12"/>
    <mergeCell ref="S12"/>
    <mergeCell ref="T12"/>
    <mergeCell ref="H12"/>
    <mergeCell ref="I12"/>
    <mergeCell ref="J12"/>
    <mergeCell ref="K12"/>
    <mergeCell ref="L12"/>
    <mergeCell ref="M12"/>
    <mergeCell ref="A10"/>
    <mergeCell ref="B10"/>
    <mergeCell ref="C10"/>
    <mergeCell ref="D10"/>
    <mergeCell ref="E10"/>
    <mergeCell ref="F10"/>
    <mergeCell ref="G10"/>
    <mergeCell ref="U11"/>
    <mergeCell ref="O11"/>
    <mergeCell ref="P11"/>
    <mergeCell ref="Q11"/>
    <mergeCell ref="R11"/>
    <mergeCell ref="S11"/>
    <mergeCell ref="I11"/>
    <mergeCell ref="J11"/>
    <mergeCell ref="K11"/>
    <mergeCell ref="L11"/>
    <mergeCell ref="M11"/>
    <mergeCell ref="N11"/>
    <mergeCell ref="S10"/>
    <mergeCell ref="T10"/>
    <mergeCell ref="A11"/>
    <mergeCell ref="B11"/>
    <mergeCell ref="C11"/>
    <mergeCell ref="C9"/>
    <mergeCell ref="D9"/>
    <mergeCell ref="E9"/>
    <mergeCell ref="F9"/>
    <mergeCell ref="N10"/>
    <mergeCell ref="U10"/>
    <mergeCell ref="O10"/>
    <mergeCell ref="P10"/>
    <mergeCell ref="Q10"/>
    <mergeCell ref="R10"/>
    <mergeCell ref="H10"/>
    <mergeCell ref="I10"/>
    <mergeCell ref="J10"/>
    <mergeCell ref="K10"/>
    <mergeCell ref="L10"/>
    <mergeCell ref="M10"/>
    <mergeCell ref="R9"/>
    <mergeCell ref="S9"/>
    <mergeCell ref="T9"/>
    <mergeCell ref="A8"/>
    <mergeCell ref="B8"/>
    <mergeCell ref="C8"/>
    <mergeCell ref="D8"/>
    <mergeCell ref="E8"/>
    <mergeCell ref="F8"/>
    <mergeCell ref="M9"/>
    <mergeCell ref="N9"/>
    <mergeCell ref="U9"/>
    <mergeCell ref="O9"/>
    <mergeCell ref="P9"/>
    <mergeCell ref="Q9"/>
    <mergeCell ref="G9"/>
    <mergeCell ref="H9"/>
    <mergeCell ref="I9"/>
    <mergeCell ref="J9"/>
    <mergeCell ref="K9"/>
    <mergeCell ref="L9"/>
    <mergeCell ref="Q8"/>
    <mergeCell ref="R8"/>
    <mergeCell ref="S8"/>
    <mergeCell ref="T8"/>
    <mergeCell ref="A9"/>
    <mergeCell ref="B9"/>
    <mergeCell ref="G8"/>
    <mergeCell ref="H8"/>
    <mergeCell ref="I8"/>
    <mergeCell ref="J8"/>
    <mergeCell ref="K8"/>
    <mergeCell ref="L8"/>
    <mergeCell ref="Q7"/>
    <mergeCell ref="R7"/>
    <mergeCell ref="S7"/>
    <mergeCell ref="M8"/>
    <mergeCell ref="N8"/>
    <mergeCell ref="U8"/>
    <mergeCell ref="O8"/>
    <mergeCell ref="P8"/>
    <mergeCell ref="I7"/>
    <mergeCell ref="J7"/>
    <mergeCell ref="K7"/>
    <mergeCell ref="L7"/>
    <mergeCell ref="M7"/>
    <mergeCell ref="T7"/>
    <mergeCell ref="U7"/>
    <mergeCell ref="O7"/>
    <mergeCell ref="P7"/>
    <mergeCell ref="A7"/>
    <mergeCell ref="B7"/>
    <mergeCell ref="C7"/>
    <mergeCell ref="D7"/>
    <mergeCell ref="E7"/>
    <mergeCell ref="F7"/>
    <mergeCell ref="G7"/>
    <mergeCell ref="H7"/>
    <mergeCell ref="T5"/>
    <mergeCell ref="A6"/>
    <mergeCell ref="B6"/>
    <mergeCell ref="C6"/>
    <mergeCell ref="D6"/>
    <mergeCell ref="E6"/>
    <mergeCell ref="F6"/>
    <mergeCell ref="G6"/>
    <mergeCell ref="N7"/>
    <mergeCell ref="D5"/>
    <mergeCell ref="E5"/>
    <mergeCell ref="F5"/>
    <mergeCell ref="G5"/>
    <mergeCell ref="H5"/>
    <mergeCell ref="N6"/>
    <mergeCell ref="U6"/>
    <mergeCell ref="O6"/>
    <mergeCell ref="P6"/>
    <mergeCell ref="Q6"/>
    <mergeCell ref="R6"/>
    <mergeCell ref="S6"/>
    <mergeCell ref="T6"/>
    <mergeCell ref="H6"/>
    <mergeCell ref="I6"/>
    <mergeCell ref="J6"/>
    <mergeCell ref="K6"/>
    <mergeCell ref="L6"/>
    <mergeCell ref="M6"/>
    <mergeCell ref="A4"/>
    <mergeCell ref="B4"/>
    <mergeCell ref="C4"/>
    <mergeCell ref="D4"/>
    <mergeCell ref="E4"/>
    <mergeCell ref="F4"/>
    <mergeCell ref="G4"/>
    <mergeCell ref="U5"/>
    <mergeCell ref="O5"/>
    <mergeCell ref="P5"/>
    <mergeCell ref="Q5"/>
    <mergeCell ref="R5"/>
    <mergeCell ref="S5"/>
    <mergeCell ref="I5"/>
    <mergeCell ref="J5"/>
    <mergeCell ref="K5"/>
    <mergeCell ref="L5"/>
    <mergeCell ref="M5"/>
    <mergeCell ref="N5"/>
    <mergeCell ref="S4"/>
    <mergeCell ref="T4"/>
    <mergeCell ref="A5"/>
    <mergeCell ref="B5"/>
    <mergeCell ref="C5"/>
    <mergeCell ref="C3"/>
    <mergeCell ref="D3"/>
    <mergeCell ref="E3"/>
    <mergeCell ref="F3"/>
    <mergeCell ref="N4"/>
    <mergeCell ref="U4"/>
    <mergeCell ref="O4"/>
    <mergeCell ref="P4"/>
    <mergeCell ref="Q4"/>
    <mergeCell ref="R4"/>
    <mergeCell ref="H4"/>
    <mergeCell ref="I4"/>
    <mergeCell ref="J4"/>
    <mergeCell ref="K4"/>
    <mergeCell ref="L4"/>
    <mergeCell ref="M4"/>
    <mergeCell ref="R3"/>
    <mergeCell ref="S3"/>
    <mergeCell ref="T3"/>
    <mergeCell ref="A2"/>
    <mergeCell ref="B2"/>
    <mergeCell ref="C2"/>
    <mergeCell ref="D2"/>
    <mergeCell ref="E2"/>
    <mergeCell ref="F2"/>
    <mergeCell ref="M3"/>
    <mergeCell ref="N3"/>
    <mergeCell ref="U3"/>
    <mergeCell ref="O3"/>
    <mergeCell ref="P3"/>
    <mergeCell ref="Q3"/>
    <mergeCell ref="G3"/>
    <mergeCell ref="H3"/>
    <mergeCell ref="I3"/>
    <mergeCell ref="J3"/>
    <mergeCell ref="K3"/>
    <mergeCell ref="L3"/>
    <mergeCell ref="Q2"/>
    <mergeCell ref="R2"/>
    <mergeCell ref="S2"/>
    <mergeCell ref="T2"/>
    <mergeCell ref="A3"/>
    <mergeCell ref="B3"/>
    <mergeCell ref="G2"/>
    <mergeCell ref="H2"/>
    <mergeCell ref="I2"/>
    <mergeCell ref="J2"/>
    <mergeCell ref="K2"/>
    <mergeCell ref="L2"/>
    <mergeCell ref="Q1"/>
    <mergeCell ref="R1"/>
    <mergeCell ref="S1"/>
    <mergeCell ref="M2"/>
    <mergeCell ref="N2"/>
    <mergeCell ref="U2"/>
    <mergeCell ref="O2"/>
    <mergeCell ref="P2"/>
    <mergeCell ref="I1"/>
    <mergeCell ref="J1"/>
    <mergeCell ref="K1"/>
    <mergeCell ref="L1"/>
    <mergeCell ref="M1"/>
    <mergeCell ref="T1"/>
    <mergeCell ref="G1"/>
    <mergeCell ref="H1"/>
    <mergeCell ref="N1"/>
    <mergeCell ref="U1"/>
    <mergeCell ref="O1"/>
    <mergeCell ref="P1"/>
    <mergeCell ref="A1"/>
    <mergeCell ref="B1"/>
    <mergeCell ref="C1"/>
    <mergeCell ref="D1"/>
    <mergeCell ref="E1"/>
    <mergeCell ref="F1"/>
  </mergeCells>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zoomScaleSheetLayoutView="70" workbookViewId="0">
      <selection activeCell="N60" sqref="N6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19102</v>
      </c>
      <c r="C2" s="904"/>
      <c r="D2" s="904"/>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17467</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1"/>
      <c r="M4" s="2712"/>
      <c r="N4" s="2712"/>
      <c r="O4" s="2712"/>
      <c r="P4" s="3698" t="s">
        <v>1775</v>
      </c>
      <c r="Q4" s="3699"/>
      <c r="R4" s="3681" t="s">
        <v>1771</v>
      </c>
      <c r="S4" s="3682"/>
      <c r="T4" s="3681" t="s">
        <v>1772</v>
      </c>
      <c r="U4" s="3682"/>
      <c r="V4" s="3706" t="s">
        <v>1773</v>
      </c>
      <c r="W4" s="3706"/>
      <c r="X4" s="1351"/>
      <c r="Y4" s="3681" t="s">
        <v>1775</v>
      </c>
      <c r="Z4" s="3682"/>
      <c r="AA4" s="3676" t="s">
        <v>1771</v>
      </c>
      <c r="AB4" s="3677" t="s">
        <v>1772</v>
      </c>
      <c r="AC4" s="3676" t="s">
        <v>1773</v>
      </c>
    </row>
    <row r="5" spans="1:30" ht="15">
      <c r="A5" s="358"/>
      <c r="B5" s="359"/>
      <c r="C5" s="3687" t="s">
        <v>1673</v>
      </c>
      <c r="D5" s="3688"/>
      <c r="E5" s="3685" t="str">
        <f>sheet1!A5</f>
        <v>北京市海淀区学院路北端A、B、C、J地块B4综合性商业金融服务业用地、 B23研发设计用地</v>
      </c>
      <c r="F5" s="3686"/>
      <c r="G5" s="3687" t="str">
        <f>sheet1!A12</f>
        <v>北京市朝阳区太阳宫乡0301-613地块B4综合性商业金融服务业用地</v>
      </c>
      <c r="H5" s="3688"/>
      <c r="I5" s="3687" t="str">
        <f>sheet1!A17</f>
        <v>北京市朝阳区朝阳站交通枢纽南侧建设用地一体化项目0313-5597、5598、5599地块B4综合性商业金融服务业用地</v>
      </c>
      <c r="J5" s="3688"/>
      <c r="K5" s="559"/>
      <c r="L5" s="2711"/>
      <c r="M5" s="2712"/>
      <c r="N5" s="2712"/>
      <c r="O5" s="2712"/>
      <c r="P5" s="3700"/>
      <c r="Q5" s="3701"/>
      <c r="R5" s="3683"/>
      <c r="S5" s="3684"/>
      <c r="T5" s="3683"/>
      <c r="U5" s="3684"/>
      <c r="V5" s="3706"/>
      <c r="W5" s="3706"/>
      <c r="X5" s="1351"/>
      <c r="Y5" s="3683"/>
      <c r="Z5" s="3684"/>
      <c r="AA5" s="3677"/>
      <c r="AB5" s="3677"/>
      <c r="AC5" s="3677"/>
    </row>
    <row r="6" spans="1:30" ht="15.75" thickBot="1">
      <c r="A6" s="360"/>
      <c r="B6" s="361"/>
      <c r="C6" s="3689" t="s">
        <v>1677</v>
      </c>
      <c r="D6" s="3690"/>
      <c r="E6" s="3691" t="s">
        <v>1677</v>
      </c>
      <c r="F6" s="3692"/>
      <c r="G6" s="3689" t="s">
        <v>1677</v>
      </c>
      <c r="H6" s="3690"/>
      <c r="I6" s="3689" t="s">
        <v>1677</v>
      </c>
      <c r="J6" s="3690"/>
      <c r="K6" s="559" t="s">
        <v>1678</v>
      </c>
      <c r="L6" s="2711"/>
      <c r="M6" s="2712"/>
      <c r="N6" s="2712"/>
      <c r="O6" s="2712"/>
      <c r="P6" s="3702"/>
      <c r="Q6" s="3703"/>
      <c r="R6" s="3683"/>
      <c r="S6" s="3684"/>
      <c r="T6" s="3704"/>
      <c r="U6" s="3705"/>
      <c r="V6" s="3706"/>
      <c r="W6" s="3706"/>
      <c r="X6" s="1351"/>
      <c r="Y6" s="3704"/>
      <c r="Z6" s="3705"/>
      <c r="AA6" s="3678"/>
      <c r="AB6" s="3678"/>
      <c r="AC6" s="3678"/>
    </row>
    <row r="7" spans="1:30" s="108" customFormat="1" ht="15.75" thickBot="1">
      <c r="A7" s="362" t="s">
        <v>1679</v>
      </c>
      <c r="B7" s="363"/>
      <c r="C7" s="364">
        <f>'数据-取费表'!B2</f>
        <v>45411</v>
      </c>
      <c r="D7" s="365">
        <v>100</v>
      </c>
      <c r="E7" s="366">
        <f>sheet1!M5</f>
        <v>45314.000497685185</v>
      </c>
      <c r="F7" s="367">
        <f>SUMIF(69:69,YEAR(E7)&amp;"-"&amp;INT((MONTH(E7)+2)/3),70:70)</f>
        <v>99.9</v>
      </c>
      <c r="G7" s="1970">
        <f>sheet1!M12</f>
        <v>45114.000497685185</v>
      </c>
      <c r="H7" s="365">
        <f>SUMIF(69:69,YEAR(G7)&amp;"-"&amp;INT((MONTH(G7)+2)/3),70:70)</f>
        <v>99.700000000000017</v>
      </c>
      <c r="I7" s="1970">
        <f>sheet1!M17</f>
        <v>44980.000497685185</v>
      </c>
      <c r="J7" s="365">
        <f>SUMIF(69:69,YEAR(I7)&amp;"-"&amp;INT((MONTH(I7)+2)/3),70:70)</f>
        <v>99.500000000000028</v>
      </c>
      <c r="K7" s="560"/>
      <c r="L7" s="2713"/>
      <c r="M7" s="2714"/>
      <c r="N7" s="2714"/>
      <c r="O7" s="2714"/>
      <c r="P7" s="3679" t="s">
        <v>1680</v>
      </c>
      <c r="Q7" s="3707"/>
      <c r="R7" s="701" t="s">
        <v>14</v>
      </c>
      <c r="S7" s="702">
        <f t="shared" ref="S7:S15" si="0">F7</f>
        <v>99.9</v>
      </c>
      <c r="T7" s="701" t="s">
        <v>14</v>
      </c>
      <c r="U7" s="702">
        <f t="shared" ref="U7:U15" si="1">H7</f>
        <v>99.700000000000017</v>
      </c>
      <c r="V7" s="701" t="s">
        <v>14</v>
      </c>
      <c r="W7" s="702">
        <f t="shared" ref="W7:W15" si="2">J7</f>
        <v>99.500000000000028</v>
      </c>
      <c r="X7" s="703"/>
      <c r="Y7" s="3679" t="s">
        <v>1680</v>
      </c>
      <c r="Z7" s="3680"/>
      <c r="AA7" s="704">
        <f>D7/F7</f>
        <v>1.0010010010010009</v>
      </c>
      <c r="AB7" s="704">
        <f>D7/H7</f>
        <v>1.0030090270812435</v>
      </c>
      <c r="AC7" s="704">
        <f>D7/J7</f>
        <v>1.0050251256281404</v>
      </c>
    </row>
    <row r="8" spans="1:30" s="108" customFormat="1" ht="15.75" thickBot="1">
      <c r="A8" s="362" t="s">
        <v>1681</v>
      </c>
      <c r="B8" s="363"/>
      <c r="C8" s="368" t="s">
        <v>1682</v>
      </c>
      <c r="D8" s="365">
        <v>100</v>
      </c>
      <c r="E8" s="368" t="s">
        <v>3582</v>
      </c>
      <c r="F8" s="367">
        <f>SUMIF(72:72,E8,73:73)-SUMIF(72:72,C8,73:73)+100</f>
        <v>100</v>
      </c>
      <c r="G8" s="368" t="s">
        <v>3582</v>
      </c>
      <c r="H8" s="365">
        <f>SUMIF(72:72,G8,73:73)-SUMIF(72:72,C8,73:73)+100</f>
        <v>100</v>
      </c>
      <c r="I8" s="368" t="s">
        <v>3582</v>
      </c>
      <c r="J8" s="365">
        <f>SUMIF(72:72,I8,73:73)-SUMIF(72:72,C8,73:73)+100</f>
        <v>100</v>
      </c>
      <c r="K8" s="560"/>
      <c r="L8" s="2713"/>
      <c r="M8" s="2714"/>
      <c r="N8" s="2714"/>
      <c r="O8" s="2714"/>
      <c r="P8" s="3679" t="s">
        <v>1683</v>
      </c>
      <c r="Q8" s="3680"/>
      <c r="R8" s="701" t="s">
        <v>14</v>
      </c>
      <c r="S8" s="702">
        <f t="shared" si="0"/>
        <v>100</v>
      </c>
      <c r="T8" s="701" t="s">
        <v>14</v>
      </c>
      <c r="U8" s="702">
        <f t="shared" si="1"/>
        <v>100</v>
      </c>
      <c r="V8" s="701" t="s">
        <v>14</v>
      </c>
      <c r="W8" s="702">
        <f t="shared" si="2"/>
        <v>100</v>
      </c>
      <c r="X8" s="703"/>
      <c r="Y8" s="3679" t="s">
        <v>1683</v>
      </c>
      <c r="Z8" s="3680"/>
      <c r="AA8" s="704">
        <f t="shared" ref="AA8:AA45" si="3">D8/F8</f>
        <v>1</v>
      </c>
      <c r="AB8" s="704">
        <f t="shared" ref="AB8:AB45" si="4">D8/H8</f>
        <v>1</v>
      </c>
      <c r="AC8" s="704">
        <f t="shared" ref="AC8:AC45" si="5">D8/J8</f>
        <v>1</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1" t="s">
        <v>1686</v>
      </c>
      <c r="Q9" s="1339"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143</v>
      </c>
      <c r="G10" s="414"/>
      <c r="H10" s="127">
        <f>ROUND(100/'数据-取费表'!G16,0)</f>
        <v>143</v>
      </c>
      <c r="I10" s="414"/>
      <c r="J10" s="127">
        <f>ROUND(100/'数据-取费表'!G16,0)</f>
        <v>143</v>
      </c>
      <c r="K10" s="620"/>
      <c r="L10" s="2715"/>
      <c r="M10" s="2716"/>
      <c r="N10" s="2716"/>
      <c r="O10" s="2769"/>
      <c r="P10" s="3711"/>
      <c r="Q10" s="1339" t="str">
        <f t="shared" si="6"/>
        <v>土地使用年限（年）</v>
      </c>
      <c r="R10" s="701" t="s">
        <v>14</v>
      </c>
      <c r="S10" s="702">
        <f t="shared" si="0"/>
        <v>143</v>
      </c>
      <c r="T10" s="701" t="s">
        <v>14</v>
      </c>
      <c r="U10" s="702">
        <f t="shared" si="1"/>
        <v>143</v>
      </c>
      <c r="V10" s="701" t="s">
        <v>14</v>
      </c>
      <c r="W10" s="702">
        <f t="shared" si="2"/>
        <v>143</v>
      </c>
      <c r="X10" s="703"/>
      <c r="Y10" s="3623"/>
      <c r="Z10" s="52" t="str">
        <f t="shared" si="7"/>
        <v>土地使用年限（年）</v>
      </c>
      <c r="AA10" s="704">
        <f t="shared" si="3"/>
        <v>0.69930069930069927</v>
      </c>
      <c r="AB10" s="704">
        <f t="shared" si="4"/>
        <v>0.69930069930069927</v>
      </c>
      <c r="AC10" s="704">
        <f t="shared" si="5"/>
        <v>0.69930069930069927</v>
      </c>
    </row>
    <row r="11" spans="1:30" ht="15">
      <c r="A11" s="379"/>
      <c r="B11" s="375" t="s">
        <v>1689</v>
      </c>
      <c r="C11" s="380">
        <v>3.36</v>
      </c>
      <c r="D11" s="127">
        <v>100</v>
      </c>
      <c r="E11" s="380">
        <v>4.04</v>
      </c>
      <c r="F11" s="127">
        <f>LOOKUP(E11,79:79,80:80)-LOOKUP(C11,79:79,80:80)+100</f>
        <v>99</v>
      </c>
      <c r="G11" s="381">
        <v>4.5</v>
      </c>
      <c r="H11" s="127">
        <f>LOOKUP(G11,79:79,80:80)-LOOKUP(C11,79:79,80:80)+100</f>
        <v>99</v>
      </c>
      <c r="I11" s="380">
        <v>4.3899999999999997</v>
      </c>
      <c r="J11" s="127">
        <f>LOOKUP(I11,79:79,80:80)-LOOKUP(C11,79:79,80:80)+100</f>
        <v>99</v>
      </c>
      <c r="K11" s="621">
        <v>1</v>
      </c>
      <c r="L11" s="2717"/>
      <c r="M11" s="2712"/>
      <c r="N11" s="2712"/>
      <c r="O11" s="2770"/>
      <c r="P11" s="3711"/>
      <c r="Q11" s="1339" t="str">
        <f t="shared" si="6"/>
        <v>容积率</v>
      </c>
      <c r="R11" s="701" t="s">
        <v>14</v>
      </c>
      <c r="S11" s="702">
        <f t="shared" si="0"/>
        <v>99</v>
      </c>
      <c r="T11" s="701" t="s">
        <v>14</v>
      </c>
      <c r="U11" s="702">
        <f t="shared" si="1"/>
        <v>99</v>
      </c>
      <c r="V11" s="701" t="s">
        <v>14</v>
      </c>
      <c r="W11" s="702">
        <f t="shared" si="2"/>
        <v>99</v>
      </c>
      <c r="X11" s="703"/>
      <c r="Y11" s="3623"/>
      <c r="Z11" s="52" t="str">
        <f t="shared" si="7"/>
        <v>容积率</v>
      </c>
      <c r="AA11" s="704">
        <f t="shared" si="3"/>
        <v>1.0101010101010102</v>
      </c>
      <c r="AB11" s="704">
        <f t="shared" si="4"/>
        <v>1.0101010101010102</v>
      </c>
      <c r="AC11" s="704">
        <f t="shared" si="5"/>
        <v>1.0101010101010102</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1"/>
      <c r="Q12" s="1339" t="str">
        <f t="shared" si="6"/>
        <v>配建</v>
      </c>
      <c r="R12" s="701" t="s">
        <v>14</v>
      </c>
      <c r="S12" s="702">
        <f t="shared" si="0"/>
        <v>100</v>
      </c>
      <c r="T12" s="701" t="s">
        <v>14</v>
      </c>
      <c r="U12" s="702">
        <f t="shared" si="1"/>
        <v>100</v>
      </c>
      <c r="V12" s="701" t="s">
        <v>14</v>
      </c>
      <c r="W12" s="702">
        <f t="shared" si="2"/>
        <v>100</v>
      </c>
      <c r="X12" s="703"/>
      <c r="Y12" s="3623"/>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1"/>
      <c r="Q13" s="1339">
        <f t="shared" si="6"/>
        <v>111</v>
      </c>
      <c r="R13" s="701" t="s">
        <v>14</v>
      </c>
      <c r="S13" s="702">
        <f t="shared" si="0"/>
        <v>100</v>
      </c>
      <c r="T13" s="701" t="s">
        <v>14</v>
      </c>
      <c r="U13" s="702">
        <f t="shared" si="1"/>
        <v>100</v>
      </c>
      <c r="V13" s="701" t="s">
        <v>14</v>
      </c>
      <c r="W13" s="702">
        <f t="shared" si="2"/>
        <v>100</v>
      </c>
      <c r="X13" s="703"/>
      <c r="Y13" s="3623"/>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1"/>
      <c r="Q14" s="1339">
        <f t="shared" si="6"/>
        <v>111</v>
      </c>
      <c r="R14" s="701" t="s">
        <v>14</v>
      </c>
      <c r="S14" s="702">
        <f t="shared" si="0"/>
        <v>100</v>
      </c>
      <c r="T14" s="701" t="s">
        <v>14</v>
      </c>
      <c r="U14" s="702">
        <f t="shared" si="1"/>
        <v>100</v>
      </c>
      <c r="V14" s="701" t="s">
        <v>14</v>
      </c>
      <c r="W14" s="702">
        <f t="shared" si="2"/>
        <v>100</v>
      </c>
      <c r="X14" s="703"/>
      <c r="Y14" s="3623"/>
      <c r="Z14" s="52">
        <f t="shared" si="7"/>
        <v>111</v>
      </c>
      <c r="AA14" s="704">
        <f>D14/F14</f>
        <v>1</v>
      </c>
      <c r="AB14" s="704">
        <f>D14/H14</f>
        <v>1</v>
      </c>
      <c r="AC14" s="704">
        <f>D14/J14</f>
        <v>1</v>
      </c>
    </row>
    <row r="15" spans="1:30" ht="15">
      <c r="A15" s="391" t="s">
        <v>1690</v>
      </c>
      <c r="B15" s="61" t="s">
        <v>1257</v>
      </c>
      <c r="C15" s="1892">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13" t="s">
        <v>1691</v>
      </c>
      <c r="Q15" s="1348" t="str">
        <f t="shared" si="6"/>
        <v>居住社区成熟度</v>
      </c>
      <c r="R15" s="705" t="s">
        <v>14</v>
      </c>
      <c r="S15" s="706">
        <f t="shared" si="0"/>
        <v>100</v>
      </c>
      <c r="T15" s="705" t="s">
        <v>14</v>
      </c>
      <c r="U15" s="706">
        <f t="shared" si="1"/>
        <v>100</v>
      </c>
      <c r="V15" s="705" t="s">
        <v>14</v>
      </c>
      <c r="W15" s="706">
        <f t="shared" si="2"/>
        <v>100</v>
      </c>
      <c r="X15" s="1351"/>
      <c r="Y15" s="3713"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14"/>
      <c r="Q16" s="1348"/>
      <c r="R16" s="705"/>
      <c r="S16" s="706"/>
      <c r="T16" s="705"/>
      <c r="U16" s="706"/>
      <c r="V16" s="705"/>
      <c r="W16" s="706"/>
      <c r="X16" s="1351"/>
      <c r="Y16" s="3714"/>
      <c r="Z16" s="1352"/>
      <c r="AA16" s="1349">
        <v>1</v>
      </c>
      <c r="AB16" s="1349">
        <v>1</v>
      </c>
      <c r="AC16" s="1349">
        <v>1</v>
      </c>
    </row>
    <row r="17" spans="1:29" ht="15">
      <c r="A17" s="379"/>
      <c r="B17" s="402" t="s">
        <v>1777</v>
      </c>
      <c r="C17" s="1951">
        <f>估价对象房地状况!C16</f>
        <v>0</v>
      </c>
      <c r="D17" s="401">
        <v>100</v>
      </c>
      <c r="E17" s="403"/>
      <c r="F17" s="401">
        <f>SUMIF(89:89,E18,90:90)-SUMIF(89:89,C18,90:90)+100</f>
        <v>100</v>
      </c>
      <c r="G17" s="403"/>
      <c r="H17" s="406">
        <f>SUMIF(89:89,G18,90:90)-SUMIF(89:89,C18,90:90)+100</f>
        <v>102</v>
      </c>
      <c r="I17" s="405"/>
      <c r="J17" s="406">
        <f>SUMIF(89:89,I18,90:90)-SUMIF(89:89,C18,90:90)+100</f>
        <v>100</v>
      </c>
      <c r="K17" s="621">
        <v>2</v>
      </c>
      <c r="L17" s="2718"/>
      <c r="M17" s="2712"/>
      <c r="N17" s="2712"/>
      <c r="O17" s="2770"/>
      <c r="P17" s="3714"/>
      <c r="Q17" s="1348" t="str">
        <f>B17</f>
        <v>商业繁华度</v>
      </c>
      <c r="R17" s="705" t="s">
        <v>14</v>
      </c>
      <c r="S17" s="706">
        <f>F17</f>
        <v>100</v>
      </c>
      <c r="T17" s="705" t="s">
        <v>14</v>
      </c>
      <c r="U17" s="706">
        <f>H17</f>
        <v>102</v>
      </c>
      <c r="V17" s="705" t="s">
        <v>14</v>
      </c>
      <c r="W17" s="706">
        <f>J17</f>
        <v>100</v>
      </c>
      <c r="X17" s="1351"/>
      <c r="Y17" s="3714"/>
      <c r="Z17" s="1352" t="str">
        <f>Q17</f>
        <v>商业繁华度</v>
      </c>
      <c r="AA17" s="1349">
        <f t="shared" si="3"/>
        <v>1</v>
      </c>
      <c r="AB17" s="1349">
        <f t="shared" si="4"/>
        <v>0.98039215686274506</v>
      </c>
      <c r="AC17" s="1349">
        <f t="shared" si="5"/>
        <v>1</v>
      </c>
    </row>
    <row r="18" spans="1:29" ht="15">
      <c r="A18" s="379"/>
      <c r="B18" s="407"/>
      <c r="C18" s="1897" t="s">
        <v>3390</v>
      </c>
      <c r="D18" s="401"/>
      <c r="E18" s="1899" t="s">
        <v>3390</v>
      </c>
      <c r="F18" s="401"/>
      <c r="G18" s="1899" t="s">
        <v>3583</v>
      </c>
      <c r="H18" s="399"/>
      <c r="I18" s="1898" t="s">
        <v>3390</v>
      </c>
      <c r="J18" s="399"/>
      <c r="K18" s="620"/>
      <c r="L18" s="2718"/>
      <c r="M18" s="2712"/>
      <c r="N18" s="2712"/>
      <c r="O18" s="2770"/>
      <c r="P18" s="3714"/>
      <c r="Q18" s="1348"/>
      <c r="R18" s="705"/>
      <c r="S18" s="706"/>
      <c r="T18" s="705"/>
      <c r="U18" s="706"/>
      <c r="V18" s="705"/>
      <c r="W18" s="706"/>
      <c r="X18" s="1351"/>
      <c r="Y18" s="3714"/>
      <c r="Z18" s="1352"/>
      <c r="AA18" s="1349">
        <v>1</v>
      </c>
      <c r="AB18" s="1349">
        <v>1</v>
      </c>
      <c r="AC18" s="1349">
        <v>1</v>
      </c>
    </row>
    <row r="19" spans="1:29" ht="15">
      <c r="A19" s="379"/>
      <c r="B19" s="402" t="s">
        <v>1811</v>
      </c>
      <c r="C19" s="1951">
        <f>估价对象房地状况!C17</f>
        <v>0</v>
      </c>
      <c r="D19" s="406">
        <v>100</v>
      </c>
      <c r="E19" s="408"/>
      <c r="F19" s="406">
        <f>SUMIF(91:91,E20,92:92)-SUMIF(91:91,C20,92:92)+100</f>
        <v>100</v>
      </c>
      <c r="G19" s="408"/>
      <c r="H19" s="401">
        <f>SUMIF(91:91,G20,92:92)-SUMIF(91:91,C20,92:92)+100</f>
        <v>102</v>
      </c>
      <c r="I19" s="410"/>
      <c r="J19" s="401">
        <f>SUMIF(91:91,I20,92:92)-SUMIF(91:91,C20,92:92)+100</f>
        <v>100</v>
      </c>
      <c r="K19" s="621">
        <v>2</v>
      </c>
      <c r="L19" s="2718"/>
      <c r="M19" s="2712"/>
      <c r="N19" s="2712"/>
      <c r="O19" s="2770"/>
      <c r="P19" s="3714"/>
      <c r="Q19" s="1348" t="str">
        <f>B19</f>
        <v>办公集聚程度</v>
      </c>
      <c r="R19" s="705" t="s">
        <v>14</v>
      </c>
      <c r="S19" s="706">
        <f>F19</f>
        <v>100</v>
      </c>
      <c r="T19" s="705" t="s">
        <v>14</v>
      </c>
      <c r="U19" s="706">
        <f>H19</f>
        <v>102</v>
      </c>
      <c r="V19" s="705" t="s">
        <v>14</v>
      </c>
      <c r="W19" s="706">
        <f>J19</f>
        <v>100</v>
      </c>
      <c r="X19" s="1351"/>
      <c r="Y19" s="3714"/>
      <c r="Z19" s="1352" t="str">
        <f>Q19</f>
        <v>办公集聚程度</v>
      </c>
      <c r="AA19" s="1349">
        <f t="shared" si="3"/>
        <v>1</v>
      </c>
      <c r="AB19" s="1349">
        <f t="shared" si="4"/>
        <v>0.98039215686274506</v>
      </c>
      <c r="AC19" s="1349">
        <f t="shared" si="5"/>
        <v>1</v>
      </c>
    </row>
    <row r="20" spans="1:29" ht="15">
      <c r="A20" s="379"/>
      <c r="B20" s="407"/>
      <c r="C20" s="398" t="s">
        <v>3390</v>
      </c>
      <c r="D20" s="399"/>
      <c r="E20" s="1894" t="s">
        <v>3390</v>
      </c>
      <c r="F20" s="399"/>
      <c r="G20" s="1894" t="s">
        <v>3583</v>
      </c>
      <c r="H20" s="399"/>
      <c r="I20" s="1893" t="s">
        <v>3390</v>
      </c>
      <c r="J20" s="399"/>
      <c r="K20" s="620"/>
      <c r="L20" s="2718"/>
      <c r="M20" s="2712"/>
      <c r="N20" s="2712"/>
      <c r="O20" s="2770"/>
      <c r="P20" s="3714"/>
      <c r="Q20" s="1348"/>
      <c r="R20" s="705"/>
      <c r="S20" s="706"/>
      <c r="T20" s="705"/>
      <c r="U20" s="706"/>
      <c r="V20" s="705"/>
      <c r="W20" s="706"/>
      <c r="X20" s="1351"/>
      <c r="Y20" s="3714"/>
      <c r="Z20" s="1352"/>
      <c r="AA20" s="1349">
        <v>1</v>
      </c>
      <c r="AB20" s="1349">
        <v>1</v>
      </c>
      <c r="AC20" s="1349">
        <v>1</v>
      </c>
    </row>
    <row r="21" spans="1:29" ht="15">
      <c r="A21" s="379"/>
      <c r="B21" s="402" t="s">
        <v>1833</v>
      </c>
      <c r="C21" s="1896">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14"/>
      <c r="Q21" s="1348" t="str">
        <f>B21</f>
        <v>交通便捷度</v>
      </c>
      <c r="R21" s="705" t="s">
        <v>14</v>
      </c>
      <c r="S21" s="706">
        <f>F21</f>
        <v>100</v>
      </c>
      <c r="T21" s="705" t="s">
        <v>14</v>
      </c>
      <c r="U21" s="706">
        <f>H21</f>
        <v>100</v>
      </c>
      <c r="V21" s="705" t="s">
        <v>14</v>
      </c>
      <c r="W21" s="706">
        <f>J21</f>
        <v>100</v>
      </c>
      <c r="X21" s="1351"/>
      <c r="Y21" s="3714"/>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20"/>
      <c r="L22" s="2718"/>
      <c r="M22" s="2712"/>
      <c r="N22" s="2712"/>
      <c r="O22" s="2770"/>
      <c r="P22" s="3714"/>
      <c r="Q22" s="1348"/>
      <c r="R22" s="705"/>
      <c r="S22" s="706"/>
      <c r="T22" s="705"/>
      <c r="U22" s="706"/>
      <c r="V22" s="705"/>
      <c r="W22" s="706"/>
      <c r="X22" s="1351"/>
      <c r="Y22" s="3714"/>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14"/>
      <c r="Q23" s="1348" t="str">
        <f t="shared" ref="Q23:Q37" si="8">B23</f>
        <v>区域土地利用方向</v>
      </c>
      <c r="R23" s="705" t="s">
        <v>14</v>
      </c>
      <c r="S23" s="706">
        <f>F23</f>
        <v>100</v>
      </c>
      <c r="T23" s="705" t="s">
        <v>14</v>
      </c>
      <c r="U23" s="706">
        <f>H23</f>
        <v>100</v>
      </c>
      <c r="V23" s="705" t="s">
        <v>14</v>
      </c>
      <c r="W23" s="706">
        <f>J23</f>
        <v>100</v>
      </c>
      <c r="X23" s="1351"/>
      <c r="Y23" s="3714"/>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7"/>
      <c r="L24" s="2718"/>
      <c r="M24" s="2712"/>
      <c r="N24" s="2712"/>
      <c r="O24" s="2770"/>
      <c r="P24" s="3714"/>
      <c r="Q24" s="1348"/>
      <c r="R24" s="705"/>
      <c r="S24" s="706"/>
      <c r="T24" s="705"/>
      <c r="U24" s="706"/>
      <c r="V24" s="705"/>
      <c r="W24" s="706"/>
      <c r="X24" s="1351"/>
      <c r="Y24" s="3714"/>
      <c r="Z24" s="1352"/>
      <c r="AA24" s="1349"/>
      <c r="AB24" s="1349"/>
      <c r="AC24" s="1349"/>
    </row>
    <row r="25" spans="1:29" ht="27">
      <c r="A25" s="358"/>
      <c r="B25" s="1128" t="s">
        <v>1872</v>
      </c>
      <c r="C25" s="1951">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14"/>
      <c r="Q25" s="1348" t="str">
        <f t="shared" si="8"/>
        <v>自然及人文环境状况</v>
      </c>
      <c r="R25" s="705" t="s">
        <v>14</v>
      </c>
      <c r="S25" s="706">
        <f>F25</f>
        <v>100</v>
      </c>
      <c r="T25" s="705" t="s">
        <v>14</v>
      </c>
      <c r="U25" s="706">
        <f>H25</f>
        <v>100</v>
      </c>
      <c r="V25" s="705" t="s">
        <v>14</v>
      </c>
      <c r="W25" s="706">
        <f>J25</f>
        <v>100</v>
      </c>
      <c r="X25" s="1351"/>
      <c r="Y25" s="3714"/>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14"/>
      <c r="Q26" s="1348"/>
      <c r="R26" s="705"/>
      <c r="S26" s="706"/>
      <c r="T26" s="705"/>
      <c r="U26" s="706"/>
      <c r="V26" s="705"/>
      <c r="W26" s="706"/>
      <c r="X26" s="1351"/>
      <c r="Y26" s="3714"/>
      <c r="Z26" s="1352"/>
      <c r="AA26" s="1349">
        <v>1</v>
      </c>
      <c r="AB26" s="1349">
        <v>1</v>
      </c>
      <c r="AC26" s="1349">
        <v>1</v>
      </c>
    </row>
    <row r="27" spans="1:29" s="108" customFormat="1" ht="15">
      <c r="A27" s="597"/>
      <c r="B27" s="1128" t="s">
        <v>1778</v>
      </c>
      <c r="C27" s="1896">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14"/>
      <c r="Q27" s="1339" t="str">
        <f t="shared" si="8"/>
        <v>公共配套设施</v>
      </c>
      <c r="R27" s="701" t="s">
        <v>14</v>
      </c>
      <c r="S27" s="702">
        <f>F27</f>
        <v>100</v>
      </c>
      <c r="T27" s="701" t="s">
        <v>14</v>
      </c>
      <c r="U27" s="702">
        <f>H27</f>
        <v>100</v>
      </c>
      <c r="V27" s="701" t="s">
        <v>14</v>
      </c>
      <c r="W27" s="702">
        <f>J27</f>
        <v>100</v>
      </c>
      <c r="X27" s="703"/>
      <c r="Y27" s="3714"/>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14"/>
      <c r="Q28" s="1339"/>
      <c r="R28" s="701"/>
      <c r="S28" s="702"/>
      <c r="T28" s="701"/>
      <c r="U28" s="702"/>
      <c r="V28" s="701"/>
      <c r="W28" s="702"/>
      <c r="X28" s="703"/>
      <c r="Y28" s="3714"/>
      <c r="Z28" s="52"/>
      <c r="AA28" s="1349">
        <v>1</v>
      </c>
      <c r="AB28" s="1349">
        <v>1</v>
      </c>
      <c r="AC28" s="1349">
        <v>1</v>
      </c>
    </row>
    <row r="29" spans="1:29" s="108" customFormat="1" ht="15">
      <c r="A29" s="597"/>
      <c r="B29" s="1128" t="s">
        <v>1779</v>
      </c>
      <c r="C29" s="1896">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14"/>
      <c r="Q29" s="1339" t="str">
        <f t="shared" ref="Q29" si="9">B29</f>
        <v>基础设施水平</v>
      </c>
      <c r="R29" s="701" t="s">
        <v>14</v>
      </c>
      <c r="S29" s="702">
        <f>F29</f>
        <v>100</v>
      </c>
      <c r="T29" s="701" t="s">
        <v>14</v>
      </c>
      <c r="U29" s="702">
        <f>H29</f>
        <v>100</v>
      </c>
      <c r="V29" s="701" t="s">
        <v>14</v>
      </c>
      <c r="W29" s="702">
        <f>J29</f>
        <v>100</v>
      </c>
      <c r="X29" s="703"/>
      <c r="Y29" s="3714"/>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14"/>
      <c r="Q30" s="1339"/>
      <c r="R30" s="701"/>
      <c r="S30" s="702"/>
      <c r="T30" s="701"/>
      <c r="U30" s="702"/>
      <c r="V30" s="701"/>
      <c r="W30" s="702"/>
      <c r="X30" s="703"/>
      <c r="Y30" s="3714"/>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14"/>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14"/>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14"/>
      <c r="Q32" s="1348" t="str">
        <f t="shared" si="8"/>
        <v>毗邻道路的类型与等级</v>
      </c>
      <c r="R32" s="705" t="s">
        <v>14</v>
      </c>
      <c r="S32" s="706">
        <f t="shared" si="10"/>
        <v>100</v>
      </c>
      <c r="T32" s="705" t="s">
        <v>14</v>
      </c>
      <c r="U32" s="706">
        <f t="shared" si="11"/>
        <v>100</v>
      </c>
      <c r="V32" s="705" t="s">
        <v>14</v>
      </c>
      <c r="W32" s="706">
        <f t="shared" si="12"/>
        <v>100</v>
      </c>
      <c r="X32" s="1351"/>
      <c r="Y32" s="3714"/>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14"/>
      <c r="Q33" s="1348"/>
      <c r="R33" s="705"/>
      <c r="S33" s="706"/>
      <c r="T33" s="705"/>
      <c r="U33" s="706"/>
      <c r="V33" s="705"/>
      <c r="W33" s="706"/>
      <c r="X33" s="1351"/>
      <c r="Y33" s="3714"/>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14"/>
      <c r="Q34" s="1348" t="str">
        <f t="shared" si="8"/>
        <v>土地级别</v>
      </c>
      <c r="R34" s="705" t="s">
        <v>14</v>
      </c>
      <c r="S34" s="706">
        <f t="shared" si="10"/>
        <v>100</v>
      </c>
      <c r="T34" s="705" t="s">
        <v>14</v>
      </c>
      <c r="U34" s="706">
        <f t="shared" si="11"/>
        <v>100</v>
      </c>
      <c r="V34" s="705" t="s">
        <v>14</v>
      </c>
      <c r="W34" s="706">
        <f t="shared" si="12"/>
        <v>100</v>
      </c>
      <c r="X34" s="1351"/>
      <c r="Y34" s="3714"/>
      <c r="Z34" s="1352" t="str">
        <f t="shared" si="13"/>
        <v>土地级别</v>
      </c>
      <c r="AA34" s="1349">
        <f t="shared" si="3"/>
        <v>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14"/>
      <c r="Q35" s="1348">
        <f t="shared" si="8"/>
        <v>111</v>
      </c>
      <c r="R35" s="705" t="s">
        <v>14</v>
      </c>
      <c r="S35" s="706">
        <f t="shared" si="10"/>
        <v>100</v>
      </c>
      <c r="T35" s="705" t="s">
        <v>14</v>
      </c>
      <c r="U35" s="706">
        <f t="shared" si="11"/>
        <v>100</v>
      </c>
      <c r="V35" s="705" t="s">
        <v>14</v>
      </c>
      <c r="W35" s="706">
        <f t="shared" si="12"/>
        <v>100</v>
      </c>
      <c r="X35" s="1351"/>
      <c r="Y35" s="3714"/>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37" t="s">
        <v>1696</v>
      </c>
      <c r="Q36" s="1348">
        <f t="shared" si="8"/>
        <v>111</v>
      </c>
      <c r="R36" s="705" t="s">
        <v>14</v>
      </c>
      <c r="S36" s="706">
        <f t="shared" si="10"/>
        <v>100</v>
      </c>
      <c r="T36" s="705" t="s">
        <v>14</v>
      </c>
      <c r="U36" s="706">
        <f t="shared" si="11"/>
        <v>100</v>
      </c>
      <c r="V36" s="705" t="s">
        <v>14</v>
      </c>
      <c r="W36" s="706">
        <f t="shared" si="12"/>
        <v>100</v>
      </c>
      <c r="X36" s="1351"/>
      <c r="Y36" s="3718"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18"/>
      <c r="Q37" s="1348">
        <f t="shared" si="8"/>
        <v>111</v>
      </c>
      <c r="R37" s="708" t="s">
        <v>14</v>
      </c>
      <c r="S37" s="709">
        <f t="shared" si="10"/>
        <v>100</v>
      </c>
      <c r="T37" s="708" t="s">
        <v>14</v>
      </c>
      <c r="U37" s="709">
        <f t="shared" si="11"/>
        <v>100</v>
      </c>
      <c r="V37" s="708" t="s">
        <v>14</v>
      </c>
      <c r="W37" s="709">
        <f t="shared" si="12"/>
        <v>100</v>
      </c>
      <c r="X37" s="710"/>
      <c r="Y37" s="3718"/>
      <c r="Z37" s="711">
        <f t="shared" si="13"/>
        <v>111</v>
      </c>
      <c r="AA37" s="1349">
        <f t="shared" si="3"/>
        <v>1</v>
      </c>
      <c r="AB37" s="1349">
        <f t="shared" si="4"/>
        <v>1</v>
      </c>
      <c r="AC37" s="1349">
        <f t="shared" si="5"/>
        <v>1</v>
      </c>
    </row>
    <row r="38" spans="1:29" ht="15">
      <c r="A38" s="423" t="s">
        <v>1694</v>
      </c>
      <c r="B38" s="407" t="s">
        <v>1874</v>
      </c>
      <c r="C38" s="627">
        <v>37817.270000000004</v>
      </c>
      <c r="D38" s="418">
        <v>100</v>
      </c>
      <c r="E38" s="627">
        <f>sheet1!D5</f>
        <v>70601.06</v>
      </c>
      <c r="F38" s="418">
        <f>LOOKUP(E38,116:116,117:117)-LOOKUP(C38,116:116,117:117)+100</f>
        <v>100</v>
      </c>
      <c r="G38" s="627">
        <f>sheet1!D12</f>
        <v>10610.35</v>
      </c>
      <c r="H38" s="418">
        <f>LOOKUP(G38,116:116,117:117)-LOOKUP(C38,116:116,117:117)+100</f>
        <v>95</v>
      </c>
      <c r="I38" s="479">
        <f>sheet1!D17</f>
        <v>62796.800000000003</v>
      </c>
      <c r="J38" s="418">
        <f>LOOKUP(I38,116:116,117:117)-LOOKUP(C38,116:116,117:117)+100</f>
        <v>100</v>
      </c>
      <c r="K38" s="562"/>
      <c r="L38" s="2718"/>
      <c r="M38" s="2712"/>
      <c r="N38" s="2712"/>
      <c r="O38" s="2770"/>
      <c r="P38" s="3718"/>
      <c r="Q38" s="1348" t="str">
        <f>B38</f>
        <v>宗地面积</v>
      </c>
      <c r="R38" s="705" t="s">
        <v>14</v>
      </c>
      <c r="S38" s="706">
        <f t="shared" si="10"/>
        <v>100</v>
      </c>
      <c r="T38" s="705" t="s">
        <v>14</v>
      </c>
      <c r="U38" s="706">
        <f t="shared" si="11"/>
        <v>95</v>
      </c>
      <c r="V38" s="705" t="s">
        <v>14</v>
      </c>
      <c r="W38" s="706">
        <f t="shared" si="12"/>
        <v>100</v>
      </c>
      <c r="X38" s="1351"/>
      <c r="Y38" s="3718"/>
      <c r="Z38" s="1352" t="str">
        <f t="shared" si="13"/>
        <v>宗地面积</v>
      </c>
      <c r="AA38" s="1349">
        <f t="shared" si="3"/>
        <v>1</v>
      </c>
      <c r="AB38" s="1349">
        <f t="shared" si="4"/>
        <v>1.0526315789473684</v>
      </c>
      <c r="AC38" s="1349">
        <f t="shared" si="5"/>
        <v>1</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18"/>
      <c r="Q39" s="1348" t="str">
        <f t="shared" ref="Q39:Q45" si="14">B39</f>
        <v>宗地形状</v>
      </c>
      <c r="R39" s="705" t="s">
        <v>14</v>
      </c>
      <c r="S39" s="706">
        <f t="shared" si="10"/>
        <v>100</v>
      </c>
      <c r="T39" s="705" t="s">
        <v>14</v>
      </c>
      <c r="U39" s="706">
        <f t="shared" si="11"/>
        <v>100</v>
      </c>
      <c r="V39" s="705" t="s">
        <v>14</v>
      </c>
      <c r="W39" s="706">
        <f t="shared" si="12"/>
        <v>100</v>
      </c>
      <c r="X39" s="1351"/>
      <c r="Y39" s="3718"/>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18"/>
      <c r="Q40" s="1348" t="str">
        <f t="shared" si="14"/>
        <v>临街宽度及深度</v>
      </c>
      <c r="R40" s="705" t="s">
        <v>14</v>
      </c>
      <c r="S40" s="706">
        <f t="shared" si="10"/>
        <v>100</v>
      </c>
      <c r="T40" s="705" t="s">
        <v>14</v>
      </c>
      <c r="U40" s="706">
        <f t="shared" si="11"/>
        <v>100</v>
      </c>
      <c r="V40" s="705" t="s">
        <v>14</v>
      </c>
      <c r="W40" s="706">
        <f t="shared" si="12"/>
        <v>100</v>
      </c>
      <c r="X40" s="1351"/>
      <c r="Y40" s="3718"/>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18"/>
      <c r="Q41" s="1348"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18" t="s">
        <v>1696</v>
      </c>
      <c r="Q42" s="1348" t="str">
        <f t="shared" si="14"/>
        <v>工程地质条件</v>
      </c>
      <c r="R42" s="705" t="s">
        <v>14</v>
      </c>
      <c r="S42" s="706">
        <f t="shared" si="10"/>
        <v>100</v>
      </c>
      <c r="T42" s="705" t="s">
        <v>14</v>
      </c>
      <c r="U42" s="706">
        <f t="shared" si="11"/>
        <v>100</v>
      </c>
      <c r="V42" s="705" t="s">
        <v>14</v>
      </c>
      <c r="W42" s="706">
        <f t="shared" si="12"/>
        <v>100</v>
      </c>
      <c r="X42" s="1351"/>
      <c r="Y42" s="3718"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18"/>
      <c r="Q43" s="1348">
        <f t="shared" si="14"/>
        <v>111</v>
      </c>
      <c r="R43" s="705" t="s">
        <v>14</v>
      </c>
      <c r="S43" s="706">
        <f t="shared" si="10"/>
        <v>100</v>
      </c>
      <c r="T43" s="705" t="s">
        <v>14</v>
      </c>
      <c r="U43" s="706">
        <f t="shared" si="11"/>
        <v>100</v>
      </c>
      <c r="V43" s="705" t="s">
        <v>14</v>
      </c>
      <c r="W43" s="706">
        <f t="shared" si="12"/>
        <v>100</v>
      </c>
      <c r="X43" s="1351"/>
      <c r="Y43" s="3718"/>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18"/>
      <c r="Q44" s="1348">
        <f t="shared" si="14"/>
        <v>111</v>
      </c>
      <c r="R44" s="705" t="s">
        <v>14</v>
      </c>
      <c r="S44" s="706">
        <f t="shared" si="10"/>
        <v>100</v>
      </c>
      <c r="T44" s="705" t="s">
        <v>14</v>
      </c>
      <c r="U44" s="706">
        <f t="shared" si="11"/>
        <v>100</v>
      </c>
      <c r="V44" s="705" t="s">
        <v>14</v>
      </c>
      <c r="W44" s="706">
        <f t="shared" si="12"/>
        <v>100</v>
      </c>
      <c r="X44" s="1351"/>
      <c r="Y44" s="3718"/>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18"/>
      <c r="Q45" s="1348">
        <f t="shared" si="14"/>
        <v>111</v>
      </c>
      <c r="R45" s="708" t="s">
        <v>14</v>
      </c>
      <c r="S45" s="709">
        <f t="shared" si="10"/>
        <v>100</v>
      </c>
      <c r="T45" s="708" t="s">
        <v>14</v>
      </c>
      <c r="U45" s="709">
        <f t="shared" si="11"/>
        <v>100</v>
      </c>
      <c r="V45" s="708" t="s">
        <v>14</v>
      </c>
      <c r="W45" s="709">
        <f t="shared" si="12"/>
        <v>100</v>
      </c>
      <c r="X45" s="710"/>
      <c r="Y45" s="3718"/>
      <c r="Z45" s="711">
        <f t="shared" si="13"/>
        <v>111</v>
      </c>
      <c r="AA45" s="1349">
        <f t="shared" si="3"/>
        <v>1</v>
      </c>
      <c r="AB45" s="1349">
        <f t="shared" si="4"/>
        <v>1</v>
      </c>
      <c r="AC45" s="1349">
        <f t="shared" si="5"/>
        <v>1</v>
      </c>
    </row>
    <row r="46" spans="1:29" ht="15">
      <c r="A46" s="430" t="s">
        <v>1844</v>
      </c>
      <c r="B46" s="1978" t="s">
        <v>1879</v>
      </c>
      <c r="C46" s="630" t="s">
        <v>0</v>
      </c>
      <c r="D46" s="432"/>
      <c r="E46" s="433">
        <f>sheet1!S5</f>
        <v>22485</v>
      </c>
      <c r="F46" s="434"/>
      <c r="G46" s="435">
        <f>sheet1!S12</f>
        <v>28065</v>
      </c>
      <c r="H46" s="436"/>
      <c r="I46" s="433">
        <f>sheet1!S17</f>
        <v>23078</v>
      </c>
      <c r="J46" s="436"/>
      <c r="K46" s="714"/>
      <c r="L46" s="2720"/>
      <c r="M46" s="2721"/>
      <c r="N46" s="2712"/>
      <c r="O46" s="2721"/>
      <c r="P46" s="3711" t="str">
        <f>A46</f>
        <v>成交单价</v>
      </c>
      <c r="Q46" s="3711"/>
      <c r="R46" s="3706">
        <f>E46</f>
        <v>22485</v>
      </c>
      <c r="S46" s="3706"/>
      <c r="T46" s="3706">
        <f>G46</f>
        <v>28065</v>
      </c>
      <c r="U46" s="3706"/>
      <c r="V46" s="3706">
        <f>I46</f>
        <v>23078</v>
      </c>
      <c r="W46" s="3706"/>
      <c r="X46" s="690"/>
      <c r="Y46" s="712"/>
      <c r="Z46" s="690"/>
      <c r="AA46" s="690"/>
      <c r="AB46" s="690"/>
      <c r="AC46" s="690"/>
    </row>
    <row r="47" spans="1:29" ht="15.75" thickBot="1">
      <c r="A47" s="437" t="s">
        <v>1793</v>
      </c>
      <c r="B47" s="631"/>
      <c r="C47" s="440">
        <f>R48</f>
        <v>17467</v>
      </c>
      <c r="D47" s="2313" t="s">
        <v>2138</v>
      </c>
      <c r="E47" s="440">
        <f>R47</f>
        <v>15899</v>
      </c>
      <c r="F47" s="2314"/>
      <c r="G47" s="439">
        <f>T47</f>
        <v>20118</v>
      </c>
      <c r="H47" s="2314"/>
      <c r="I47" s="440">
        <f>V47</f>
        <v>16383</v>
      </c>
      <c r="J47" s="2314"/>
      <c r="K47" s="2316">
        <f>F47+H47+J47</f>
        <v>0</v>
      </c>
      <c r="L47" s="2720"/>
      <c r="M47" s="2721"/>
      <c r="N47" s="2721"/>
      <c r="O47" s="2721"/>
      <c r="P47" s="3711" t="str">
        <f>A47</f>
        <v>比较价值（元/平方米）</v>
      </c>
      <c r="Q47" s="3711"/>
      <c r="R47" s="3745">
        <f>ROUND(PRODUCT(R46,AA7:AA45),0)</f>
        <v>15899</v>
      </c>
      <c r="S47" s="3745"/>
      <c r="T47" s="3745">
        <f>ROUND(PRODUCT(T46,AB7:AB45),0)</f>
        <v>20118</v>
      </c>
      <c r="U47" s="3745"/>
      <c r="V47" s="3745">
        <f>ROUND(PRODUCT(V46,AC7:AC45),0)</f>
        <v>16383</v>
      </c>
      <c r="W47" s="3745"/>
      <c r="X47" s="690"/>
      <c r="Y47" s="690"/>
      <c r="Z47" s="690"/>
      <c r="AA47" s="690"/>
      <c r="AB47" s="690"/>
      <c r="AC47" s="690"/>
    </row>
    <row r="48" spans="1:29" ht="15.75" thickBot="1">
      <c r="A48" s="441" t="s">
        <v>1880</v>
      </c>
      <c r="B48" s="442"/>
      <c r="C48" s="443">
        <f>R48</f>
        <v>17467</v>
      </c>
      <c r="D48" s="443"/>
      <c r="E48" s="443"/>
      <c r="F48" s="443"/>
      <c r="G48" s="443"/>
      <c r="H48" s="443"/>
      <c r="I48" s="443"/>
      <c r="J48" s="443"/>
      <c r="K48" s="715"/>
      <c r="L48" s="2720"/>
      <c r="M48" s="2721"/>
      <c r="N48" s="2721"/>
      <c r="O48" s="2721"/>
      <c r="P48" s="3708" t="str">
        <f>A48</f>
        <v>估价对象XX用房的比较价值（楼面单价，元/平方米）</v>
      </c>
      <c r="Q48" s="3709"/>
      <c r="R48" s="3746">
        <f>ROUND(IF(D47="简单平均",AVERAGE(R47:W47),R47*F47+T47*H47+V47*J47),0)</f>
        <v>17467</v>
      </c>
      <c r="S48" s="3746"/>
      <c r="T48" s="3746"/>
      <c r="U48" s="3746"/>
      <c r="V48" s="3746"/>
      <c r="W48" s="3746"/>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0.4142398893012138</v>
      </c>
      <c r="F51" s="449" t="str">
        <f>IF(OR(E51&gt;=0.3,E51&lt;=-0.3),"超过30%","")</f>
        <v>超过30%</v>
      </c>
      <c r="G51" s="448">
        <f>IF(G46&lt;G47,G47/G46-1,G46/G47-1)</f>
        <v>0.39501938562481365</v>
      </c>
      <c r="H51" s="449" t="str">
        <f>IF(OR(G51&gt;=0.3,G51&lt;=-0.3),"超过30%","")</f>
        <v>超过30%</v>
      </c>
      <c r="I51" s="448">
        <f>IF(I46&lt;I47,I47/I46-1,I46/I47-1)</f>
        <v>0.40865531343465777</v>
      </c>
      <c r="J51" s="449" t="str">
        <f>IF(OR(I51&gt;=0.3,I51&lt;=-0.3),"超过30%","")</f>
        <v>超过30%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0.26536260142147294</v>
      </c>
      <c r="F52" s="449" t="str">
        <f>IF(OR(E52&gt;=0.2,E52&lt;=-0.2),"超过20%","")</f>
        <v>超过20%</v>
      </c>
      <c r="G52" s="448">
        <f>IF(G47&lt;I47,I47/G47-1,G47/I47-1)</f>
        <v>0.22798022340230717</v>
      </c>
      <c r="H52" s="449" t="str">
        <f>IF(OR(G52&gt;=0.2,G52&lt;=-0.2),"超过20%","")</f>
        <v>超过20%</v>
      </c>
      <c r="I52" s="448">
        <f>IF(I47&lt;E47,E47/I47-1,I47/E47-1)</f>
        <v>3.0442166173973106E-2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0.2481654436290861</v>
      </c>
      <c r="F53" s="449" t="str">
        <f>IF(OR(E53&gt;=0.3,E53&lt;=-0.3),"超过30%","")</f>
        <v/>
      </c>
      <c r="G53" s="448">
        <f>IF(G46&lt;I46,I46/G46-1,G46/I46-1)</f>
        <v>0.21609324898171423</v>
      </c>
      <c r="H53" s="449" t="str">
        <f>IF(OR(G53&gt;=0.3,G53&lt;=-0.3),"超过30%","")</f>
        <v/>
      </c>
      <c r="I53" s="448">
        <f>IF(I46&lt;E46,E46/I46-1,I46/E46-1)</f>
        <v>2.637313764732041E-2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7" t="s">
        <v>1886</v>
      </c>
      <c r="G55" s="3694" t="s">
        <v>1887</v>
      </c>
      <c r="H55" s="3747"/>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17467</v>
      </c>
      <c r="C56" s="638">
        <v>1</v>
      </c>
      <c r="D56" s="941">
        <v>1</v>
      </c>
      <c r="E56" s="638">
        <f>'数据-汇总表'!E8+'数据-汇总表'!E9</f>
        <v>10935.989999999998</v>
      </c>
      <c r="F56" s="883">
        <f t="shared" ref="F56:F64" si="15">ROUND(B56*E56/10000,0)</f>
        <v>19102</v>
      </c>
      <c r="G56" s="3693"/>
      <c r="H56" s="3711"/>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2620</v>
      </c>
      <c r="C57" s="171">
        <f t="shared" ref="C57:C64" si="16">IF($C$55="北京市系数",I57,J57)</f>
        <v>0.6</v>
      </c>
      <c r="D57" s="942">
        <v>0.25</v>
      </c>
      <c r="E57" s="642"/>
      <c r="F57" s="883">
        <f t="shared" si="15"/>
        <v>0</v>
      </c>
      <c r="G57" s="3000" t="s">
        <v>1892</v>
      </c>
      <c r="H57" s="884" t="str">
        <f>项目基本情况!B37</f>
        <v>五级</v>
      </c>
      <c r="I57" s="888">
        <f>SUMIF(修正!A57:A68,H57,修正!B57:B68)</f>
        <v>0.6</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1310</v>
      </c>
      <c r="C58" s="171">
        <f t="shared" si="16"/>
        <v>0.3</v>
      </c>
      <c r="D58" s="942">
        <v>0.25</v>
      </c>
      <c r="E58" s="642"/>
      <c r="F58" s="883">
        <f t="shared" si="15"/>
        <v>0</v>
      </c>
      <c r="G58" s="3001"/>
      <c r="H58" s="884" t="str">
        <f>项目基本情况!B37</f>
        <v>五级</v>
      </c>
      <c r="I58" s="888">
        <f>SUMIF(修正!A57:A68,H58,修正!C57:C68)</f>
        <v>0.3</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1092</v>
      </c>
      <c r="C59" s="171">
        <f t="shared" si="16"/>
        <v>0.25</v>
      </c>
      <c r="D59" s="942">
        <v>0.25</v>
      </c>
      <c r="E59" s="642"/>
      <c r="F59" s="883">
        <f t="shared" si="15"/>
        <v>0</v>
      </c>
      <c r="G59" s="3001"/>
      <c r="H59" s="884" t="str">
        <f>项目基本情况!B37</f>
        <v>五级</v>
      </c>
      <c r="I59" s="888">
        <f>SUMIF(修正!A57:A68,H59,修正!D57:D68)</f>
        <v>0.25</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2">
        <v>0.25</v>
      </c>
      <c r="E60" s="217">
        <f>'数据-汇总表'!E11</f>
        <v>0</v>
      </c>
      <c r="F60" s="883">
        <f t="shared" si="15"/>
        <v>0</v>
      </c>
      <c r="G60" s="1983"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0</v>
      </c>
      <c r="C61" s="171">
        <f t="shared" si="16"/>
        <v>0</v>
      </c>
      <c r="D61" s="942">
        <v>0.25</v>
      </c>
      <c r="E61" s="217">
        <f>'数据-汇总表'!E12</f>
        <v>0</v>
      </c>
      <c r="F61" s="883">
        <f t="shared" si="15"/>
        <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0</v>
      </c>
      <c r="C62" s="171">
        <f t="shared" si="16"/>
        <v>0</v>
      </c>
      <c r="D62" s="942">
        <v>0.25</v>
      </c>
      <c r="E62" s="217">
        <f>'数据-汇总表'!E13</f>
        <v>0</v>
      </c>
      <c r="F62" s="883">
        <f t="shared" si="15"/>
        <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655</v>
      </c>
      <c r="C63" s="171">
        <f t="shared" si="16"/>
        <v>0.15</v>
      </c>
      <c r="D63" s="942">
        <v>0.25</v>
      </c>
      <c r="E63" s="217">
        <f>'数据-汇总表'!E14</f>
        <v>0</v>
      </c>
      <c r="F63" s="883">
        <f t="shared" si="15"/>
        <v>0</v>
      </c>
      <c r="G63" s="1983" t="s">
        <v>1892</v>
      </c>
      <c r="H63" s="884" t="str">
        <f>项目基本情况!B37</f>
        <v>五级</v>
      </c>
      <c r="I63" s="888">
        <f>SUMIF(修正!A57:A68,H63,修正!G57:G68)</f>
        <v>0.15</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2">
        <v>0.25</v>
      </c>
      <c r="E64" s="217">
        <f>'数据-汇总表'!E15</f>
        <v>0</v>
      </c>
      <c r="F64" s="883">
        <f t="shared" si="15"/>
        <v>0</v>
      </c>
      <c r="G64" s="1984"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10935.989999999998</v>
      </c>
      <c r="F65" s="645">
        <f>IF(B46="楼面地价",SUM(F56:F64),ROUND(C48*E65/10000,0))</f>
        <v>19102</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f>C70-$C$71</f>
        <v>99.9</v>
      </c>
      <c r="E70" s="544">
        <f t="shared" ref="E70:O70" si="20">D70-$C$71</f>
        <v>99.800000000000011</v>
      </c>
      <c r="F70" s="544">
        <f t="shared" si="20"/>
        <v>99.700000000000017</v>
      </c>
      <c r="G70" s="544">
        <f t="shared" si="20"/>
        <v>99.600000000000023</v>
      </c>
      <c r="H70" s="544">
        <f t="shared" si="20"/>
        <v>99.500000000000028</v>
      </c>
      <c r="I70" s="544">
        <f t="shared" si="20"/>
        <v>99.400000000000034</v>
      </c>
      <c r="J70" s="544">
        <f t="shared" si="20"/>
        <v>99.30000000000004</v>
      </c>
      <c r="K70" s="544">
        <f t="shared" si="20"/>
        <v>99.200000000000045</v>
      </c>
      <c r="L70" s="544">
        <f t="shared" si="20"/>
        <v>99.100000000000051</v>
      </c>
      <c r="M70" s="544">
        <f t="shared" si="20"/>
        <v>99.000000000000057</v>
      </c>
      <c r="N70" s="544">
        <f t="shared" si="20"/>
        <v>98.900000000000063</v>
      </c>
      <c r="O70" s="544">
        <f t="shared" si="20"/>
        <v>98.800000000000068</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v>0.1</v>
      </c>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6（含）-7</v>
      </c>
      <c r="J78" s="496" t="str">
        <f t="shared" si="21"/>
        <v>7（含）-8</v>
      </c>
      <c r="K78" s="496" t="str">
        <f t="shared" si="21"/>
        <v>8（含）-9</v>
      </c>
      <c r="L78" s="496" t="str">
        <f t="shared" si="21"/>
        <v>9（含）-10</v>
      </c>
      <c r="M78" s="399" t="str">
        <f>M79&amp;"（含）"&amp;"-"&amp;P79</f>
        <v>10（含）-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v>4</v>
      </c>
      <c r="H79" s="498">
        <v>5</v>
      </c>
      <c r="I79" s="498">
        <v>6</v>
      </c>
      <c r="J79" s="498">
        <v>7</v>
      </c>
      <c r="K79" s="498">
        <v>8</v>
      </c>
      <c r="L79" s="498">
        <v>9</v>
      </c>
      <c r="M79" s="498">
        <v>10</v>
      </c>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2">IF($B$46="单位面积地价",C80+$K11,C80-$K11)</f>
        <v>99</v>
      </c>
      <c r="E80" s="493">
        <f t="shared" si="22"/>
        <v>98</v>
      </c>
      <c r="F80" s="493">
        <f t="shared" si="22"/>
        <v>97</v>
      </c>
      <c r="G80" s="493">
        <f t="shared" si="22"/>
        <v>96</v>
      </c>
      <c r="H80" s="493">
        <f t="shared" si="22"/>
        <v>95</v>
      </c>
      <c r="I80" s="493">
        <f t="shared" si="22"/>
        <v>94</v>
      </c>
      <c r="J80" s="493">
        <f t="shared" si="22"/>
        <v>93</v>
      </c>
      <c r="K80" s="493">
        <f t="shared" si="22"/>
        <v>92</v>
      </c>
      <c r="L80" s="493">
        <f t="shared" si="22"/>
        <v>91</v>
      </c>
      <c r="M80" s="493">
        <f t="shared" si="22"/>
        <v>90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0(含)-5000</v>
      </c>
      <c r="D115" s="478" t="str">
        <f t="shared" ref="D115:M115" si="26">D116&amp;"(含)"&amp;"-"&amp;E116</f>
        <v>5000(含)-10000</v>
      </c>
      <c r="E115" s="478" t="str">
        <f t="shared" si="26"/>
        <v>10000(含)-15000</v>
      </c>
      <c r="F115" s="478" t="str">
        <f t="shared" si="26"/>
        <v>15000(含)-20000</v>
      </c>
      <c r="G115" s="478" t="str">
        <f t="shared" si="26"/>
        <v>20000(含)-25000</v>
      </c>
      <c r="H115" s="478" t="str">
        <f t="shared" si="26"/>
        <v>25000(含)-30000</v>
      </c>
      <c r="I115" s="478" t="str">
        <f t="shared" si="26"/>
        <v>30000(含)-35000</v>
      </c>
      <c r="J115" s="478" t="str">
        <f t="shared" si="26"/>
        <v>35000(含)-</v>
      </c>
      <c r="K115" s="478" t="str">
        <f t="shared" si="26"/>
        <v>(含)-</v>
      </c>
      <c r="L115" s="478" t="str">
        <f t="shared" si="26"/>
        <v>(含)-</v>
      </c>
      <c r="M115" s="478" t="str">
        <f t="shared" si="26"/>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5000</v>
      </c>
      <c r="E116" s="544">
        <v>10000</v>
      </c>
      <c r="F116" s="544">
        <v>15000</v>
      </c>
      <c r="G116" s="544">
        <v>20000</v>
      </c>
      <c r="H116" s="544">
        <v>25000</v>
      </c>
      <c r="I116" s="544">
        <v>30000</v>
      </c>
      <c r="J116" s="544">
        <v>35000</v>
      </c>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101</v>
      </c>
      <c r="E117" s="519">
        <v>102</v>
      </c>
      <c r="F117" s="540">
        <v>103</v>
      </c>
      <c r="G117" s="519">
        <v>104</v>
      </c>
      <c r="H117" s="540">
        <v>105</v>
      </c>
      <c r="I117" s="519">
        <v>106</v>
      </c>
      <c r="J117" s="540">
        <v>107</v>
      </c>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5"/>
      <c r="D2" s="905"/>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1"/>
      <c r="M4" s="2712"/>
      <c r="N4" s="2712"/>
      <c r="O4" s="2712"/>
      <c r="P4" s="3698" t="s">
        <v>1775</v>
      </c>
      <c r="Q4" s="3699"/>
      <c r="R4" s="3681" t="s">
        <v>1771</v>
      </c>
      <c r="S4" s="3682"/>
      <c r="T4" s="3681" t="s">
        <v>1772</v>
      </c>
      <c r="U4" s="3682"/>
      <c r="V4" s="3706" t="s">
        <v>1773</v>
      </c>
      <c r="W4" s="3706"/>
      <c r="X4" s="1351"/>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1"/>
      <c r="M5" s="2712"/>
      <c r="N5" s="2712"/>
      <c r="O5" s="2712"/>
      <c r="P5" s="3700"/>
      <c r="Q5" s="3701"/>
      <c r="R5" s="3683"/>
      <c r="S5" s="3684"/>
      <c r="T5" s="3683"/>
      <c r="U5" s="3684"/>
      <c r="V5" s="3706"/>
      <c r="W5" s="3706"/>
      <c r="X5" s="1351"/>
      <c r="Y5" s="3683"/>
      <c r="Z5" s="3684"/>
      <c r="AA5" s="3677"/>
      <c r="AB5" s="3677"/>
      <c r="AC5" s="3677"/>
    </row>
    <row r="6" spans="1:29" ht="15.75" thickBot="1">
      <c r="A6" s="360"/>
      <c r="B6" s="361"/>
      <c r="C6" s="3748" t="s">
        <v>1919</v>
      </c>
      <c r="D6" s="3749"/>
      <c r="E6" s="3750" t="s">
        <v>1919</v>
      </c>
      <c r="F6" s="3751"/>
      <c r="G6" s="3748" t="s">
        <v>1919</v>
      </c>
      <c r="H6" s="3749"/>
      <c r="I6" s="3748" t="s">
        <v>1919</v>
      </c>
      <c r="J6" s="3749"/>
      <c r="K6" s="559" t="s">
        <v>1678</v>
      </c>
      <c r="L6" s="2711"/>
      <c r="M6" s="2712"/>
      <c r="N6" s="2712"/>
      <c r="O6" s="2712"/>
      <c r="P6" s="3702"/>
      <c r="Q6" s="3703"/>
      <c r="R6" s="3683"/>
      <c r="S6" s="3684"/>
      <c r="T6" s="3704"/>
      <c r="U6" s="3705"/>
      <c r="V6" s="3706"/>
      <c r="W6" s="3706"/>
      <c r="X6" s="1351"/>
      <c r="Y6" s="3704"/>
      <c r="Z6" s="3705"/>
      <c r="AA6" s="3678"/>
      <c r="AB6" s="3678"/>
      <c r="AC6" s="3678"/>
    </row>
    <row r="7" spans="1:29" s="108" customFormat="1" ht="15.75" thickBot="1">
      <c r="A7" s="362" t="s">
        <v>1679</v>
      </c>
      <c r="B7" s="363"/>
      <c r="C7" s="364">
        <f>'数据-取费表'!B2</f>
        <v>45411</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79" t="s">
        <v>1683</v>
      </c>
      <c r="Q8" s="3680"/>
      <c r="R8" s="701" t="s">
        <v>14</v>
      </c>
      <c r="S8" s="702">
        <f t="shared" si="0"/>
        <v>0</v>
      </c>
      <c r="T8" s="701" t="s">
        <v>14</v>
      </c>
      <c r="U8" s="702">
        <f t="shared" si="1"/>
        <v>0</v>
      </c>
      <c r="V8" s="701" t="s">
        <v>14</v>
      </c>
      <c r="W8" s="702">
        <f t="shared" si="2"/>
        <v>0</v>
      </c>
      <c r="X8" s="703"/>
      <c r="Y8" s="3679" t="s">
        <v>1683</v>
      </c>
      <c r="Z8" s="3680"/>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1" t="s">
        <v>1686</v>
      </c>
      <c r="Q9" s="1339"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20"/>
      <c r="L10" s="2715"/>
      <c r="M10" s="2716"/>
      <c r="N10" s="2716"/>
      <c r="O10" s="2769"/>
      <c r="P10" s="3711"/>
      <c r="Q10" s="1339" t="str">
        <f t="shared" si="6"/>
        <v>土地使用年限（年）</v>
      </c>
      <c r="R10" s="701" t="s">
        <v>14</v>
      </c>
      <c r="S10" s="702">
        <f t="shared" si="0"/>
        <v>143</v>
      </c>
      <c r="T10" s="701" t="s">
        <v>14</v>
      </c>
      <c r="U10" s="702">
        <f t="shared" si="1"/>
        <v>143</v>
      </c>
      <c r="V10" s="701" t="s">
        <v>14</v>
      </c>
      <c r="W10" s="702">
        <f t="shared" si="2"/>
        <v>143</v>
      </c>
      <c r="X10" s="703"/>
      <c r="Y10" s="3623"/>
      <c r="Z10" s="52" t="str">
        <f t="shared" si="7"/>
        <v>土地使用年限（年）</v>
      </c>
      <c r="AA10" s="704">
        <f t="shared" si="3"/>
        <v>0.69930069930069927</v>
      </c>
      <c r="AB10" s="704">
        <f t="shared" si="4"/>
        <v>0.69930069930069927</v>
      </c>
      <c r="AC10" s="704">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1"/>
      <c r="Q11" s="1339"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1"/>
      <c r="Q12" s="1339">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1"/>
      <c r="Q13" s="1339">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1"/>
      <c r="Q14" s="1339">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15">
      <c r="A15" s="391" t="s">
        <v>1690</v>
      </c>
      <c r="B15" s="577" t="s">
        <v>1920</v>
      </c>
      <c r="C15" s="1967">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13" t="s">
        <v>1691</v>
      </c>
      <c r="Q15" s="1348" t="str">
        <f t="shared" si="6"/>
        <v>产业集聚程度</v>
      </c>
      <c r="R15" s="705" t="s">
        <v>14</v>
      </c>
      <c r="S15" s="706">
        <f t="shared" si="0"/>
        <v>100</v>
      </c>
      <c r="T15" s="705" t="s">
        <v>14</v>
      </c>
      <c r="U15" s="706">
        <f t="shared" si="1"/>
        <v>100</v>
      </c>
      <c r="V15" s="705" t="s">
        <v>14</v>
      </c>
      <c r="W15" s="706">
        <f t="shared" si="2"/>
        <v>100</v>
      </c>
      <c r="X15" s="1351"/>
      <c r="Y15" s="3713"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14"/>
      <c r="Q16" s="1348"/>
      <c r="R16" s="705"/>
      <c r="S16" s="706"/>
      <c r="T16" s="705"/>
      <c r="U16" s="706"/>
      <c r="V16" s="705"/>
      <c r="W16" s="706"/>
      <c r="X16" s="1351"/>
      <c r="Y16" s="3714"/>
      <c r="Z16" s="1352"/>
      <c r="AA16" s="1349">
        <v>1</v>
      </c>
      <c r="AB16" s="1349">
        <v>1</v>
      </c>
      <c r="AC16" s="1349">
        <v>1</v>
      </c>
    </row>
    <row r="17" spans="1:29" ht="15">
      <c r="A17" s="379"/>
      <c r="B17" s="579" t="s">
        <v>1833</v>
      </c>
      <c r="C17" s="1896">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14"/>
      <c r="Q17" s="1348" t="str">
        <f>B17</f>
        <v>交通便捷度</v>
      </c>
      <c r="R17" s="705" t="s">
        <v>14</v>
      </c>
      <c r="S17" s="706">
        <f>F17</f>
        <v>100</v>
      </c>
      <c r="T17" s="705" t="s">
        <v>14</v>
      </c>
      <c r="U17" s="706">
        <f>H17</f>
        <v>100</v>
      </c>
      <c r="V17" s="705" t="s">
        <v>14</v>
      </c>
      <c r="W17" s="706">
        <f>J17</f>
        <v>100</v>
      </c>
      <c r="X17" s="1351"/>
      <c r="Y17" s="3714"/>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14"/>
      <c r="Q18" s="1348"/>
      <c r="R18" s="705"/>
      <c r="S18" s="706"/>
      <c r="T18" s="705"/>
      <c r="U18" s="706"/>
      <c r="V18" s="705"/>
      <c r="W18" s="706"/>
      <c r="X18" s="1351"/>
      <c r="Y18" s="3714"/>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14"/>
      <c r="Q19" s="1348" t="str">
        <f t="shared" ref="Q19:Q33" si="8">B19</f>
        <v>区域土地利用方向</v>
      </c>
      <c r="R19" s="705" t="s">
        <v>14</v>
      </c>
      <c r="S19" s="706">
        <f>F19</f>
        <v>100</v>
      </c>
      <c r="T19" s="705" t="s">
        <v>14</v>
      </c>
      <c r="U19" s="706">
        <f>H19</f>
        <v>100</v>
      </c>
      <c r="V19" s="705" t="s">
        <v>14</v>
      </c>
      <c r="W19" s="706">
        <f>J19</f>
        <v>100</v>
      </c>
      <c r="X19" s="1351"/>
      <c r="Y19" s="3714"/>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7"/>
      <c r="L20" s="2718"/>
      <c r="M20" s="2712"/>
      <c r="N20" s="2712"/>
      <c r="O20" s="2770"/>
      <c r="P20" s="3714"/>
      <c r="Q20" s="1348"/>
      <c r="R20" s="705"/>
      <c r="S20" s="706"/>
      <c r="T20" s="705"/>
      <c r="U20" s="706"/>
      <c r="V20" s="705"/>
      <c r="W20" s="706"/>
      <c r="X20" s="1351"/>
      <c r="Y20" s="3714"/>
      <c r="Z20" s="1352"/>
      <c r="AA20" s="1349"/>
      <c r="AB20" s="1349"/>
      <c r="AC20" s="1349"/>
    </row>
    <row r="21" spans="1:29" ht="15">
      <c r="A21" s="358"/>
      <c r="B21" s="579" t="s">
        <v>1921</v>
      </c>
      <c r="C21" s="1896">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14"/>
      <c r="Q21" s="1348" t="str">
        <f t="shared" si="8"/>
        <v>环境状况</v>
      </c>
      <c r="R21" s="705" t="s">
        <v>14</v>
      </c>
      <c r="S21" s="706">
        <f>F21</f>
        <v>100</v>
      </c>
      <c r="T21" s="705" t="s">
        <v>14</v>
      </c>
      <c r="U21" s="706">
        <f>H21</f>
        <v>100</v>
      </c>
      <c r="V21" s="705" t="s">
        <v>14</v>
      </c>
      <c r="W21" s="706">
        <f>J21</f>
        <v>100</v>
      </c>
      <c r="X21" s="1351"/>
      <c r="Y21" s="3714"/>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14"/>
      <c r="Q22" s="1348"/>
      <c r="R22" s="705"/>
      <c r="S22" s="706"/>
      <c r="T22" s="705"/>
      <c r="U22" s="706"/>
      <c r="V22" s="705"/>
      <c r="W22" s="706"/>
      <c r="X22" s="1351"/>
      <c r="Y22" s="3714"/>
      <c r="Z22" s="1352"/>
      <c r="AA22" s="1349">
        <v>1</v>
      </c>
      <c r="AB22" s="1349">
        <v>1</v>
      </c>
      <c r="AC22" s="1349">
        <v>1</v>
      </c>
    </row>
    <row r="23" spans="1:29" s="108" customFormat="1" ht="15">
      <c r="A23" s="597"/>
      <c r="B23" s="581" t="s">
        <v>1778</v>
      </c>
      <c r="C23" s="1896">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14"/>
      <c r="Q23" s="1339" t="str">
        <f t="shared" si="8"/>
        <v>公共配套设施</v>
      </c>
      <c r="R23" s="701" t="s">
        <v>14</v>
      </c>
      <c r="S23" s="702">
        <f>F23</f>
        <v>100</v>
      </c>
      <c r="T23" s="701" t="s">
        <v>14</v>
      </c>
      <c r="U23" s="702">
        <f>H23</f>
        <v>100</v>
      </c>
      <c r="V23" s="701" t="s">
        <v>14</v>
      </c>
      <c r="W23" s="702">
        <f>J23</f>
        <v>100</v>
      </c>
      <c r="X23" s="703"/>
      <c r="Y23" s="3714"/>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14"/>
      <c r="Q24" s="1339"/>
      <c r="R24" s="701"/>
      <c r="S24" s="702"/>
      <c r="T24" s="701"/>
      <c r="U24" s="702"/>
      <c r="V24" s="701"/>
      <c r="W24" s="702"/>
      <c r="X24" s="703"/>
      <c r="Y24" s="3714"/>
      <c r="Z24" s="52"/>
      <c r="AA24" s="704">
        <v>1</v>
      </c>
      <c r="AB24" s="704">
        <v>1</v>
      </c>
      <c r="AC24" s="704">
        <v>1</v>
      </c>
    </row>
    <row r="25" spans="1:29" s="108" customFormat="1" ht="15">
      <c r="A25" s="597"/>
      <c r="B25" s="581" t="s">
        <v>1779</v>
      </c>
      <c r="C25" s="1896">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14"/>
      <c r="Q25" s="1339" t="str">
        <f t="shared" ref="Q25" si="9">B25</f>
        <v>基础设施水平</v>
      </c>
      <c r="R25" s="701" t="s">
        <v>14</v>
      </c>
      <c r="S25" s="702">
        <f>F25</f>
        <v>100</v>
      </c>
      <c r="T25" s="701" t="s">
        <v>14</v>
      </c>
      <c r="U25" s="702">
        <f>H25</f>
        <v>100</v>
      </c>
      <c r="V25" s="701" t="s">
        <v>14</v>
      </c>
      <c r="W25" s="702">
        <f>J25</f>
        <v>100</v>
      </c>
      <c r="X25" s="703"/>
      <c r="Y25" s="3714"/>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14"/>
      <c r="Q26" s="1339"/>
      <c r="R26" s="701"/>
      <c r="S26" s="702"/>
      <c r="T26" s="701"/>
      <c r="U26" s="702"/>
      <c r="V26" s="701"/>
      <c r="W26" s="702"/>
      <c r="X26" s="703"/>
      <c r="Y26" s="371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14"/>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14"/>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14"/>
      <c r="Q28" s="1348" t="str">
        <f t="shared" si="8"/>
        <v>毗邻道路的类型与等级</v>
      </c>
      <c r="R28" s="705" t="s">
        <v>14</v>
      </c>
      <c r="S28" s="706">
        <f t="shared" si="10"/>
        <v>100</v>
      </c>
      <c r="T28" s="705" t="s">
        <v>14</v>
      </c>
      <c r="U28" s="706">
        <f t="shared" si="11"/>
        <v>100</v>
      </c>
      <c r="V28" s="705" t="s">
        <v>14</v>
      </c>
      <c r="W28" s="706">
        <f t="shared" si="12"/>
        <v>100</v>
      </c>
      <c r="X28" s="1351"/>
      <c r="Y28" s="3714"/>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14"/>
      <c r="Q29" s="1348"/>
      <c r="R29" s="705"/>
      <c r="S29" s="706"/>
      <c r="T29" s="705"/>
      <c r="U29" s="706"/>
      <c r="V29" s="705"/>
      <c r="W29" s="706"/>
      <c r="X29" s="1351"/>
      <c r="Y29" s="3714"/>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14"/>
      <c r="Q30" s="1348" t="str">
        <f t="shared" si="8"/>
        <v>土地级别</v>
      </c>
      <c r="R30" s="705" t="s">
        <v>14</v>
      </c>
      <c r="S30" s="706">
        <f t="shared" si="10"/>
        <v>100</v>
      </c>
      <c r="T30" s="705" t="s">
        <v>14</v>
      </c>
      <c r="U30" s="706">
        <f t="shared" si="11"/>
        <v>100</v>
      </c>
      <c r="V30" s="705" t="s">
        <v>14</v>
      </c>
      <c r="W30" s="706">
        <f t="shared" si="12"/>
        <v>100</v>
      </c>
      <c r="X30" s="1351"/>
      <c r="Y30" s="3714"/>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14"/>
      <c r="Q31" s="1348">
        <f t="shared" si="8"/>
        <v>111</v>
      </c>
      <c r="R31" s="705" t="s">
        <v>14</v>
      </c>
      <c r="S31" s="706">
        <f t="shared" si="10"/>
        <v>100</v>
      </c>
      <c r="T31" s="705" t="s">
        <v>14</v>
      </c>
      <c r="U31" s="706">
        <f t="shared" si="11"/>
        <v>100</v>
      </c>
      <c r="V31" s="705" t="s">
        <v>14</v>
      </c>
      <c r="W31" s="706">
        <f t="shared" si="12"/>
        <v>100</v>
      </c>
      <c r="X31" s="1351"/>
      <c r="Y31" s="3714"/>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37" t="s">
        <v>1696</v>
      </c>
      <c r="Q32" s="1348">
        <f t="shared" si="8"/>
        <v>111</v>
      </c>
      <c r="R32" s="705" t="s">
        <v>14</v>
      </c>
      <c r="S32" s="706">
        <f t="shared" si="10"/>
        <v>100</v>
      </c>
      <c r="T32" s="705" t="s">
        <v>14</v>
      </c>
      <c r="U32" s="706">
        <f t="shared" si="11"/>
        <v>100</v>
      </c>
      <c r="V32" s="705" t="s">
        <v>14</v>
      </c>
      <c r="W32" s="706">
        <f t="shared" si="12"/>
        <v>100</v>
      </c>
      <c r="X32" s="1351"/>
      <c r="Y32" s="3718"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18"/>
      <c r="Q33" s="1348">
        <f t="shared" si="8"/>
        <v>111</v>
      </c>
      <c r="R33" s="708" t="s">
        <v>14</v>
      </c>
      <c r="S33" s="709">
        <f t="shared" si="10"/>
        <v>100</v>
      </c>
      <c r="T33" s="708" t="s">
        <v>14</v>
      </c>
      <c r="U33" s="709">
        <f t="shared" si="11"/>
        <v>100</v>
      </c>
      <c r="V33" s="708" t="s">
        <v>14</v>
      </c>
      <c r="W33" s="709">
        <f t="shared" si="12"/>
        <v>100</v>
      </c>
      <c r="X33" s="710"/>
      <c r="Y33" s="3718"/>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18"/>
      <c r="Q34" s="1348" t="str">
        <f>B34</f>
        <v>宗地面积</v>
      </c>
      <c r="R34" s="705" t="s">
        <v>14</v>
      </c>
      <c r="S34" s="706" t="e">
        <f t="shared" si="10"/>
        <v>#N/A</v>
      </c>
      <c r="T34" s="705" t="s">
        <v>14</v>
      </c>
      <c r="U34" s="706" t="e">
        <f t="shared" si="11"/>
        <v>#N/A</v>
      </c>
      <c r="V34" s="705" t="s">
        <v>14</v>
      </c>
      <c r="W34" s="706" t="e">
        <f t="shared" si="12"/>
        <v>#N/A</v>
      </c>
      <c r="X34" s="1351"/>
      <c r="Y34" s="3718"/>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18"/>
      <c r="Q35" s="1348" t="str">
        <f t="shared" ref="Q35:Q40" si="14">B35</f>
        <v>宗地形状</v>
      </c>
      <c r="R35" s="705" t="s">
        <v>14</v>
      </c>
      <c r="S35" s="706">
        <f t="shared" si="10"/>
        <v>100</v>
      </c>
      <c r="T35" s="705" t="s">
        <v>14</v>
      </c>
      <c r="U35" s="706">
        <f t="shared" si="11"/>
        <v>100</v>
      </c>
      <c r="V35" s="705" t="s">
        <v>14</v>
      </c>
      <c r="W35" s="706">
        <f t="shared" si="12"/>
        <v>100</v>
      </c>
      <c r="X35" s="1351"/>
      <c r="Y35" s="3718"/>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18"/>
      <c r="Q36" s="1348"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18" t="s">
        <v>1696</v>
      </c>
      <c r="Q37" s="1348" t="str">
        <f t="shared" si="14"/>
        <v>工程地质条件</v>
      </c>
      <c r="R37" s="705" t="s">
        <v>14</v>
      </c>
      <c r="S37" s="706">
        <f t="shared" si="10"/>
        <v>100</v>
      </c>
      <c r="T37" s="705" t="s">
        <v>14</v>
      </c>
      <c r="U37" s="706">
        <f t="shared" si="11"/>
        <v>100</v>
      </c>
      <c r="V37" s="705" t="s">
        <v>14</v>
      </c>
      <c r="W37" s="706">
        <f t="shared" si="12"/>
        <v>100</v>
      </c>
      <c r="X37" s="1351"/>
      <c r="Y37" s="3718"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18"/>
      <c r="Q38" s="1348">
        <f t="shared" si="14"/>
        <v>111</v>
      </c>
      <c r="R38" s="705" t="s">
        <v>14</v>
      </c>
      <c r="S38" s="706">
        <f t="shared" si="10"/>
        <v>100</v>
      </c>
      <c r="T38" s="705" t="s">
        <v>14</v>
      </c>
      <c r="U38" s="706">
        <f t="shared" si="11"/>
        <v>100</v>
      </c>
      <c r="V38" s="705" t="s">
        <v>14</v>
      </c>
      <c r="W38" s="706">
        <f t="shared" si="12"/>
        <v>100</v>
      </c>
      <c r="X38" s="1351"/>
      <c r="Y38" s="3718"/>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18"/>
      <c r="Q39" s="1348">
        <f t="shared" si="14"/>
        <v>111</v>
      </c>
      <c r="R39" s="705" t="s">
        <v>14</v>
      </c>
      <c r="S39" s="706">
        <f t="shared" si="10"/>
        <v>100</v>
      </c>
      <c r="T39" s="705" t="s">
        <v>14</v>
      </c>
      <c r="U39" s="706">
        <f t="shared" si="11"/>
        <v>100</v>
      </c>
      <c r="V39" s="705" t="s">
        <v>14</v>
      </c>
      <c r="W39" s="706">
        <f t="shared" si="12"/>
        <v>100</v>
      </c>
      <c r="X39" s="1351"/>
      <c r="Y39" s="3718"/>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18"/>
      <c r="Q40" s="1348">
        <f t="shared" si="14"/>
        <v>111</v>
      </c>
      <c r="R40" s="708" t="s">
        <v>14</v>
      </c>
      <c r="S40" s="709">
        <f t="shared" si="10"/>
        <v>100</v>
      </c>
      <c r="T40" s="708" t="s">
        <v>14</v>
      </c>
      <c r="U40" s="709">
        <f t="shared" si="11"/>
        <v>100</v>
      </c>
      <c r="V40" s="708" t="s">
        <v>14</v>
      </c>
      <c r="W40" s="709">
        <f t="shared" si="12"/>
        <v>100</v>
      </c>
      <c r="X40" s="710"/>
      <c r="Y40" s="3718"/>
      <c r="Z40" s="711">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4"/>
      <c r="L41" s="2720"/>
      <c r="M41" s="2712"/>
      <c r="N41" s="2712"/>
      <c r="O41" s="2721"/>
      <c r="P41" s="3711" t="str">
        <f>A41</f>
        <v>成交单价</v>
      </c>
      <c r="Q41" s="3711"/>
      <c r="R41" s="3706">
        <f>E41</f>
        <v>0</v>
      </c>
      <c r="S41" s="3706"/>
      <c r="T41" s="3706">
        <f>G41</f>
        <v>0</v>
      </c>
      <c r="U41" s="3706"/>
      <c r="V41" s="3706">
        <f>I41</f>
        <v>0</v>
      </c>
      <c r="W41" s="3706"/>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11" t="str">
        <f>A42</f>
        <v>比较价值（元/平方米）</v>
      </c>
      <c r="Q42" s="3711"/>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08" t="str">
        <f>A43</f>
        <v>估价对象XX用房的比较价值（楼面单价，元/平方米）</v>
      </c>
      <c r="Q43" s="3709"/>
      <c r="R43" s="3746" t="e">
        <f>ROUND(IF(D42="简单平均",AVERAGE(R42:W42),R42*F42+T42*H42+V42*J42),0)</f>
        <v>#DIV/0!</v>
      </c>
      <c r="S43" s="3746"/>
      <c r="T43" s="3746"/>
      <c r="U43" s="3746"/>
      <c r="V43" s="3746"/>
      <c r="W43" s="3746"/>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694" t="s">
        <v>1887</v>
      </c>
      <c r="H50" s="3747"/>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1">
        <v>1</v>
      </c>
      <c r="E51" s="638">
        <f>'数据-汇总表'!E8+'数据-汇总表'!E9</f>
        <v>10935.989999999998</v>
      </c>
      <c r="F51" s="639" t="e">
        <f t="shared" ref="F51:F60" si="15">ROUND(B51*E51/10000,0)</f>
        <v>#DIV/0!</v>
      </c>
      <c r="G51" s="3693"/>
      <c r="H51" s="3711"/>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2">
        <v>0.25</v>
      </c>
      <c r="E52" s="642"/>
      <c r="F52" s="639" t="e">
        <f t="shared" si="15"/>
        <v>#DIV/0!</v>
      </c>
      <c r="G52" s="3000" t="s">
        <v>1892</v>
      </c>
      <c r="H52" s="884" t="str">
        <f>项目基本情况!B37</f>
        <v>五级</v>
      </c>
      <c r="I52" s="770">
        <f>SUMIF(修正!A57:A68,H52,修正!B57:B68)</f>
        <v>0.6</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2">
        <v>0.25</v>
      </c>
      <c r="E53" s="642"/>
      <c r="F53" s="639" t="e">
        <f t="shared" si="15"/>
        <v>#DIV/0!</v>
      </c>
      <c r="G53" s="3001"/>
      <c r="H53" s="884" t="str">
        <f>项目基本情况!B37</f>
        <v>五级</v>
      </c>
      <c r="I53" s="770">
        <f>SUMIF(修正!A57:A68,H53,修正!C57:C68)</f>
        <v>0.3</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2">
        <v>0.25</v>
      </c>
      <c r="E54" s="642"/>
      <c r="F54" s="639" t="e">
        <f t="shared" si="15"/>
        <v>#DIV/0!</v>
      </c>
      <c r="G54" s="3001"/>
      <c r="H54" s="884" t="str">
        <f>项目基本情况!B37</f>
        <v>五级</v>
      </c>
      <c r="I54" s="770">
        <f>SUMIF(修正!A57:A68,H54,修正!D57:D68)</f>
        <v>0.25</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2"/>
      <c r="E55" s="642"/>
      <c r="F55" s="639"/>
      <c r="G55" s="3002"/>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2">
        <v>0.25</v>
      </c>
      <c r="E56" s="217">
        <f>'数据-汇总表'!E11</f>
        <v>0</v>
      </c>
      <c r="F56" s="639" t="e">
        <f t="shared" si="15"/>
        <v>#DIV/0!</v>
      </c>
      <c r="G56" s="1983"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2">
        <v>0.25</v>
      </c>
      <c r="E57" s="217">
        <f>'数据-汇总表'!E12</f>
        <v>0</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2">
        <v>0.25</v>
      </c>
      <c r="E59" s="217">
        <f>'数据-汇总表'!E14</f>
        <v>0</v>
      </c>
      <c r="F59" s="639" t="e">
        <f t="shared" si="15"/>
        <v>#DIV/0!</v>
      </c>
      <c r="G59" s="1983" t="s">
        <v>1892</v>
      </c>
      <c r="H59" s="884" t="str">
        <f>项目基本情况!B37</f>
        <v>五级</v>
      </c>
      <c r="I59" s="770">
        <f>SUMIF(修正!A57:A68,H59,修正!G57:G68)</f>
        <v>0.15</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2">
        <v>0.25</v>
      </c>
      <c r="E60" s="217">
        <f>'数据-汇总表'!E15</f>
        <v>0</v>
      </c>
      <c r="F60" s="639" t="e">
        <f t="shared" si="15"/>
        <v>#DIV/0!</v>
      </c>
      <c r="G60" s="1984"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3258.72</v>
      </c>
      <c r="F61" s="645"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2083</v>
      </c>
      <c r="C1" s="3755" t="s">
        <v>2084</v>
      </c>
      <c r="D1" s="3756"/>
      <c r="E1" s="3756"/>
      <c r="F1" s="3756"/>
      <c r="G1" s="3756"/>
      <c r="H1" s="3756"/>
      <c r="I1" s="3756"/>
      <c r="J1" s="3756"/>
      <c r="K1" s="3756"/>
      <c r="L1" s="3756"/>
      <c r="M1" s="3756"/>
      <c r="N1" s="3756"/>
      <c r="O1" s="3756"/>
      <c r="P1" s="3756"/>
      <c r="Q1" s="3756"/>
      <c r="R1" s="3756"/>
      <c r="S1" s="3757"/>
      <c r="T1" s="980" t="s">
        <v>2085</v>
      </c>
    </row>
    <row r="2" spans="1:45" s="655" customFormat="1">
      <c r="A2" s="981"/>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5"/>
      <c r="G4" s="1305"/>
      <c r="H4" s="1305"/>
      <c r="I4" s="1305"/>
      <c r="J4" s="1305"/>
      <c r="K4" s="1305"/>
      <c r="L4" s="1305"/>
      <c r="M4" s="1306"/>
      <c r="N4" s="1306"/>
      <c r="O4" s="1305"/>
      <c r="P4" s="1305"/>
      <c r="Q4" s="1305"/>
      <c r="R4" s="1305"/>
      <c r="S4" s="1307"/>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2" t="s">
        <v>2087</v>
      </c>
      <c r="C5" s="992"/>
      <c r="D5" s="993"/>
      <c r="E5" s="993"/>
      <c r="F5" s="1308"/>
      <c r="G5" s="1308"/>
      <c r="H5" s="1308"/>
      <c r="I5" s="1308"/>
      <c r="J5" s="1308"/>
      <c r="K5" s="1308"/>
      <c r="L5" s="1309"/>
      <c r="M5" s="1310"/>
      <c r="N5" s="1310"/>
      <c r="O5" s="1308"/>
      <c r="P5" s="1308"/>
      <c r="Q5" s="1308"/>
      <c r="R5" s="1308"/>
      <c r="S5" s="1311"/>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3" t="s">
        <v>2088</v>
      </c>
      <c r="C7" s="901"/>
      <c r="D7" s="895"/>
      <c r="E7" s="895"/>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3" t="s">
        <v>2089</v>
      </c>
      <c r="C9" s="901"/>
      <c r="D9" s="895"/>
      <c r="E9" s="895"/>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2" t="s">
        <v>2090</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2" t="s">
        <v>2091</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2" t="s">
        <v>2092</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6" t="s">
        <v>2095</v>
      </c>
      <c r="E19" s="1336"/>
      <c r="F19" s="1336"/>
      <c r="G19" s="1336"/>
      <c r="H19" s="1056"/>
      <c r="I19" s="159"/>
      <c r="J19" s="159"/>
      <c r="K19" s="159"/>
      <c r="L19" s="159"/>
      <c r="M19" s="159"/>
      <c r="N19" s="159"/>
      <c r="O19" s="159"/>
      <c r="P19" s="159"/>
      <c r="Q19" s="159"/>
      <c r="R19" s="718"/>
      <c r="S19" s="129"/>
    </row>
    <row r="20" spans="1:45" ht="16.5" thickBot="1">
      <c r="A20" s="662" t="s">
        <v>2096</v>
      </c>
      <c r="B20" s="294" t="e">
        <f ca="1">IF(D20="——",S22,S22-F20)</f>
        <v>#REF!</v>
      </c>
      <c r="C20" s="159"/>
      <c r="D20" s="2147"/>
      <c r="E20" s="1337"/>
      <c r="F20" s="980" t="e">
        <f ca="1">SUMIF(INDIRECT("'"&amp;H20&amp;"'"&amp;"!A:A"),"承租人权益价值",INDIRECT("'"&amp;H20&amp;"'"&amp;"!c:c"))</f>
        <v>#REF!</v>
      </c>
      <c r="G20" s="980"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15836</v>
      </c>
      <c r="C2" s="2141" t="s">
        <v>2074</v>
      </c>
      <c r="D2" s="2141" t="s">
        <v>2075</v>
      </c>
      <c r="E2" s="2608">
        <f ca="1">SUMIF(E6:E13,"&lt;&gt;#ref!",E6:E13)</f>
        <v>10935.989999999998</v>
      </c>
      <c r="F2" s="2789"/>
      <c r="G2" s="2789"/>
      <c r="H2" s="2789"/>
      <c r="I2" s="2789"/>
      <c r="J2" s="2789"/>
      <c r="K2" s="2789"/>
      <c r="L2" s="2789"/>
      <c r="M2" s="2789"/>
      <c r="N2" s="2789"/>
      <c r="O2" s="2789"/>
      <c r="P2" s="2789"/>
    </row>
    <row r="3" spans="1:16" ht="15.75">
      <c r="A3" s="2141" t="s">
        <v>2076</v>
      </c>
      <c r="B3" s="2598">
        <f ca="1">ROUND(B2*10000/E2,0)</f>
        <v>14481</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15836</v>
      </c>
      <c r="C6" s="2141" t="s">
        <v>2074</v>
      </c>
      <c r="D6" s="2789"/>
      <c r="E6" s="2608">
        <f ca="1">SUMIF(INDIRECT("'"&amp;A6&amp;"'"&amp;"!C:C"),"建筑面积",INDIRECT("'"&amp;A6&amp;"'"&amp;"!D:D"))</f>
        <v>10935.989999999998</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E27" sqref="E2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10935.989999999998</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15836</v>
      </c>
      <c r="C2" s="1995" t="s">
        <v>1935</v>
      </c>
      <c r="D2" s="1996" t="s">
        <v>1936</v>
      </c>
      <c r="E2" s="3416" t="s">
        <v>673</v>
      </c>
      <c r="F2" s="1996" t="s">
        <v>1937</v>
      </c>
      <c r="G2" s="1997" t="str">
        <f>IF(E2="商业",项目基本情况!B37,IF(E2="办公",项目基本情况!C37,IF(E2="住宅",项目基本情况!D37,IF(E2="工业",项目基本情况!E37,项目基本情况!F37))))</f>
        <v>五级</v>
      </c>
      <c r="H2" s="1996" t="s">
        <v>1938</v>
      </c>
      <c r="I2" s="1997" t="str">
        <f>IF(E2="商业",项目基本情况!B38,IF(E2="办公",项目基本情况!C38,IF(E2="住宅",项目基本情况!D38,IF(E2="工业",项目基本情况!E38,项目基本情况!F38))))</f>
        <v>Ⅴ-33</v>
      </c>
      <c r="J2" s="1998"/>
      <c r="K2" s="1116"/>
      <c r="L2" s="1999" t="s">
        <v>1939</v>
      </c>
      <c r="M2" s="861">
        <f>SUMPRODUCT((区片价!B10:B29=I2)*(区片价!C3:G3=E2)*(区片价!C10:G29))</f>
        <v>0</v>
      </c>
      <c r="N2" s="863">
        <f>SUMPRODUCT((因素修正幅度!B10:B29=I2)*(因素修正幅度!C3:G3=E2)*(因素修正幅度!C10:G29))</f>
        <v>0</v>
      </c>
      <c r="O2" s="1116"/>
      <c r="P2" s="1116"/>
      <c r="Q2" s="1116"/>
      <c r="R2" s="1208">
        <v>1</v>
      </c>
      <c r="S2" s="3355">
        <f>ROUND(SUMPRODUCT((B106:B110=R2)*(C105:N105=G2)*(C106:N110)),4)</f>
        <v>1.5019</v>
      </c>
      <c r="T2" s="3355">
        <f t="shared" ref="T2:T16" si="0">ROUND($C$5*$C$22*$C$23*$C$24*S2*$C$28,0)</f>
        <v>19130</v>
      </c>
      <c r="U2" s="1209">
        <f>'数据-基础表'!I13</f>
        <v>10935.989999999998</v>
      </c>
      <c r="V2" s="3355">
        <f>ROUND(T2*U2/10000,0)</f>
        <v>20921</v>
      </c>
      <c r="W2" s="1212"/>
      <c r="X2" s="1212"/>
      <c r="Y2" s="1212"/>
      <c r="Z2" s="1212"/>
      <c r="AA2" s="1212"/>
      <c r="AB2" s="1212"/>
      <c r="AC2" s="1213"/>
      <c r="AD2" s="1214"/>
      <c r="AE2" s="1214"/>
      <c r="AF2" s="1214"/>
      <c r="AG2" s="1214"/>
      <c r="AH2" s="1214"/>
      <c r="AI2" s="1214"/>
      <c r="AJ2" s="1215"/>
    </row>
    <row r="3" spans="1:36" ht="15.75">
      <c r="A3" s="203" t="s">
        <v>1940</v>
      </c>
      <c r="B3" s="204">
        <f>ROUND(B2*10000/D1,0)</f>
        <v>14481</v>
      </c>
      <c r="C3" s="1995" t="s">
        <v>1941</v>
      </c>
      <c r="D3" s="1996" t="s">
        <v>1942</v>
      </c>
      <c r="E3" s="3414" t="s">
        <v>2434</v>
      </c>
      <c r="F3" s="2000" t="s">
        <v>3387</v>
      </c>
      <c r="G3" s="749">
        <f>IF(F3="宗地容积率",'数据-汇总表'!I4,IF(F3="估价对象容积率",'数据-汇总表'!I6,'数据-汇总表'!I7))</f>
        <v>1.35</v>
      </c>
      <c r="H3" s="170" t="s">
        <v>1943</v>
      </c>
      <c r="I3" s="772"/>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8">
        <v>2</v>
      </c>
      <c r="S3" s="3355">
        <f>ROUND(SUMPRODUCT((B106:B110=R3)*(C105:N105=G2)*(C106:N110)),4)</f>
        <v>1.1838</v>
      </c>
      <c r="T3" s="3355">
        <f t="shared" si="0"/>
        <v>15079</v>
      </c>
      <c r="U3" s="1209"/>
      <c r="V3" s="3355">
        <f t="shared" ref="V3:V16" si="1">ROUND(T3*U3/10000,0)</f>
        <v>0</v>
      </c>
      <c r="W3" s="1212"/>
      <c r="X3" s="1212"/>
      <c r="Y3" s="1212"/>
      <c r="Z3" s="1212"/>
      <c r="AA3" s="1212"/>
      <c r="AB3" s="1212"/>
      <c r="AC3" s="1213"/>
      <c r="AD3" s="1214"/>
      <c r="AE3" s="1214"/>
      <c r="AF3" s="1214"/>
      <c r="AG3" s="1214"/>
      <c r="AH3" s="1214"/>
      <c r="AI3" s="1214"/>
      <c r="AJ3" s="1215"/>
    </row>
    <row r="4" spans="1:36" ht="15.75">
      <c r="A4" s="3765"/>
      <c r="B4" s="3766"/>
      <c r="C4" s="3766"/>
      <c r="D4" s="3767"/>
      <c r="E4" s="3767"/>
      <c r="F4" s="3767"/>
      <c r="G4" s="3767"/>
      <c r="H4" s="3767"/>
      <c r="I4" s="3767"/>
      <c r="J4" s="3768"/>
      <c r="K4" s="1116"/>
      <c r="L4" s="1999" t="s">
        <v>1946</v>
      </c>
      <c r="M4" s="861">
        <f>SUMPRODUCT((区片价!B55:B86=I2)*(区片价!C3:G3=E2)*(区片价!C55:G86))</f>
        <v>0</v>
      </c>
      <c r="N4" s="863">
        <f>SUMPRODUCT((因素修正幅度!B55:B86=I2)*(因素修正幅度!C3:G3=E2)*(因素修正幅度!C55:G86))</f>
        <v>0</v>
      </c>
      <c r="O4" s="1116"/>
      <c r="P4" s="1116"/>
      <c r="Q4" s="1116"/>
      <c r="R4" s="1208">
        <v>3</v>
      </c>
      <c r="S4" s="3355">
        <f>ROUND(SUMPRODUCT((B106:B110=R4)*(C105:N105=G2)*(C106:N110)),4)</f>
        <v>1.0004999999999999</v>
      </c>
      <c r="T4" s="3355">
        <f t="shared" si="0"/>
        <v>12744</v>
      </c>
      <c r="U4" s="1209"/>
      <c r="V4" s="3355">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50">
        <f>ROUND(IF(E2="商业",C6*C7*C17+C20,(IF(E2="住宅",C6*C13*C17+C20,IF(E2="办公",C6*C12*C17+C20,C6+C20)))),0)</f>
        <v>16470</v>
      </c>
      <c r="D5" s="1335">
        <f>ROUND(C6*C17+C20,0)</f>
        <v>16470</v>
      </c>
      <c r="E5" s="1335"/>
      <c r="F5" s="2003"/>
      <c r="G5" s="2004"/>
      <c r="H5" s="2004"/>
      <c r="I5" s="2004"/>
      <c r="J5" s="2005"/>
      <c r="K5" s="2006"/>
      <c r="L5" s="1999" t="s">
        <v>1948</v>
      </c>
      <c r="M5" s="861">
        <f>SUMPRODUCT((区片价!B87:B126=I2)*(区片价!C3:G3=E2)*(区片价!C87:G126))</f>
        <v>16470</v>
      </c>
      <c r="N5" s="863">
        <f>SUMPRODUCT((因素修正幅度!B87:B126=I2)*(因素修正幅度!C3:G3=E2)*(因素修正幅度!C87:G126))</f>
        <v>5.0999999999999997E-2</v>
      </c>
      <c r="O5" s="1116"/>
      <c r="P5" s="1116"/>
      <c r="Q5" s="1116"/>
      <c r="R5" s="1208">
        <v>4</v>
      </c>
      <c r="S5" s="3355">
        <f>ROUND(SUMPRODUCT((B106:B110=R5)*(C105:N105=G2)*(C106:N110)),4)</f>
        <v>0.88239999999999996</v>
      </c>
      <c r="T5" s="3355">
        <f t="shared" si="0"/>
        <v>11239</v>
      </c>
      <c r="U5" s="1209"/>
      <c r="V5" s="3355">
        <f t="shared" si="1"/>
        <v>0</v>
      </c>
      <c r="W5" s="1212"/>
      <c r="X5" s="1212"/>
      <c r="Y5" s="1212"/>
      <c r="Z5" s="1212"/>
      <c r="AA5" s="1212"/>
      <c r="AB5" s="1212"/>
      <c r="AC5" s="2007"/>
      <c r="AD5" s="2008"/>
      <c r="AE5" s="2008"/>
      <c r="AF5" s="2008"/>
      <c r="AG5" s="2008"/>
      <c r="AH5" s="2008"/>
      <c r="AI5" s="2008"/>
      <c r="AJ5" s="2009"/>
    </row>
    <row r="6" spans="1:36" ht="15.75" thickBot="1">
      <c r="A6" s="2011" t="s">
        <v>1949</v>
      </c>
      <c r="B6" s="2012" t="s">
        <v>1950</v>
      </c>
      <c r="C6" s="751">
        <f>SUMIF(L1:L12,G2,M1:M12)</f>
        <v>16470</v>
      </c>
      <c r="D6" s="2013"/>
      <c r="E6" s="2014"/>
      <c r="F6" s="2014"/>
      <c r="G6" s="2015"/>
      <c r="H6" s="2015"/>
      <c r="I6" s="2015"/>
      <c r="J6" s="2016"/>
      <c r="K6" s="1380"/>
      <c r="L6" s="1999" t="s">
        <v>1951</v>
      </c>
      <c r="M6" s="861">
        <f>SUMPRODUCT((区片价!B127:B189=I2)*(区片价!C3:G3=E2)*(区片价!C127:G189))</f>
        <v>0</v>
      </c>
      <c r="N6" s="863">
        <f>SUMPRODUCT((因素修正幅度!B127:B189=I2)*(因素修正幅度!C3:G3=E2)*(因素修正幅度!C127:G189))</f>
        <v>0</v>
      </c>
      <c r="O6" s="1116"/>
      <c r="P6" s="1116"/>
      <c r="Q6" s="1116"/>
      <c r="R6" s="1208">
        <v>5</v>
      </c>
      <c r="S6" s="3355">
        <f>ROUND(SUMPRODUCT((B106:B110=R6)*(C105:N105=G2)*(C106:N110)),4)</f>
        <v>0.84799999999999998</v>
      </c>
      <c r="T6" s="3355">
        <f t="shared" si="0"/>
        <v>10801</v>
      </c>
      <c r="U6" s="1209"/>
      <c r="V6" s="3355">
        <f t="shared" si="1"/>
        <v>0</v>
      </c>
      <c r="W6" s="1212"/>
      <c r="X6" s="1212"/>
      <c r="Y6" s="1212"/>
      <c r="Z6" s="1212"/>
      <c r="AA6" s="1212"/>
      <c r="AB6" s="1212"/>
      <c r="AC6" s="2007"/>
      <c r="AD6" s="2008"/>
      <c r="AE6" s="2008"/>
      <c r="AF6" s="2008"/>
      <c r="AG6" s="2008"/>
      <c r="AH6" s="2008"/>
      <c r="AI6" s="2008"/>
      <c r="AJ6" s="2009"/>
    </row>
    <row r="7" spans="1:36" ht="24.75" thickBot="1">
      <c r="A7" s="3298" t="s">
        <v>3232</v>
      </c>
      <c r="B7" s="2017" t="s">
        <v>1952</v>
      </c>
      <c r="C7" s="752">
        <f>IF(C8="不临65条商业街",1,ROUND(1+(1.6*E8+1.2*E9+0.8*E10+0.4*E11)*C9,4))</f>
        <v>1</v>
      </c>
      <c r="D7" s="2018" t="s">
        <v>1953</v>
      </c>
      <c r="E7" s="773"/>
      <c r="F7" s="2019"/>
      <c r="G7" s="2020"/>
      <c r="H7" s="2020"/>
      <c r="I7" s="2020"/>
      <c r="J7" s="2021"/>
      <c r="K7" s="1380"/>
      <c r="L7" s="1999" t="s">
        <v>1954</v>
      </c>
      <c r="M7" s="861">
        <f>SUMPRODUCT((区片价!B190:B233=I2)*(区片价!C3:G3=E2)*(区片价!C190:G233))</f>
        <v>0</v>
      </c>
      <c r="N7" s="863">
        <f>SUMPRODUCT((因素修正幅度!B190:B233=I2)*(因素修正幅度!C3:G3=E2)*(因素修正幅度!C190:G233))</f>
        <v>0</v>
      </c>
      <c r="O7" s="1116"/>
      <c r="P7" s="1116"/>
      <c r="Q7" s="1116"/>
      <c r="R7" s="1208">
        <v>6</v>
      </c>
      <c r="S7" s="3413"/>
      <c r="T7" s="3355">
        <f t="shared" si="0"/>
        <v>0</v>
      </c>
      <c r="U7" s="1209"/>
      <c r="V7" s="3355">
        <f t="shared" si="1"/>
        <v>0</v>
      </c>
      <c r="W7" s="1354" t="s">
        <v>1955</v>
      </c>
      <c r="X7" s="1210" t="str">
        <f>G2</f>
        <v>五级</v>
      </c>
      <c r="Y7" s="1210" t="s">
        <v>1956</v>
      </c>
      <c r="Z7" s="1211">
        <f>G3</f>
        <v>1.35</v>
      </c>
      <c r="AA7" s="1212"/>
      <c r="AB7" s="1212"/>
      <c r="AC7" s="1213"/>
      <c r="AD7" s="1214"/>
      <c r="AE7" s="1214"/>
      <c r="AF7" s="1214"/>
      <c r="AG7" s="1214"/>
      <c r="AH7" s="1214"/>
      <c r="AI7" s="1214"/>
      <c r="AJ7" s="1215"/>
    </row>
    <row r="8" spans="1:36" ht="25.5">
      <c r="A8" s="3293"/>
      <c r="B8" s="170" t="s">
        <v>1957</v>
      </c>
      <c r="C8" s="2022" t="s">
        <v>3388</v>
      </c>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8">
        <v>7</v>
      </c>
      <c r="S8" s="1209"/>
      <c r="T8" s="3355">
        <f t="shared" si="0"/>
        <v>0</v>
      </c>
      <c r="U8" s="1209"/>
      <c r="V8" s="3355">
        <f t="shared" si="1"/>
        <v>0</v>
      </c>
      <c r="W8" s="3762" t="s">
        <v>1960</v>
      </c>
      <c r="X8" s="3763"/>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8">
        <v>8</v>
      </c>
      <c r="S9" s="1209"/>
      <c r="T9" s="3355">
        <f t="shared" si="0"/>
        <v>0</v>
      </c>
      <c r="U9" s="1209"/>
      <c r="V9" s="3355">
        <f t="shared" si="1"/>
        <v>0</v>
      </c>
      <c r="W9" s="3764"/>
      <c r="X9" s="3356" t="s">
        <v>3263</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8">
        <v>9</v>
      </c>
      <c r="S10" s="1209"/>
      <c r="T10" s="3355">
        <f t="shared" si="0"/>
        <v>0</v>
      </c>
      <c r="U10" s="1209"/>
      <c r="V10" s="3355">
        <f t="shared" si="1"/>
        <v>0</v>
      </c>
      <c r="W10" s="3764"/>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8">
        <v>10</v>
      </c>
      <c r="S11" s="1209"/>
      <c r="T11" s="3355">
        <f t="shared" si="0"/>
        <v>0</v>
      </c>
      <c r="U11" s="1209"/>
      <c r="V11" s="3355">
        <f t="shared" si="1"/>
        <v>0</v>
      </c>
      <c r="W11" s="1212"/>
      <c r="X11" s="1212"/>
      <c r="Y11" s="1212"/>
      <c r="Z11" s="1212"/>
      <c r="AA11" s="1212"/>
      <c r="AB11" s="1212"/>
      <c r="AC11" s="1213"/>
      <c r="AD11" s="2785"/>
      <c r="AE11" s="2785"/>
      <c r="AF11" s="2785"/>
      <c r="AG11" s="2785"/>
      <c r="AH11" s="2785"/>
      <c r="AI11" s="2785"/>
      <c r="AJ11" s="2786"/>
    </row>
    <row r="12" spans="1:36" ht="25.5" thickBot="1">
      <c r="A12" s="3298" t="s">
        <v>3233</v>
      </c>
      <c r="B12" s="3299" t="s">
        <v>3234</v>
      </c>
      <c r="C12" s="3300"/>
      <c r="D12" s="3301" t="s">
        <v>3235</v>
      </c>
      <c r="E12" s="3302" t="s">
        <v>3236</v>
      </c>
      <c r="F12" s="3303"/>
      <c r="G12" s="3304"/>
      <c r="H12" s="3304"/>
      <c r="I12" s="3304"/>
      <c r="J12" s="3305"/>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8">
        <v>11</v>
      </c>
      <c r="S12" s="1209"/>
      <c r="T12" s="3355">
        <f t="shared" si="0"/>
        <v>0</v>
      </c>
      <c r="U12" s="1209"/>
      <c r="V12" s="3355">
        <f t="shared" si="1"/>
        <v>0</v>
      </c>
      <c r="W12" s="1212"/>
      <c r="X12" s="1212"/>
      <c r="Y12" s="1212"/>
      <c r="Z12" s="1212"/>
      <c r="AA12" s="1212"/>
      <c r="AB12" s="1212"/>
      <c r="AC12" s="1213"/>
      <c r="AD12" s="2785"/>
      <c r="AE12" s="2785"/>
      <c r="AF12" s="2785"/>
      <c r="AG12" s="2785"/>
      <c r="AH12" s="2785"/>
      <c r="AI12" s="2785"/>
      <c r="AJ12" s="2786"/>
    </row>
    <row r="13" spans="1:36" ht="15.75" thickBot="1">
      <c r="A13" s="3298" t="s">
        <v>3237</v>
      </c>
      <c r="B13" s="2030" t="s">
        <v>1982</v>
      </c>
      <c r="C13" s="752">
        <f>ROUND(C16*D16*E16*F16*G16*H16*I16*J16,4)</f>
        <v>0</v>
      </c>
      <c r="D13" s="2031" t="s">
        <v>1983</v>
      </c>
      <c r="E13" s="2032"/>
      <c r="F13" s="2032"/>
      <c r="G13" s="2033"/>
      <c r="H13" s="2033"/>
      <c r="I13" s="2033"/>
      <c r="J13" s="2034"/>
      <c r="K13" s="1116"/>
      <c r="L13" s="3294"/>
      <c r="M13" s="3295"/>
      <c r="N13" s="3296"/>
      <c r="O13" s="1116"/>
      <c r="P13" s="1116"/>
      <c r="Q13" s="1116"/>
      <c r="R13" s="1208">
        <v>12</v>
      </c>
      <c r="S13" s="1209"/>
      <c r="T13" s="3355">
        <f t="shared" si="0"/>
        <v>0</v>
      </c>
      <c r="U13" s="1209"/>
      <c r="V13" s="3355">
        <f t="shared" si="1"/>
        <v>0</v>
      </c>
      <c r="W13" s="1212"/>
      <c r="X13" s="1212"/>
      <c r="Y13" s="1212"/>
      <c r="Z13" s="1212"/>
      <c r="AA13" s="1212"/>
      <c r="AB13" s="1212"/>
      <c r="AC13" s="1213"/>
      <c r="AD13" s="2785"/>
      <c r="AE13" s="2785"/>
      <c r="AF13" s="2785"/>
      <c r="AG13" s="2785"/>
      <c r="AH13" s="2785"/>
      <c r="AI13" s="2785"/>
      <c r="AJ13" s="2786"/>
    </row>
    <row r="14" spans="1:36" ht="15">
      <c r="A14" s="3292"/>
      <c r="B14" s="2036" t="s">
        <v>1985</v>
      </c>
      <c r="C14" s="2037" t="s">
        <v>1986</v>
      </c>
      <c r="D14" s="1346" t="s">
        <v>1987</v>
      </c>
      <c r="E14" s="27" t="s">
        <v>1988</v>
      </c>
      <c r="F14" s="3306" t="s">
        <v>3238</v>
      </c>
      <c r="G14" s="3306" t="s">
        <v>3238</v>
      </c>
      <c r="H14" s="3306" t="s">
        <v>3238</v>
      </c>
      <c r="I14" s="3306" t="s">
        <v>3238</v>
      </c>
      <c r="J14" s="3306" t="s">
        <v>3238</v>
      </c>
      <c r="K14" s="1116"/>
      <c r="L14" s="1116"/>
      <c r="M14" s="1116"/>
      <c r="N14" s="1116"/>
      <c r="O14" s="1116"/>
      <c r="P14" s="1116"/>
      <c r="Q14" s="1116"/>
      <c r="R14" s="1208">
        <v>13</v>
      </c>
      <c r="S14" s="1209"/>
      <c r="T14" s="3355">
        <f t="shared" si="0"/>
        <v>0</v>
      </c>
      <c r="U14" s="1209"/>
      <c r="V14" s="3355">
        <f t="shared" si="1"/>
        <v>0</v>
      </c>
      <c r="W14" s="1212"/>
      <c r="X14" s="1212"/>
      <c r="Y14" s="1212"/>
      <c r="Z14" s="1212"/>
      <c r="AA14" s="1212"/>
      <c r="AB14" s="1212"/>
      <c r="AC14" s="1213"/>
      <c r="AD14" s="2785"/>
      <c r="AE14" s="2785"/>
      <c r="AF14" s="2785"/>
      <c r="AG14" s="2785"/>
      <c r="AH14" s="2785"/>
      <c r="AI14" s="2785"/>
      <c r="AJ14" s="2786"/>
    </row>
    <row r="15" spans="1:36" ht="15">
      <c r="A15" s="3292"/>
      <c r="B15" s="2038"/>
      <c r="C15" s="2039"/>
      <c r="D15" s="2040"/>
      <c r="E15" s="2041" t="s">
        <v>3397</v>
      </c>
      <c r="F15" s="3307" t="s">
        <v>3239</v>
      </c>
      <c r="G15" s="3308"/>
      <c r="H15" s="3309"/>
      <c r="I15" s="3310"/>
      <c r="J15" s="3311"/>
      <c r="K15" s="1116"/>
      <c r="L15" s="1116"/>
      <c r="M15" s="1116"/>
      <c r="N15" s="1116"/>
      <c r="O15" s="1116"/>
      <c r="P15" s="1116"/>
      <c r="Q15" s="1116"/>
      <c r="R15" s="1208">
        <v>14</v>
      </c>
      <c r="S15" s="1209"/>
      <c r="T15" s="3355">
        <f t="shared" si="0"/>
        <v>0</v>
      </c>
      <c r="U15" s="1209"/>
      <c r="V15" s="3355">
        <f t="shared" si="1"/>
        <v>0</v>
      </c>
      <c r="W15" s="1212"/>
      <c r="X15" s="1212"/>
      <c r="Y15" s="1212"/>
      <c r="Z15" s="1212"/>
      <c r="AA15" s="1212"/>
      <c r="AB15" s="1212"/>
      <c r="AC15" s="1213"/>
      <c r="AD15" s="2785"/>
      <c r="AE15" s="2785"/>
      <c r="AF15" s="2785"/>
      <c r="AG15" s="2785"/>
      <c r="AH15" s="2785"/>
      <c r="AI15" s="2785"/>
      <c r="AJ15" s="2786"/>
    </row>
    <row r="16" spans="1:36" ht="15.75" thickBot="1">
      <c r="A16" s="3292"/>
      <c r="B16" s="3314" t="s">
        <v>1989</v>
      </c>
      <c r="C16" s="3312"/>
      <c r="D16" s="3312"/>
      <c r="E16" s="3312"/>
      <c r="F16" s="3312">
        <v>1</v>
      </c>
      <c r="G16" s="3312">
        <v>1</v>
      </c>
      <c r="H16" s="3312">
        <v>1</v>
      </c>
      <c r="I16" s="3312">
        <v>1</v>
      </c>
      <c r="J16" s="3313">
        <v>1</v>
      </c>
      <c r="K16" s="1116"/>
      <c r="L16" s="1993"/>
      <c r="M16" s="1993"/>
      <c r="N16" s="1993"/>
      <c r="O16" s="1993"/>
      <c r="P16" s="1993"/>
      <c r="Q16" s="1116"/>
      <c r="R16" s="1208">
        <v>15</v>
      </c>
      <c r="S16" s="1209"/>
      <c r="T16" s="3355">
        <f t="shared" si="0"/>
        <v>0</v>
      </c>
      <c r="U16" s="1209"/>
      <c r="V16" s="3355">
        <f t="shared" si="1"/>
        <v>0</v>
      </c>
      <c r="W16" s="1212"/>
      <c r="X16" s="1212"/>
      <c r="Y16" s="1212"/>
      <c r="Z16" s="1212"/>
      <c r="AA16" s="1212"/>
      <c r="AB16" s="1212"/>
      <c r="AC16" s="1213"/>
      <c r="AD16" s="2785"/>
      <c r="AE16" s="2785"/>
      <c r="AF16" s="2785"/>
      <c r="AG16" s="2785"/>
      <c r="AH16" s="2785"/>
      <c r="AI16" s="2785"/>
      <c r="AJ16" s="2786"/>
    </row>
    <row r="17" spans="1:37">
      <c r="A17" s="3324" t="s">
        <v>3240</v>
      </c>
      <c r="B17" s="3315" t="s">
        <v>3241</v>
      </c>
      <c r="C17" s="3325">
        <f>ROUND(IF(OR(E2="工业",E2="公共服务"),1,IF(AND(E18=0,E19=0),1,IF(AND(E18=J24,E19=G19),0.8,IF(E19=0,1+E17*(-0.2),1+E17*G17*(-0.2))))),4)</f>
        <v>1</v>
      </c>
      <c r="D17" s="3316" t="s">
        <v>3242</v>
      </c>
      <c r="E17" s="3325">
        <f>ROUND(G18/I18,2)</f>
        <v>0</v>
      </c>
      <c r="F17" s="3316" t="s">
        <v>3245</v>
      </c>
      <c r="G17" s="3325" t="e">
        <f>ROUND(E19/G19,2)</f>
        <v>#DIV/0!</v>
      </c>
      <c r="H17" s="3325"/>
      <c r="I17" s="3325"/>
      <c r="J17" s="3326"/>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7"/>
      <c r="B18" s="3004"/>
      <c r="C18" s="3322"/>
      <c r="D18" s="3317" t="s">
        <v>3243</v>
      </c>
      <c r="E18" s="3323"/>
      <c r="F18" s="3318" t="s">
        <v>3246</v>
      </c>
      <c r="G18" s="3322">
        <f>ROUND(1-(1/(POWER(1+G24,E18))),4)</f>
        <v>0</v>
      </c>
      <c r="H18" s="3318" t="s">
        <v>3248</v>
      </c>
      <c r="I18" s="3322">
        <f>ROUND(1-(1/(POWER(1+G24,J24))),4)</f>
        <v>0.88249999999999995</v>
      </c>
      <c r="J18" s="3328"/>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29"/>
      <c r="B19" s="3330"/>
      <c r="C19" s="3331"/>
      <c r="D19" s="3331" t="s">
        <v>3244</v>
      </c>
      <c r="E19" s="3332"/>
      <c r="F19" s="3333" t="s">
        <v>3247</v>
      </c>
      <c r="G19" s="3332"/>
      <c r="H19" s="3331"/>
      <c r="I19" s="3331"/>
      <c r="J19" s="3334"/>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769" t="s">
        <v>3249</v>
      </c>
      <c r="B20" s="167" t="s">
        <v>1994</v>
      </c>
      <c r="C20" s="3319">
        <f>ROUND(IF(F21="与级别开发程度一致",0,(G21-E21)/C21),0)</f>
        <v>0</v>
      </c>
      <c r="D20" s="3335" t="s">
        <v>1998</v>
      </c>
      <c r="E20" s="3336"/>
      <c r="F20" s="3775" t="s">
        <v>1995</v>
      </c>
      <c r="G20" s="3776"/>
      <c r="H20" s="3320"/>
      <c r="I20" s="3320"/>
      <c r="J20" s="3321"/>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770"/>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3389</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2002</v>
      </c>
      <c r="E23" s="758">
        <v>44197</v>
      </c>
      <c r="F23" s="2050" t="s">
        <v>2003</v>
      </c>
      <c r="G23" s="759">
        <f>'数据-取费表'!B2</f>
        <v>45411</v>
      </c>
      <c r="H23" s="3337" t="s">
        <v>3251</v>
      </c>
      <c r="I23" s="3338" t="str">
        <f>IF(H23="季度增幅（自定义）",SUMIF(N25:N28,E2,O25:O28),"")</f>
        <v/>
      </c>
      <c r="J23" s="3440" t="s">
        <v>3250</v>
      </c>
      <c r="K23" s="1122"/>
      <c r="L23" s="2051" t="s">
        <v>2004</v>
      </c>
      <c r="M23" s="1324">
        <f>ROUND(SUMIF(地价!B2:G2,E2,地价!B16:G16),0)</f>
        <v>350</v>
      </c>
      <c r="N23" s="2052" t="s">
        <v>2005</v>
      </c>
      <c r="O23" s="760">
        <f>ROUNDDOWN(DATEDIF(E23,G23,"M")/3,0)</f>
        <v>13</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f>ROUND(POWER(1+G24,J24-I24)*(POWER(1+G24,I24)-1)/(POWER(1+G24,J24)-1),4)</f>
        <v>0.72050000000000003</v>
      </c>
      <c r="D24" s="2056" t="s">
        <v>2007</v>
      </c>
      <c r="E24" s="1331">
        <f>存贷款利率!E24/100</f>
        <v>4.3499999999999997E-2</v>
      </c>
      <c r="F24" s="2056" t="s">
        <v>1999</v>
      </c>
      <c r="G24" s="765">
        <f>SUMIF(M30:Q30,E2,M33:Q33)</f>
        <v>5.5E-2</v>
      </c>
      <c r="H24" s="2056" t="s">
        <v>2008</v>
      </c>
      <c r="I24" s="766">
        <f>SUMIF('数据-取费表'!C6:C15,E2,'数据-取费表'!F6:F15)/COUNTIF('数据-取费表'!C6:C15,E2)</f>
        <v>18.87</v>
      </c>
      <c r="J24" s="767">
        <f>IF(E2="住宅",70,IF(E2="商业",40,50))</f>
        <v>40</v>
      </c>
      <c r="K24" s="1122"/>
      <c r="L24" s="2057" t="s">
        <v>2009</v>
      </c>
      <c r="M24" s="1325">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3603</v>
      </c>
      <c r="C25" s="768">
        <f>IF(B25="容积率修正",IF(G3&lt;10,D26,J26),C27)</f>
        <v>1.1369</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9" t="s">
        <v>3252</v>
      </c>
      <c r="D26" s="1348">
        <f>IF(E26=G26,F26,IF(G3&lt;10,ROUND(F26+(H26-F26)*(G3-E26)/(G26-E26),4),"——"))</f>
        <v>1.1369</v>
      </c>
      <c r="E26" s="749">
        <f>ROUNDDOWN(G3,1)</f>
        <v>1.3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749">
        <f>ROUNDUP(G3,1)</f>
        <v>1.4000000000000001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1.1265000000000001</v>
      </c>
      <c r="I26" s="3339" t="s">
        <v>3253</v>
      </c>
      <c r="J26" s="769"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1.0249999999999999</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15836</v>
      </c>
      <c r="D30" s="2079"/>
      <c r="E30" s="2042"/>
      <c r="F30" s="2080"/>
      <c r="G30" s="2042"/>
      <c r="H30" s="2042"/>
      <c r="I30" s="2042"/>
      <c r="J30" s="2081"/>
      <c r="K30" s="1116"/>
      <c r="L30" s="3345" t="s">
        <v>1936</v>
      </c>
      <c r="M30" s="3346" t="s">
        <v>1990</v>
      </c>
      <c r="N30" s="3346" t="s">
        <v>1991</v>
      </c>
      <c r="O30" s="3346" t="s">
        <v>1992</v>
      </c>
      <c r="P30" s="3346" t="s">
        <v>1993</v>
      </c>
      <c r="Q30" s="3349" t="s">
        <v>3257</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f>E34+SUM(I37:I42)</f>
        <v>0</v>
      </c>
      <c r="D31" s="2083"/>
      <c r="E31" s="2084"/>
      <c r="F31" s="2085"/>
      <c r="G31" s="2084"/>
      <c r="H31" s="2084"/>
      <c r="I31" s="2084"/>
      <c r="J31" s="2086"/>
      <c r="K31" s="1116"/>
      <c r="L31" s="3347" t="s">
        <v>1996</v>
      </c>
      <c r="M31" s="1996">
        <v>0.25</v>
      </c>
      <c r="N31" s="1996">
        <v>0.2</v>
      </c>
      <c r="O31" s="1996">
        <v>0.15</v>
      </c>
      <c r="P31" s="1996">
        <v>0.1</v>
      </c>
      <c r="Q31" s="3342">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8" t="s">
        <v>1999</v>
      </c>
      <c r="M32" s="2566">
        <f>ROUND($E$24*(1+M31),3)</f>
        <v>5.3999999999999999E-2</v>
      </c>
      <c r="N32" s="2566">
        <f>ROUND($E$24*(1+N31),3)</f>
        <v>5.1999999999999998E-2</v>
      </c>
      <c r="O32" s="2566">
        <f>ROUND($E$24*(1+O31),3)</f>
        <v>0.05</v>
      </c>
      <c r="P32" s="2566">
        <f>ROUND($E$24*(1+P31),3)</f>
        <v>4.8000000000000001E-2</v>
      </c>
      <c r="Q32" s="3350">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f>ROUND(C5*C22*C23*C24*C25*C28,0)</f>
        <v>14481</v>
      </c>
      <c r="D33" s="2094">
        <f>'数据-基础表'!I13</f>
        <v>10935.989999999998</v>
      </c>
      <c r="E33" s="770">
        <f>ROUND(C33*D33/10000,0)</f>
        <v>15836</v>
      </c>
      <c r="F33" s="3340" t="s">
        <v>3255</v>
      </c>
      <c r="G33" s="2095"/>
      <c r="H33" s="2095"/>
      <c r="I33" s="2095"/>
      <c r="J33" s="2096"/>
      <c r="K33" s="1116"/>
      <c r="L33" s="3343" t="s">
        <v>3258</v>
      </c>
      <c r="M33" s="3344">
        <v>5.5E-2</v>
      </c>
      <c r="N33" s="3344">
        <v>5.5E-2</v>
      </c>
      <c r="O33" s="3344">
        <v>0.05</v>
      </c>
      <c r="P33" s="3344">
        <v>0.05</v>
      </c>
      <c r="Q33" s="3344">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f>ROUND(IF(E2="工业",C33*M42,IF(B25="楼层修正",SUM(V2:V16)*M41*10000/D34,C33*M41)),0)</f>
        <v>3620</v>
      </c>
      <c r="D34" s="2099"/>
      <c r="E34" s="770">
        <f>ROUND(IF(B25="楼层修正",SUM(V2:V16)*M40,C34*D34/10000),0)</f>
        <v>0</v>
      </c>
      <c r="F34" s="2100" t="s">
        <v>2032</v>
      </c>
      <c r="G34" s="2101"/>
      <c r="H34" s="2101"/>
      <c r="I34" s="2101"/>
      <c r="J34" s="2102"/>
      <c r="K34" s="1116"/>
      <c r="L34" s="3343" t="s">
        <v>3259</v>
      </c>
      <c r="M34" s="3344">
        <v>6.5000000000000002E-2</v>
      </c>
      <c r="N34" s="3344">
        <v>6.5000000000000002E-2</v>
      </c>
      <c r="O34" s="3344">
        <v>0.06</v>
      </c>
      <c r="P34" s="3344">
        <v>0.06</v>
      </c>
      <c r="Q34" s="3344">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1" t="s">
        <v>3256</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1" t="s">
        <v>3260</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73"/>
      <c r="B37" s="2109" t="s">
        <v>2036</v>
      </c>
      <c r="C37" s="175">
        <f>ROUND(D5*C22*C23*C24*C28*F37,0)</f>
        <v>7642</v>
      </c>
      <c r="D37" s="2094"/>
      <c r="E37" s="171">
        <f>ROUND(C37*D37/10000,0)</f>
        <v>0</v>
      </c>
      <c r="F37" s="171">
        <f>SUMIF(修正!A57:A68,G2,修正!B57:B68)</f>
        <v>0.6</v>
      </c>
      <c r="G37" s="171">
        <f>ROUND(IF(E2="工业",C37*$M$42,C37*$M$41),0)</f>
        <v>1911</v>
      </c>
      <c r="H37" s="171">
        <f>D37</f>
        <v>0</v>
      </c>
      <c r="I37" s="171">
        <f>ROUND(G37*H37/10000,0)</f>
        <v>0</v>
      </c>
      <c r="J37" s="3006"/>
      <c r="K37" s="3353" t="s">
        <v>3261</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74"/>
      <c r="B38" s="2037" t="s">
        <v>2037</v>
      </c>
      <c r="C38" s="175">
        <f>ROUND(D5*C22*C23*C24*C28*F38,0)</f>
        <v>3821</v>
      </c>
      <c r="D38" s="2094">
        <f>'数据-基础表'!K15</f>
        <v>0</v>
      </c>
      <c r="E38" s="171">
        <f t="shared" ref="E38:E42" si="4">ROUND(C38*D38/10000,0)</f>
        <v>0</v>
      </c>
      <c r="F38" s="171">
        <f>SUMIF(修正!A57:A68,G2,修正!C57:C68)</f>
        <v>0.3</v>
      </c>
      <c r="G38" s="171">
        <f>ROUND(IF(E2="工业",C38*$M$42,C38*$M$41),0)</f>
        <v>955</v>
      </c>
      <c r="H38" s="171">
        <f t="shared" ref="H38:H42" si="5">D38</f>
        <v>0</v>
      </c>
      <c r="I38" s="171">
        <f t="shared" ref="I38:I42" si="6">ROUND(G38*H38/10000,0)</f>
        <v>0</v>
      </c>
      <c r="J38" s="3005"/>
      <c r="K38" s="3351">
        <v>5.0000000000000001E-3</v>
      </c>
      <c r="L38" s="3351"/>
      <c r="M38" s="3351"/>
      <c r="N38" s="3351"/>
      <c r="O38" s="3351"/>
      <c r="P38" s="3351"/>
      <c r="Q38" s="3351"/>
      <c r="R38" s="1116"/>
      <c r="S38" s="1116"/>
      <c r="T38" s="1116"/>
      <c r="U38" s="1116"/>
      <c r="V38" s="1116"/>
      <c r="W38" s="1116"/>
      <c r="X38" s="1116"/>
      <c r="Y38" s="1116"/>
      <c r="Z38" s="1117"/>
      <c r="AA38" s="1117"/>
      <c r="AB38" s="1117"/>
      <c r="AC38" s="1117"/>
      <c r="AD38" s="1117"/>
    </row>
    <row r="39" spans="1:37" ht="13.5" thickBot="1">
      <c r="A39" s="3774"/>
      <c r="B39" s="2037" t="s">
        <v>3254</v>
      </c>
      <c r="C39" s="175">
        <f>ROUND(D5*C22*C23*C24*C28*F39,0)</f>
        <v>3184</v>
      </c>
      <c r="D39" s="2094"/>
      <c r="E39" s="171">
        <f t="shared" si="4"/>
        <v>0</v>
      </c>
      <c r="F39" s="171">
        <f>SUMIF(修正!A57:A68,G2,修正!D57:D68)</f>
        <v>0.25</v>
      </c>
      <c r="G39" s="171">
        <f>ROUND(IF(E2="工业",C39*$M$42,C39*$M$41),0)</f>
        <v>796</v>
      </c>
      <c r="H39" s="171">
        <f t="shared" si="5"/>
        <v>0</v>
      </c>
      <c r="I39" s="171">
        <f t="shared" si="6"/>
        <v>0</v>
      </c>
      <c r="J39" s="3005"/>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f>ROUND(D5*C22*C23*C24*C28*F40,0)</f>
        <v>3184</v>
      </c>
      <c r="D40" s="2094"/>
      <c r="E40" s="171">
        <f t="shared" si="4"/>
        <v>0</v>
      </c>
      <c r="F40" s="175">
        <f>SUMIF(修正!A57:A68,G2,修正!E57:E68)</f>
        <v>0.25</v>
      </c>
      <c r="G40" s="171">
        <f>ROUND(IF(E2="工业",C40*$M$42,C40*$M$41),0)</f>
        <v>796</v>
      </c>
      <c r="H40" s="171">
        <f t="shared" si="5"/>
        <v>0</v>
      </c>
      <c r="I40" s="171">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3018</v>
      </c>
      <c r="D41" s="2094"/>
      <c r="E41" s="171">
        <f t="shared" si="4"/>
        <v>0</v>
      </c>
      <c r="F41" s="175">
        <f>SUMIF(修正!A57:A68,G2,修正!F57:F68)</f>
        <v>0.25</v>
      </c>
      <c r="G41" s="171">
        <f>ROUND(IF(E2="工业",C41*$M$42,C41*$M$41),0)</f>
        <v>755</v>
      </c>
      <c r="H41" s="171">
        <f t="shared" si="5"/>
        <v>0</v>
      </c>
      <c r="I41" s="171">
        <f t="shared" si="6"/>
        <v>0</v>
      </c>
      <c r="J41" s="2110"/>
      <c r="L41" s="3354" t="s">
        <v>3262</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1811</v>
      </c>
      <c r="D42" s="2099">
        <f>'数据-基础表'!M16</f>
        <v>0</v>
      </c>
      <c r="E42" s="187">
        <f t="shared" si="4"/>
        <v>0</v>
      </c>
      <c r="F42" s="764">
        <f>SUMIF(修正!A57:A68,G2,修正!G57:G68)</f>
        <v>0.15</v>
      </c>
      <c r="G42" s="187">
        <f>ROUND(IF(E2="工业",C42*$M$42,C42*$M$41),0)</f>
        <v>453</v>
      </c>
      <c r="H42" s="187">
        <f t="shared" si="5"/>
        <v>0</v>
      </c>
      <c r="I42" s="187">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2122</v>
      </c>
      <c r="C44" s="342">
        <f>ROUND(POWER(1+E44,H44-G44)*(POWER(1+E44,G44)-1)/(POWER(1+E44,H44)-1),4)</f>
        <v>0.68289999999999995</v>
      </c>
      <c r="D44" s="171" t="s">
        <v>1999</v>
      </c>
      <c r="E44" s="2149">
        <f>G24</f>
        <v>5.5E-2</v>
      </c>
      <c r="F44" s="171" t="s">
        <v>2008</v>
      </c>
      <c r="G44" s="183">
        <f>项目基本情况!D15</f>
        <v>18.87</v>
      </c>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1.0249999999999999</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0"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24.75">
      <c r="A50" s="2126" t="s">
        <v>2052</v>
      </c>
      <c r="B50" s="2129">
        <f>估价对象房地状况!C4</f>
        <v>0</v>
      </c>
      <c r="C50" s="2040" t="s">
        <v>3390</v>
      </c>
      <c r="D50" s="1062">
        <f t="shared" ref="D50:D58" si="7">SUMIF($J$49:$N$49,C50,J50:N50)</f>
        <v>7.6E-3</v>
      </c>
      <c r="E50" s="741">
        <f>ROUND(SUM(D50:D58),4)</f>
        <v>2.5000000000000001E-2</v>
      </c>
      <c r="F50" s="1810">
        <f>IF(E2="商业",SUMIF(L1:L12,G2,N1:N12),"——")</f>
        <v>5.0999999999999997E-2</v>
      </c>
      <c r="G50" s="1060">
        <f>H50</f>
        <v>7.6E-3</v>
      </c>
      <c r="H50" s="1063">
        <f t="shared" ref="H50:H58" si="8">IFERROR(ROUNDDOWN($F$50*I50/2,4),"——")</f>
        <v>7.6E-3</v>
      </c>
      <c r="I50" s="3361">
        <v>0.3</v>
      </c>
      <c r="J50" s="1061">
        <f t="shared" ref="J50:J58" si="9">K50+$G50</f>
        <v>1.52E-2</v>
      </c>
      <c r="K50" s="1061">
        <f t="shared" ref="K50:K58" si="10">$L50+$G50</f>
        <v>7.6E-3</v>
      </c>
      <c r="L50" s="1061">
        <v>0</v>
      </c>
      <c r="M50" s="1061">
        <f t="shared" ref="M50:N58" si="11">L50-$G50</f>
        <v>-7.6E-3</v>
      </c>
      <c r="N50" s="1061">
        <f t="shared" si="11"/>
        <v>-1.52E-2</v>
      </c>
      <c r="AA50" s="1117"/>
      <c r="AB50" s="1117"/>
      <c r="AC50" s="1117"/>
      <c r="AD50" s="1117"/>
      <c r="AE50" s="1117"/>
      <c r="AF50" s="1117"/>
      <c r="AG50" s="1117"/>
      <c r="AH50" s="1117"/>
      <c r="AI50" s="1117"/>
      <c r="AJ50" s="1117"/>
      <c r="AK50" s="1117"/>
    </row>
    <row r="51" spans="1:37" s="1116" customFormat="1" ht="14.25">
      <c r="A51" s="2126" t="s">
        <v>2053</v>
      </c>
      <c r="B51" s="2130">
        <f>估价对象房地状况!C18</f>
        <v>0</v>
      </c>
      <c r="C51" s="2040" t="s">
        <v>3390</v>
      </c>
      <c r="D51" s="1062">
        <f t="shared" si="7"/>
        <v>5.5999999999999999E-3</v>
      </c>
      <c r="E51" s="742"/>
      <c r="F51" s="1810"/>
      <c r="G51" s="1060">
        <f t="shared" ref="G51:G58" si="12">H51</f>
        <v>5.5999999999999999E-3</v>
      </c>
      <c r="H51" s="1063">
        <f t="shared" si="8"/>
        <v>5.5999999999999999E-3</v>
      </c>
      <c r="I51" s="3361">
        <v>0.22</v>
      </c>
      <c r="J51" s="1061">
        <f t="shared" si="9"/>
        <v>1.12E-2</v>
      </c>
      <c r="K51" s="1061">
        <f t="shared" si="10"/>
        <v>5.5999999999999999E-3</v>
      </c>
      <c r="L51" s="1061">
        <v>0</v>
      </c>
      <c r="M51" s="1061">
        <f t="shared" si="11"/>
        <v>-5.5999999999999999E-3</v>
      </c>
      <c r="N51" s="1061">
        <f t="shared" si="11"/>
        <v>-1.12E-2</v>
      </c>
      <c r="AA51" s="1117"/>
      <c r="AB51" s="1117"/>
      <c r="AC51" s="1117"/>
      <c r="AD51" s="1117"/>
      <c r="AE51" s="1117"/>
      <c r="AF51" s="1117"/>
      <c r="AG51" s="1117"/>
      <c r="AH51" s="1117"/>
      <c r="AI51" s="1117"/>
      <c r="AJ51" s="1117"/>
      <c r="AK51" s="1117"/>
    </row>
    <row r="52" spans="1:37" s="1116" customFormat="1" ht="36">
      <c r="A52" s="3363" t="s">
        <v>3264</v>
      </c>
      <c r="B52" s="2130">
        <f>估价对象房地状况!C19</f>
        <v>0</v>
      </c>
      <c r="C52" s="2040" t="s">
        <v>3390</v>
      </c>
      <c r="D52" s="1062">
        <f t="shared" si="7"/>
        <v>3.0000000000000001E-3</v>
      </c>
      <c r="E52" s="742"/>
      <c r="F52" s="1810"/>
      <c r="G52" s="1060">
        <f t="shared" si="12"/>
        <v>3.0000000000000001E-3</v>
      </c>
      <c r="H52" s="1063">
        <f t="shared" si="8"/>
        <v>3.0000000000000001E-3</v>
      </c>
      <c r="I52" s="3361">
        <v>0.12</v>
      </c>
      <c r="J52" s="1061">
        <f t="shared" si="9"/>
        <v>6.0000000000000001E-3</v>
      </c>
      <c r="K52" s="1061">
        <f t="shared" si="10"/>
        <v>3.0000000000000001E-3</v>
      </c>
      <c r="L52" s="1061">
        <v>0</v>
      </c>
      <c r="M52" s="1061">
        <f t="shared" si="11"/>
        <v>-3.0000000000000001E-3</v>
      </c>
      <c r="N52" s="1061">
        <f t="shared" si="11"/>
        <v>-6.0000000000000001E-3</v>
      </c>
      <c r="AA52" s="1117"/>
      <c r="AB52" s="1117"/>
      <c r="AC52" s="1117"/>
      <c r="AD52" s="1117"/>
      <c r="AE52" s="1117"/>
      <c r="AF52" s="1117"/>
      <c r="AG52" s="1117"/>
      <c r="AH52" s="1117"/>
      <c r="AI52" s="1117"/>
      <c r="AJ52" s="1117"/>
      <c r="AK52" s="1117"/>
    </row>
    <row r="53" spans="1:37" s="1116" customFormat="1" ht="36.75">
      <c r="A53" s="2126" t="s">
        <v>2054</v>
      </c>
      <c r="B53" s="2131" t="s">
        <v>2055</v>
      </c>
      <c r="C53" s="2040" t="s">
        <v>3390</v>
      </c>
      <c r="D53" s="1062">
        <f t="shared" si="7"/>
        <v>1.1999999999999999E-3</v>
      </c>
      <c r="E53" s="742"/>
      <c r="F53" s="1810"/>
      <c r="G53" s="1060">
        <f t="shared" si="12"/>
        <v>1.1999999999999999E-3</v>
      </c>
      <c r="H53" s="1063">
        <f t="shared" si="8"/>
        <v>1.1999999999999999E-3</v>
      </c>
      <c r="I53" s="3361">
        <v>0.05</v>
      </c>
      <c r="J53" s="1061">
        <f t="shared" si="9"/>
        <v>2.3999999999999998E-3</v>
      </c>
      <c r="K53" s="1061">
        <f t="shared" si="10"/>
        <v>1.1999999999999999E-3</v>
      </c>
      <c r="L53" s="1061">
        <v>0</v>
      </c>
      <c r="M53" s="1061">
        <f t="shared" si="11"/>
        <v>-1.1999999999999999E-3</v>
      </c>
      <c r="N53" s="1061">
        <f t="shared" si="11"/>
        <v>-2.3999999999999998E-3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3390</v>
      </c>
      <c r="D54" s="1062">
        <f t="shared" si="7"/>
        <v>2E-3</v>
      </c>
      <c r="E54" s="742"/>
      <c r="F54" s="1810"/>
      <c r="G54" s="1060">
        <f t="shared" si="12"/>
        <v>2E-3</v>
      </c>
      <c r="H54" s="1063">
        <f t="shared" si="8"/>
        <v>2E-3</v>
      </c>
      <c r="I54" s="3361">
        <v>0.08</v>
      </c>
      <c r="J54" s="1061">
        <f t="shared" si="9"/>
        <v>4.0000000000000001E-3</v>
      </c>
      <c r="K54" s="1061">
        <f t="shared" si="10"/>
        <v>2E-3</v>
      </c>
      <c r="L54" s="1061">
        <v>0</v>
      </c>
      <c r="M54" s="1061">
        <f t="shared" si="11"/>
        <v>-2E-3</v>
      </c>
      <c r="N54" s="1061">
        <f t="shared" si="11"/>
        <v>-4.0000000000000001E-3</v>
      </c>
      <c r="AA54" s="1117"/>
      <c r="AB54" s="1117"/>
      <c r="AC54" s="1117"/>
      <c r="AD54" s="1117"/>
      <c r="AE54" s="1117"/>
      <c r="AF54" s="1117"/>
      <c r="AG54" s="1117"/>
      <c r="AH54" s="1117"/>
      <c r="AI54" s="1117"/>
      <c r="AJ54" s="1117"/>
      <c r="AK54" s="1117"/>
    </row>
    <row r="55" spans="1:37" s="1116" customFormat="1" ht="24">
      <c r="A55" s="2126" t="s">
        <v>2057</v>
      </c>
      <c r="B55" s="2132" t="s">
        <v>2058</v>
      </c>
      <c r="C55" s="2040" t="s">
        <v>3390</v>
      </c>
      <c r="D55" s="1062">
        <f t="shared" si="7"/>
        <v>1.1999999999999999E-3</v>
      </c>
      <c r="E55" s="742"/>
      <c r="F55" s="1810"/>
      <c r="G55" s="1060">
        <f t="shared" si="12"/>
        <v>1.1999999999999999E-3</v>
      </c>
      <c r="H55" s="1063">
        <f t="shared" si="8"/>
        <v>1.1999999999999999E-3</v>
      </c>
      <c r="I55" s="3361">
        <v>0.05</v>
      </c>
      <c r="J55" s="1061">
        <f t="shared" si="9"/>
        <v>2.3999999999999998E-3</v>
      </c>
      <c r="K55" s="1061">
        <f t="shared" si="10"/>
        <v>1.1999999999999999E-3</v>
      </c>
      <c r="L55" s="1061">
        <v>0</v>
      </c>
      <c r="M55" s="1061">
        <f t="shared" si="11"/>
        <v>-1.1999999999999999E-3</v>
      </c>
      <c r="N55" s="1061">
        <f t="shared" si="11"/>
        <v>-2.3999999999999998E-3</v>
      </c>
      <c r="AA55" s="1117"/>
      <c r="AB55" s="1117"/>
      <c r="AC55" s="1117"/>
      <c r="AD55" s="1117"/>
      <c r="AE55" s="1117"/>
      <c r="AF55" s="1117"/>
      <c r="AG55" s="1117"/>
      <c r="AH55" s="1117"/>
      <c r="AI55" s="1117"/>
      <c r="AJ55" s="1117"/>
      <c r="AK55" s="1117"/>
    </row>
    <row r="56" spans="1:37" s="1116" customFormat="1" ht="24">
      <c r="A56" s="2133" t="s">
        <v>2059</v>
      </c>
      <c r="B56" s="1322">
        <f>估价对象房地状况!C21</f>
        <v>0</v>
      </c>
      <c r="C56" s="2040" t="s">
        <v>3390</v>
      </c>
      <c r="D56" s="1062">
        <f t="shared" si="7"/>
        <v>1.1999999999999999E-3</v>
      </c>
      <c r="E56" s="742"/>
      <c r="F56" s="1810"/>
      <c r="G56" s="1060">
        <f t="shared" si="12"/>
        <v>1.1999999999999999E-3</v>
      </c>
      <c r="H56" s="1063">
        <f t="shared" si="8"/>
        <v>1.1999999999999999E-3</v>
      </c>
      <c r="I56" s="3361">
        <v>0.05</v>
      </c>
      <c r="J56" s="1061">
        <f t="shared" si="9"/>
        <v>2.3999999999999998E-3</v>
      </c>
      <c r="K56" s="1061">
        <f t="shared" si="10"/>
        <v>1.1999999999999999E-3</v>
      </c>
      <c r="L56" s="1061">
        <v>0</v>
      </c>
      <c r="M56" s="1061">
        <f t="shared" si="11"/>
        <v>-1.1999999999999999E-3</v>
      </c>
      <c r="N56" s="1061">
        <f t="shared" si="11"/>
        <v>-2.3999999999999998E-3</v>
      </c>
      <c r="AA56" s="1117"/>
      <c r="AB56" s="1117"/>
      <c r="AC56" s="1117"/>
      <c r="AD56" s="1117"/>
      <c r="AE56" s="1117"/>
      <c r="AF56" s="1117"/>
      <c r="AG56" s="1117"/>
      <c r="AH56" s="1117"/>
      <c r="AI56" s="1117"/>
      <c r="AJ56" s="1117"/>
      <c r="AK56" s="1117"/>
    </row>
    <row r="57" spans="1:37" s="1116" customFormat="1" ht="24">
      <c r="A57" s="2133" t="s">
        <v>2060</v>
      </c>
      <c r="B57" s="2130">
        <f>估价对象房地状况!C22</f>
        <v>0</v>
      </c>
      <c r="C57" s="2040" t="s">
        <v>3390</v>
      </c>
      <c r="D57" s="1062">
        <f t="shared" si="7"/>
        <v>2E-3</v>
      </c>
      <c r="E57" s="742"/>
      <c r="F57" s="1810"/>
      <c r="G57" s="1060">
        <f t="shared" si="12"/>
        <v>2E-3</v>
      </c>
      <c r="H57" s="1063">
        <f t="shared" si="8"/>
        <v>2E-3</v>
      </c>
      <c r="I57" s="3361">
        <v>0.08</v>
      </c>
      <c r="J57" s="1061">
        <f t="shared" si="9"/>
        <v>4.0000000000000001E-3</v>
      </c>
      <c r="K57" s="1061">
        <f t="shared" si="10"/>
        <v>2E-3</v>
      </c>
      <c r="L57" s="1061">
        <v>0</v>
      </c>
      <c r="M57" s="1061">
        <f t="shared" si="11"/>
        <v>-2E-3</v>
      </c>
      <c r="N57" s="1061">
        <f t="shared" si="11"/>
        <v>-4.0000000000000001E-3</v>
      </c>
      <c r="AA57" s="1117"/>
      <c r="AB57" s="1117"/>
      <c r="AC57" s="1117"/>
      <c r="AD57" s="1117"/>
      <c r="AE57" s="1117"/>
      <c r="AF57" s="1117"/>
      <c r="AG57" s="1117"/>
      <c r="AH57" s="1117"/>
      <c r="AI57" s="1117"/>
      <c r="AJ57" s="1117"/>
      <c r="AK57" s="1117"/>
    </row>
    <row r="58" spans="1:37" s="1116" customFormat="1" ht="24.75" thickBot="1">
      <c r="A58" s="2134" t="s">
        <v>2061</v>
      </c>
      <c r="B58" s="2135">
        <f>估价对象房地状况!C20</f>
        <v>0</v>
      </c>
      <c r="C58" s="2040" t="s">
        <v>3390</v>
      </c>
      <c r="D58" s="1062">
        <f t="shared" si="7"/>
        <v>1.1999999999999999E-3</v>
      </c>
      <c r="E58" s="743"/>
      <c r="F58" s="1810"/>
      <c r="G58" s="1060">
        <f t="shared" si="12"/>
        <v>1.1999999999999999E-3</v>
      </c>
      <c r="H58" s="1063">
        <f t="shared" si="8"/>
        <v>1.1999999999999999E-3</v>
      </c>
      <c r="I58" s="3362">
        <v>0.05</v>
      </c>
      <c r="J58" s="1061">
        <f t="shared" si="9"/>
        <v>2.3999999999999998E-3</v>
      </c>
      <c r="K58" s="1061">
        <f t="shared" si="10"/>
        <v>1.1999999999999999E-3</v>
      </c>
      <c r="L58" s="1061">
        <v>0</v>
      </c>
      <c r="M58" s="1061">
        <f t="shared" si="11"/>
        <v>-1.1999999999999999E-3</v>
      </c>
      <c r="N58" s="1061">
        <f t="shared" si="11"/>
        <v>-2.3999999999999998E-3</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0"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24">
      <c r="A61" s="2126" t="s">
        <v>2064</v>
      </c>
      <c r="B61" s="2129">
        <f>估价对象房地状况!C17</f>
        <v>0</v>
      </c>
      <c r="C61" s="2040"/>
      <c r="D61" s="1062">
        <f t="shared" ref="D61:D69" si="13">SUMIF($J$60:$N$60,C61,J61:N61)</f>
        <v>0</v>
      </c>
      <c r="E61" s="741">
        <f>ROUND(SUM(D61:D69),4)</f>
        <v>0</v>
      </c>
      <c r="F61" s="1810" t="str">
        <f>IF(E2="办公",SUMIF(L1:L12,G2,N1:N12),"——")</f>
        <v>——</v>
      </c>
      <c r="G61" s="1060"/>
      <c r="H61" s="1063" t="str">
        <f t="shared" ref="H61:H69" si="14">IFERROR(ROUNDDOWN($F$61*I61/2,4),"——")</f>
        <v>——</v>
      </c>
      <c r="I61" s="3361">
        <v>0.25</v>
      </c>
      <c r="J61" s="1061">
        <f t="shared" ref="J61:J69" si="15">K61+$G61</f>
        <v>0</v>
      </c>
      <c r="K61" s="1061">
        <f t="shared" ref="K61:K69" si="16">$L61+$G61</f>
        <v>0</v>
      </c>
      <c r="L61" s="1061">
        <v>0</v>
      </c>
      <c r="M61" s="1061">
        <f t="shared" ref="M61:N69" si="17">L61-$G61</f>
        <v>0</v>
      </c>
      <c r="N61" s="1061">
        <f t="shared" si="17"/>
        <v>0</v>
      </c>
      <c r="AA61" s="1117"/>
      <c r="AB61" s="1117"/>
      <c r="AC61" s="1117"/>
      <c r="AD61" s="1117"/>
      <c r="AE61" s="1117"/>
      <c r="AF61" s="1117"/>
      <c r="AG61" s="1117"/>
      <c r="AH61" s="1117"/>
      <c r="AI61" s="1117"/>
      <c r="AJ61" s="1117"/>
      <c r="AK61" s="1117"/>
    </row>
    <row r="62" spans="1:37" s="1116" customFormat="1" ht="14.25">
      <c r="A62" s="2126" t="s">
        <v>2053</v>
      </c>
      <c r="B62" s="2130">
        <f>估价对象房地状况!C18</f>
        <v>0</v>
      </c>
      <c r="C62" s="2040"/>
      <c r="D62" s="1062">
        <f t="shared" si="13"/>
        <v>0</v>
      </c>
      <c r="E62" s="742"/>
      <c r="F62" s="1810"/>
      <c r="G62" s="1060"/>
      <c r="H62" s="1063" t="str">
        <f t="shared" si="14"/>
        <v>——</v>
      </c>
      <c r="I62" s="3361">
        <v>0.26</v>
      </c>
      <c r="J62" s="1061">
        <f t="shared" si="15"/>
        <v>0</v>
      </c>
      <c r="K62" s="1061">
        <f t="shared" si="16"/>
        <v>0</v>
      </c>
      <c r="L62" s="1061">
        <v>0</v>
      </c>
      <c r="M62" s="1061">
        <f t="shared" si="17"/>
        <v>0</v>
      </c>
      <c r="N62" s="1061">
        <f t="shared" si="17"/>
        <v>0</v>
      </c>
      <c r="AA62" s="1117"/>
      <c r="AB62" s="1117"/>
      <c r="AC62" s="1117"/>
      <c r="AD62" s="1117"/>
      <c r="AE62" s="1117"/>
      <c r="AF62" s="1117"/>
      <c r="AG62" s="1117"/>
      <c r="AH62" s="1117"/>
      <c r="AI62" s="1117"/>
      <c r="AJ62" s="1117"/>
      <c r="AK62" s="1117"/>
    </row>
    <row r="63" spans="1:37" s="1116" customFormat="1" ht="36">
      <c r="A63" s="3363" t="s">
        <v>3264</v>
      </c>
      <c r="B63" s="2130">
        <f>估价对象房地状况!C19</f>
        <v>0</v>
      </c>
      <c r="C63" s="2040"/>
      <c r="D63" s="1062">
        <f t="shared" si="13"/>
        <v>0</v>
      </c>
      <c r="E63" s="742"/>
      <c r="F63" s="1810"/>
      <c r="G63" s="1060"/>
      <c r="H63" s="1063" t="str">
        <f t="shared" si="14"/>
        <v>——</v>
      </c>
      <c r="I63" s="3361">
        <v>0.11</v>
      </c>
      <c r="J63" s="1061">
        <f t="shared" si="15"/>
        <v>0</v>
      </c>
      <c r="K63" s="1061">
        <f t="shared" si="16"/>
        <v>0</v>
      </c>
      <c r="L63" s="1061">
        <v>0</v>
      </c>
      <c r="M63" s="1061">
        <f t="shared" si="17"/>
        <v>0</v>
      </c>
      <c r="N63" s="1061">
        <f t="shared" si="17"/>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3"/>
        <v>0</v>
      </c>
      <c r="E64" s="742"/>
      <c r="F64" s="1810"/>
      <c r="G64" s="1060"/>
      <c r="H64" s="1063" t="str">
        <f t="shared" si="14"/>
        <v>——</v>
      </c>
      <c r="I64" s="3361">
        <v>0.05</v>
      </c>
      <c r="J64" s="1061">
        <f t="shared" si="15"/>
        <v>0</v>
      </c>
      <c r="K64" s="1061">
        <f t="shared" si="16"/>
        <v>0</v>
      </c>
      <c r="L64" s="1061">
        <v>0</v>
      </c>
      <c r="M64" s="1061">
        <f t="shared" si="17"/>
        <v>0</v>
      </c>
      <c r="N64" s="1061">
        <f t="shared" si="17"/>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3"/>
        <v>0</v>
      </c>
      <c r="E65" s="742"/>
      <c r="F65" s="1810"/>
      <c r="G65" s="1060"/>
      <c r="H65" s="1063" t="str">
        <f t="shared" si="14"/>
        <v>——</v>
      </c>
      <c r="I65" s="3361">
        <v>0.05</v>
      </c>
      <c r="J65" s="1061">
        <f t="shared" si="15"/>
        <v>0</v>
      </c>
      <c r="K65" s="1061">
        <f t="shared" si="16"/>
        <v>0</v>
      </c>
      <c r="L65" s="1061">
        <v>0</v>
      </c>
      <c r="M65" s="1061">
        <f t="shared" si="17"/>
        <v>0</v>
      </c>
      <c r="N65" s="1061">
        <f t="shared" si="17"/>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3"/>
        <v>0</v>
      </c>
      <c r="E66" s="742"/>
      <c r="F66" s="1810"/>
      <c r="G66" s="1060"/>
      <c r="H66" s="1063" t="str">
        <f t="shared" si="14"/>
        <v>——</v>
      </c>
      <c r="I66" s="3361">
        <v>0.06</v>
      </c>
      <c r="J66" s="1061">
        <f t="shared" si="15"/>
        <v>0</v>
      </c>
      <c r="K66" s="1061">
        <f t="shared" si="16"/>
        <v>0</v>
      </c>
      <c r="L66" s="1061">
        <v>0</v>
      </c>
      <c r="M66" s="1061">
        <f t="shared" si="17"/>
        <v>0</v>
      </c>
      <c r="N66" s="1061">
        <f t="shared" si="17"/>
        <v>0</v>
      </c>
      <c r="AA66" s="1117"/>
      <c r="AB66" s="1117"/>
      <c r="AC66" s="1117"/>
      <c r="AD66" s="1117"/>
      <c r="AE66" s="1117"/>
      <c r="AF66" s="1117"/>
      <c r="AG66" s="1117"/>
      <c r="AH66" s="1117"/>
      <c r="AI66" s="1117"/>
      <c r="AJ66" s="1117"/>
      <c r="AK66" s="1117"/>
    </row>
    <row r="67" spans="1:37" s="1116" customFormat="1" ht="24">
      <c r="A67" s="2126" t="s">
        <v>2059</v>
      </c>
      <c r="B67" s="1322">
        <f>估价对象房地状况!C21</f>
        <v>0</v>
      </c>
      <c r="C67" s="2040"/>
      <c r="D67" s="1062">
        <f t="shared" si="13"/>
        <v>0</v>
      </c>
      <c r="E67" s="742"/>
      <c r="F67" s="1810"/>
      <c r="G67" s="1060"/>
      <c r="H67" s="1063" t="str">
        <f t="shared" si="14"/>
        <v>——</v>
      </c>
      <c r="I67" s="3361">
        <v>0.06</v>
      </c>
      <c r="J67" s="1061">
        <f t="shared" si="15"/>
        <v>0</v>
      </c>
      <c r="K67" s="1061">
        <f t="shared" si="16"/>
        <v>0</v>
      </c>
      <c r="L67" s="1061">
        <v>0</v>
      </c>
      <c r="M67" s="1061">
        <f t="shared" si="17"/>
        <v>0</v>
      </c>
      <c r="N67" s="1061">
        <f t="shared" si="17"/>
        <v>0</v>
      </c>
      <c r="AA67" s="1117"/>
      <c r="AB67" s="1117"/>
      <c r="AC67" s="1117"/>
      <c r="AD67" s="1117"/>
      <c r="AE67" s="1117"/>
      <c r="AF67" s="1117"/>
      <c r="AG67" s="1117"/>
      <c r="AH67" s="1117"/>
      <c r="AI67" s="1117"/>
      <c r="AJ67" s="1117"/>
      <c r="AK67" s="1117"/>
    </row>
    <row r="68" spans="1:37" s="1116" customFormat="1" ht="24">
      <c r="A68" s="2126" t="s">
        <v>2060</v>
      </c>
      <c r="B68" s="1322">
        <f>估价对象房地状况!C22</f>
        <v>0</v>
      </c>
      <c r="C68" s="2040"/>
      <c r="D68" s="1062">
        <f t="shared" si="13"/>
        <v>0</v>
      </c>
      <c r="E68" s="742"/>
      <c r="F68" s="1810"/>
      <c r="G68" s="1060"/>
      <c r="H68" s="1063" t="str">
        <f t="shared" si="14"/>
        <v>——</v>
      </c>
      <c r="I68" s="3361">
        <v>0.09</v>
      </c>
      <c r="J68" s="1061">
        <f t="shared" si="15"/>
        <v>0</v>
      </c>
      <c r="K68" s="1061">
        <f t="shared" si="16"/>
        <v>0</v>
      </c>
      <c r="L68" s="1061">
        <v>0</v>
      </c>
      <c r="M68" s="1061">
        <f t="shared" si="17"/>
        <v>0</v>
      </c>
      <c r="N68" s="1061">
        <f t="shared" si="17"/>
        <v>0</v>
      </c>
      <c r="AA68" s="1117"/>
      <c r="AB68" s="1117"/>
      <c r="AC68" s="1117"/>
      <c r="AD68" s="1117"/>
      <c r="AE68" s="1117"/>
      <c r="AF68" s="1117"/>
      <c r="AG68" s="1117"/>
      <c r="AH68" s="1117"/>
      <c r="AI68" s="1117"/>
      <c r="AJ68" s="1117"/>
      <c r="AK68" s="1117"/>
    </row>
    <row r="69" spans="1:37" s="1116" customFormat="1" ht="24.75" thickBot="1">
      <c r="A69" s="2134" t="s">
        <v>2061</v>
      </c>
      <c r="B69" s="2136">
        <f>估价对象房地状况!C20</f>
        <v>0</v>
      </c>
      <c r="C69" s="2040"/>
      <c r="D69" s="1062">
        <f t="shared" si="13"/>
        <v>0</v>
      </c>
      <c r="E69" s="743"/>
      <c r="F69" s="1810"/>
      <c r="G69" s="1060"/>
      <c r="H69" s="1063" t="str">
        <f t="shared" si="14"/>
        <v>——</v>
      </c>
      <c r="I69" s="3362">
        <v>7.0000000000000007E-2</v>
      </c>
      <c r="J69" s="1061">
        <f t="shared" si="15"/>
        <v>0</v>
      </c>
      <c r="K69" s="1061">
        <f t="shared" si="16"/>
        <v>0</v>
      </c>
      <c r="L69" s="1061">
        <v>0</v>
      </c>
      <c r="M69" s="1061">
        <f t="shared" si="17"/>
        <v>0</v>
      </c>
      <c r="N69" s="1061">
        <f t="shared" si="17"/>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0"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24">
      <c r="A72" s="2126" t="s">
        <v>2066</v>
      </c>
      <c r="B72" s="2129">
        <f>估价对象房地状况!C15</f>
        <v>0</v>
      </c>
      <c r="C72" s="2040"/>
      <c r="D72" s="1062">
        <f t="shared" ref="D72:D80" si="18">SUMIF($J$71:$N$71,C72,J72:N72)</f>
        <v>0</v>
      </c>
      <c r="E72" s="741">
        <f>ROUND(SUM(D72:D80),4)</f>
        <v>0</v>
      </c>
      <c r="F72" s="1810" t="str">
        <f>IF(E2="住宅",SUMIF(L1:L12,G2,N1:N12),"——")</f>
        <v>——</v>
      </c>
      <c r="G72" s="1060"/>
      <c r="H72" s="1063" t="str">
        <f t="shared" ref="H72:H80" si="19">IFERROR(ROUNDDOWN($F$72*I72/2,4),"——")</f>
        <v>——</v>
      </c>
      <c r="I72" s="3361">
        <v>0.2</v>
      </c>
      <c r="J72" s="1061">
        <f t="shared" ref="J72:J80" si="20">K72+$G72</f>
        <v>0</v>
      </c>
      <c r="K72" s="1061">
        <f t="shared" ref="K72:K80" si="21">$L72+$G72</f>
        <v>0</v>
      </c>
      <c r="L72" s="1061">
        <v>0</v>
      </c>
      <c r="M72" s="1061">
        <f t="shared" ref="M72:N80" si="22">L72-$G72</f>
        <v>0</v>
      </c>
      <c r="N72" s="1061">
        <f t="shared" si="22"/>
        <v>0</v>
      </c>
      <c r="AA72" s="1117"/>
      <c r="AB72" s="1117"/>
      <c r="AC72" s="1117"/>
      <c r="AD72" s="1117"/>
      <c r="AE72" s="1117"/>
      <c r="AF72" s="1117"/>
      <c r="AG72" s="1117"/>
      <c r="AH72" s="1117"/>
      <c r="AI72" s="1117"/>
      <c r="AJ72" s="1117"/>
      <c r="AK72" s="1117"/>
    </row>
    <row r="73" spans="1:37" s="1116" customFormat="1" ht="14.25">
      <c r="A73" s="2126" t="s">
        <v>2053</v>
      </c>
      <c r="B73" s="2130">
        <f>估价对象房地状况!C18</f>
        <v>0</v>
      </c>
      <c r="C73" s="2040"/>
      <c r="D73" s="1062">
        <f t="shared" si="18"/>
        <v>0</v>
      </c>
      <c r="E73" s="744"/>
      <c r="F73" s="1810"/>
      <c r="G73" s="1060"/>
      <c r="H73" s="1063" t="str">
        <f t="shared" si="19"/>
        <v>——</v>
      </c>
      <c r="I73" s="3361">
        <v>0.26</v>
      </c>
      <c r="J73" s="1061">
        <f t="shared" si="20"/>
        <v>0</v>
      </c>
      <c r="K73" s="1061">
        <f t="shared" si="21"/>
        <v>0</v>
      </c>
      <c r="L73" s="1061">
        <v>0</v>
      </c>
      <c r="M73" s="1061">
        <f t="shared" si="22"/>
        <v>0</v>
      </c>
      <c r="N73" s="1061">
        <f t="shared" si="22"/>
        <v>0</v>
      </c>
      <c r="AA73" s="1117"/>
      <c r="AB73" s="1117"/>
      <c r="AC73" s="1117"/>
      <c r="AD73" s="1117"/>
      <c r="AE73" s="1117"/>
      <c r="AF73" s="1117"/>
      <c r="AG73" s="1117"/>
      <c r="AH73" s="1117"/>
      <c r="AI73" s="1117"/>
      <c r="AJ73" s="1117"/>
      <c r="AK73" s="1117"/>
    </row>
    <row r="74" spans="1:37" s="1993" customFormat="1" ht="36">
      <c r="A74" s="3363" t="s">
        <v>3264</v>
      </c>
      <c r="B74" s="2130">
        <f>估价对象房地状况!C19</f>
        <v>0</v>
      </c>
      <c r="C74" s="2040"/>
      <c r="D74" s="1062">
        <f t="shared" si="18"/>
        <v>0</v>
      </c>
      <c r="E74" s="744"/>
      <c r="F74" s="1810"/>
      <c r="G74" s="1060"/>
      <c r="H74" s="1063" t="str">
        <f t="shared" si="19"/>
        <v>——</v>
      </c>
      <c r="I74" s="3361">
        <v>0.1</v>
      </c>
      <c r="J74" s="1061">
        <f t="shared" si="20"/>
        <v>0</v>
      </c>
      <c r="K74" s="1061">
        <f t="shared" si="21"/>
        <v>0</v>
      </c>
      <c r="L74" s="1061">
        <v>0</v>
      </c>
      <c r="M74" s="1061">
        <f t="shared" si="22"/>
        <v>0</v>
      </c>
      <c r="N74" s="1061">
        <f t="shared" si="22"/>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8"/>
        <v>0</v>
      </c>
      <c r="E75" s="744"/>
      <c r="F75" s="1810"/>
      <c r="G75" s="1060"/>
      <c r="H75" s="1063" t="str">
        <f t="shared" si="19"/>
        <v>——</v>
      </c>
      <c r="I75" s="3361">
        <v>0.05</v>
      </c>
      <c r="J75" s="1061">
        <f t="shared" si="20"/>
        <v>0</v>
      </c>
      <c r="K75" s="1061">
        <f t="shared" si="21"/>
        <v>0</v>
      </c>
      <c r="L75" s="1061">
        <v>0</v>
      </c>
      <c r="M75" s="1061">
        <f t="shared" si="22"/>
        <v>0</v>
      </c>
      <c r="N75" s="1061">
        <f t="shared" si="22"/>
        <v>0</v>
      </c>
      <c r="O75" s="1116"/>
      <c r="P75" s="1116"/>
      <c r="Q75" s="1993"/>
      <c r="Z75" s="1994"/>
      <c r="AA75" s="2049"/>
      <c r="AG75" s="1118"/>
      <c r="AK75" s="2049"/>
    </row>
    <row r="76" spans="1:37" ht="24">
      <c r="A76" s="2126" t="s">
        <v>2059</v>
      </c>
      <c r="B76" s="1322">
        <f>估价对象房地状况!C21</f>
        <v>0</v>
      </c>
      <c r="C76" s="2040"/>
      <c r="D76" s="1062">
        <f t="shared" si="18"/>
        <v>0</v>
      </c>
      <c r="E76" s="744"/>
      <c r="F76" s="1810"/>
      <c r="G76" s="1060"/>
      <c r="H76" s="1063" t="str">
        <f t="shared" si="19"/>
        <v>——</v>
      </c>
      <c r="I76" s="3361">
        <v>0.08</v>
      </c>
      <c r="J76" s="1061">
        <f t="shared" si="20"/>
        <v>0</v>
      </c>
      <c r="K76" s="1061">
        <f t="shared" si="21"/>
        <v>0</v>
      </c>
      <c r="L76" s="1061">
        <v>0</v>
      </c>
      <c r="M76" s="1061">
        <f t="shared" si="22"/>
        <v>0</v>
      </c>
      <c r="N76" s="1061">
        <f t="shared" si="22"/>
        <v>0</v>
      </c>
      <c r="O76" s="1116"/>
      <c r="P76" s="1116"/>
      <c r="Z76" s="1994"/>
      <c r="AA76" s="2049"/>
      <c r="AG76" s="1118"/>
      <c r="AK76" s="2049"/>
    </row>
    <row r="77" spans="1:37" ht="24">
      <c r="A77" s="2126" t="s">
        <v>2060</v>
      </c>
      <c r="B77" s="1322">
        <f>估价对象房地状况!C22</f>
        <v>0</v>
      </c>
      <c r="C77" s="2040"/>
      <c r="D77" s="1062">
        <f t="shared" si="18"/>
        <v>0</v>
      </c>
      <c r="E77" s="744"/>
      <c r="F77" s="1810"/>
      <c r="G77" s="1060"/>
      <c r="H77" s="1063" t="str">
        <f t="shared" si="19"/>
        <v>——</v>
      </c>
      <c r="I77" s="3361">
        <v>0.09</v>
      </c>
      <c r="J77" s="1061">
        <f t="shared" si="20"/>
        <v>0</v>
      </c>
      <c r="K77" s="1061">
        <f t="shared" si="21"/>
        <v>0</v>
      </c>
      <c r="L77" s="1061">
        <v>0</v>
      </c>
      <c r="M77" s="1061">
        <f t="shared" si="22"/>
        <v>0</v>
      </c>
      <c r="N77" s="1061">
        <f t="shared" si="22"/>
        <v>0</v>
      </c>
      <c r="O77" s="1116"/>
      <c r="P77" s="1116"/>
      <c r="Z77" s="1994"/>
      <c r="AA77" s="2049"/>
      <c r="AG77" s="1118"/>
      <c r="AK77" s="2049"/>
    </row>
    <row r="78" spans="1:37" ht="24">
      <c r="A78" s="2126" t="s">
        <v>2057</v>
      </c>
      <c r="B78" s="2132" t="s">
        <v>2058</v>
      </c>
      <c r="C78" s="2040"/>
      <c r="D78" s="1062">
        <f t="shared" si="18"/>
        <v>0</v>
      </c>
      <c r="E78" s="744"/>
      <c r="F78" s="1810"/>
      <c r="G78" s="1060"/>
      <c r="H78" s="1063" t="str">
        <f t="shared" si="19"/>
        <v>——</v>
      </c>
      <c r="I78" s="3361">
        <v>0.05</v>
      </c>
      <c r="J78" s="1061">
        <f t="shared" si="20"/>
        <v>0</v>
      </c>
      <c r="K78" s="1061">
        <f t="shared" si="21"/>
        <v>0</v>
      </c>
      <c r="L78" s="1061">
        <v>0</v>
      </c>
      <c r="M78" s="1061">
        <f t="shared" si="22"/>
        <v>0</v>
      </c>
      <c r="N78" s="1061">
        <f t="shared" si="22"/>
        <v>0</v>
      </c>
      <c r="O78" s="1993"/>
      <c r="P78" s="1993"/>
      <c r="Z78" s="1994"/>
      <c r="AA78" s="2049"/>
      <c r="AG78" s="1118"/>
      <c r="AK78" s="2049"/>
    </row>
    <row r="79" spans="1:37" ht="24">
      <c r="A79" s="2126" t="s">
        <v>2061</v>
      </c>
      <c r="B79" s="2129">
        <f>估价对象房地状况!C20</f>
        <v>0</v>
      </c>
      <c r="C79" s="2040"/>
      <c r="D79" s="1062">
        <f t="shared" si="18"/>
        <v>0</v>
      </c>
      <c r="E79" s="744"/>
      <c r="F79" s="1810"/>
      <c r="G79" s="1060"/>
      <c r="H79" s="1063" t="str">
        <f t="shared" si="19"/>
        <v>——</v>
      </c>
      <c r="I79" s="3361">
        <v>0.12</v>
      </c>
      <c r="J79" s="1061">
        <f t="shared" si="20"/>
        <v>0</v>
      </c>
      <c r="K79" s="1061">
        <f t="shared" si="21"/>
        <v>0</v>
      </c>
      <c r="L79" s="1061">
        <v>0</v>
      </c>
      <c r="M79" s="1061">
        <f t="shared" si="22"/>
        <v>0</v>
      </c>
      <c r="N79" s="1061">
        <f t="shared" si="22"/>
        <v>0</v>
      </c>
      <c r="Z79" s="1994"/>
      <c r="AA79" s="2049"/>
      <c r="AG79" s="1118"/>
      <c r="AK79" s="2049"/>
    </row>
    <row r="80" spans="1:37" ht="24.75" thickBot="1">
      <c r="A80" s="2134" t="s">
        <v>2068</v>
      </c>
      <c r="B80" s="2138"/>
      <c r="C80" s="2040"/>
      <c r="D80" s="1062">
        <f t="shared" si="18"/>
        <v>0</v>
      </c>
      <c r="E80" s="745"/>
      <c r="F80" s="1810"/>
      <c r="G80" s="1060"/>
      <c r="H80" s="1063" t="str">
        <f t="shared" si="19"/>
        <v>——</v>
      </c>
      <c r="I80" s="3362">
        <v>0.05</v>
      </c>
      <c r="J80" s="1061">
        <f t="shared" si="20"/>
        <v>0</v>
      </c>
      <c r="K80" s="1061">
        <f t="shared" si="21"/>
        <v>0</v>
      </c>
      <c r="L80" s="1061">
        <v>0</v>
      </c>
      <c r="M80" s="1061">
        <f t="shared" si="22"/>
        <v>0</v>
      </c>
      <c r="N80" s="1061">
        <f t="shared" si="22"/>
        <v>0</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7"/>
      <c r="C82" s="1347" t="s">
        <v>2046</v>
      </c>
      <c r="D82" s="1347" t="s">
        <v>2047</v>
      </c>
      <c r="E82" s="740"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24">
      <c r="A83" s="2126" t="s">
        <v>2070</v>
      </c>
      <c r="B83" s="2130">
        <f>估价对象房地状况!G15</f>
        <v>0</v>
      </c>
      <c r="C83" s="2040"/>
      <c r="D83" s="1062">
        <f t="shared" ref="D83:D90" si="23">SUMIF($J$82:$N$82,C83,J83:N83)</f>
        <v>0</v>
      </c>
      <c r="E83" s="741">
        <f>ROUND(SUM(D83:D90),4)</f>
        <v>0</v>
      </c>
      <c r="F83" s="1810" t="str">
        <f>IF(E2="工业",SUMIF(L1:L12,G2,N1:N12),"——")</f>
        <v>——</v>
      </c>
      <c r="G83" s="1060"/>
      <c r="H83" s="1063" t="str">
        <f t="shared" ref="H83:H90" si="24">IFERROR(ROUNDDOWN($F$83*I83/2,4),"——")</f>
        <v>——</v>
      </c>
      <c r="I83" s="3361">
        <v>0.26</v>
      </c>
      <c r="J83" s="1061">
        <f t="shared" ref="J83:J90" si="25">K83+$G83</f>
        <v>0</v>
      </c>
      <c r="K83" s="1061">
        <f t="shared" ref="K83:K90" si="26">$L83+$G83</f>
        <v>0</v>
      </c>
      <c r="L83" s="1061">
        <v>0</v>
      </c>
      <c r="M83" s="1061">
        <f t="shared" ref="M83:N90" si="27">L83-$G83</f>
        <v>0</v>
      </c>
      <c r="N83" s="1061">
        <f t="shared" si="27"/>
        <v>0</v>
      </c>
      <c r="Z83" s="1994"/>
      <c r="AA83" s="2049"/>
      <c r="AG83" s="1118"/>
      <c r="AK83" s="2049"/>
    </row>
    <row r="84" spans="1:37" ht="14.25">
      <c r="A84" s="2126" t="s">
        <v>2053</v>
      </c>
      <c r="B84" s="2130">
        <f>估价对象房地状况!G16</f>
        <v>0</v>
      </c>
      <c r="C84" s="2040"/>
      <c r="D84" s="1062">
        <f t="shared" si="23"/>
        <v>0</v>
      </c>
      <c r="E84" s="744"/>
      <c r="F84" s="1810"/>
      <c r="G84" s="1060"/>
      <c r="H84" s="1063" t="str">
        <f t="shared" si="24"/>
        <v>——</v>
      </c>
      <c r="I84" s="3361">
        <v>0.3</v>
      </c>
      <c r="J84" s="1061">
        <f t="shared" si="25"/>
        <v>0</v>
      </c>
      <c r="K84" s="1061">
        <f t="shared" si="26"/>
        <v>0</v>
      </c>
      <c r="L84" s="1061">
        <v>0</v>
      </c>
      <c r="M84" s="1061">
        <f t="shared" si="27"/>
        <v>0</v>
      </c>
      <c r="N84" s="1061">
        <f t="shared" si="27"/>
        <v>0</v>
      </c>
      <c r="Z84" s="1994"/>
      <c r="AA84" s="2049"/>
      <c r="AG84" s="1118"/>
      <c r="AK84" s="2049"/>
    </row>
    <row r="85" spans="1:37" ht="36">
      <c r="A85" s="3363" t="s">
        <v>3265</v>
      </c>
      <c r="B85" s="2130">
        <f>估价对象房地状况!G17</f>
        <v>0</v>
      </c>
      <c r="C85" s="2040"/>
      <c r="D85" s="1062">
        <f t="shared" si="23"/>
        <v>0</v>
      </c>
      <c r="E85" s="744"/>
      <c r="F85" s="1810"/>
      <c r="G85" s="1060"/>
      <c r="H85" s="1063" t="str">
        <f t="shared" si="24"/>
        <v>——</v>
      </c>
      <c r="I85" s="3361">
        <v>0.1</v>
      </c>
      <c r="J85" s="1061">
        <f t="shared" si="25"/>
        <v>0</v>
      </c>
      <c r="K85" s="1061">
        <f t="shared" si="26"/>
        <v>0</v>
      </c>
      <c r="L85" s="1061">
        <v>0</v>
      </c>
      <c r="M85" s="1061">
        <f t="shared" si="27"/>
        <v>0</v>
      </c>
      <c r="N85" s="1061">
        <f t="shared" si="27"/>
        <v>0</v>
      </c>
      <c r="Z85" s="1994"/>
      <c r="AA85" s="2049"/>
      <c r="AG85" s="1118"/>
      <c r="AK85" s="2049"/>
    </row>
    <row r="86" spans="1:37" ht="14.25">
      <c r="A86" s="2126" t="s">
        <v>2067</v>
      </c>
      <c r="B86" s="2130">
        <f>估价对象房地状况!G22</f>
        <v>0</v>
      </c>
      <c r="C86" s="2040"/>
      <c r="D86" s="1062">
        <f t="shared" si="23"/>
        <v>0</v>
      </c>
      <c r="E86" s="744"/>
      <c r="F86" s="1810"/>
      <c r="G86" s="1060"/>
      <c r="H86" s="1063" t="str">
        <f t="shared" si="24"/>
        <v>——</v>
      </c>
      <c r="I86" s="3361">
        <v>0.05</v>
      </c>
      <c r="J86" s="1061">
        <f t="shared" si="25"/>
        <v>0</v>
      </c>
      <c r="K86" s="1061">
        <f t="shared" si="26"/>
        <v>0</v>
      </c>
      <c r="L86" s="1061">
        <v>0</v>
      </c>
      <c r="M86" s="1061">
        <f t="shared" si="27"/>
        <v>0</v>
      </c>
      <c r="N86" s="1061">
        <f t="shared" si="27"/>
        <v>0</v>
      </c>
      <c r="Z86" s="1994"/>
      <c r="AA86" s="2049"/>
      <c r="AG86" s="1118"/>
      <c r="AK86" s="2049"/>
    </row>
    <row r="87" spans="1:37" ht="24">
      <c r="A87" s="2126" t="s">
        <v>2059</v>
      </c>
      <c r="B87" s="1322">
        <f>估价对象房地状况!G19</f>
        <v>0</v>
      </c>
      <c r="C87" s="2040"/>
      <c r="D87" s="1062">
        <f t="shared" si="23"/>
        <v>0</v>
      </c>
      <c r="E87" s="744"/>
      <c r="F87" s="1810"/>
      <c r="G87" s="1060"/>
      <c r="H87" s="1063" t="str">
        <f t="shared" si="24"/>
        <v>——</v>
      </c>
      <c r="I87" s="3361">
        <v>0.06</v>
      </c>
      <c r="J87" s="1061">
        <f t="shared" si="25"/>
        <v>0</v>
      </c>
      <c r="K87" s="1061">
        <f t="shared" si="26"/>
        <v>0</v>
      </c>
      <c r="L87" s="1061">
        <v>0</v>
      </c>
      <c r="M87" s="1061">
        <f t="shared" si="27"/>
        <v>0</v>
      </c>
      <c r="N87" s="1061">
        <f t="shared" si="27"/>
        <v>0</v>
      </c>
    </row>
    <row r="88" spans="1:37" ht="24">
      <c r="A88" s="2126" t="s">
        <v>2060</v>
      </c>
      <c r="B88" s="1322">
        <f>估价对象房地状况!G20</f>
        <v>0</v>
      </c>
      <c r="C88" s="2040"/>
      <c r="D88" s="1062">
        <f t="shared" si="23"/>
        <v>0</v>
      </c>
      <c r="E88" s="744"/>
      <c r="F88" s="1810"/>
      <c r="G88" s="1060"/>
      <c r="H88" s="1063" t="str">
        <f t="shared" si="24"/>
        <v>——</v>
      </c>
      <c r="I88" s="3361">
        <v>0.12</v>
      </c>
      <c r="J88" s="1061">
        <f t="shared" si="25"/>
        <v>0</v>
      </c>
      <c r="K88" s="1061">
        <f t="shared" si="26"/>
        <v>0</v>
      </c>
      <c r="L88" s="1061">
        <v>0</v>
      </c>
      <c r="M88" s="1061">
        <f t="shared" si="27"/>
        <v>0</v>
      </c>
      <c r="N88" s="1061">
        <f t="shared" si="27"/>
        <v>0</v>
      </c>
    </row>
    <row r="89" spans="1:37" ht="24">
      <c r="A89" s="2126" t="s">
        <v>2057</v>
      </c>
      <c r="B89" s="2132" t="s">
        <v>2071</v>
      </c>
      <c r="C89" s="2040"/>
      <c r="D89" s="1062">
        <f t="shared" si="23"/>
        <v>0</v>
      </c>
      <c r="E89" s="744"/>
      <c r="F89" s="1810"/>
      <c r="G89" s="1060"/>
      <c r="H89" s="1063" t="str">
        <f t="shared" si="24"/>
        <v>——</v>
      </c>
      <c r="I89" s="3361">
        <v>0.06</v>
      </c>
      <c r="J89" s="1061">
        <f t="shared" si="25"/>
        <v>0</v>
      </c>
      <c r="K89" s="1061">
        <f t="shared" si="26"/>
        <v>0</v>
      </c>
      <c r="L89" s="1061">
        <v>0</v>
      </c>
      <c r="M89" s="1061">
        <f t="shared" si="27"/>
        <v>0</v>
      </c>
      <c r="N89" s="1061">
        <f t="shared" si="27"/>
        <v>0</v>
      </c>
    </row>
    <row r="90" spans="1:37" ht="15" thickBot="1">
      <c r="A90" s="2134" t="s">
        <v>2072</v>
      </c>
      <c r="B90" s="2139">
        <f>估价对象房地状况!G18</f>
        <v>0</v>
      </c>
      <c r="C90" s="2040"/>
      <c r="D90" s="1062">
        <f t="shared" si="23"/>
        <v>0</v>
      </c>
      <c r="E90" s="745"/>
      <c r="F90" s="1810"/>
      <c r="G90" s="1060"/>
      <c r="H90" s="1063" t="str">
        <f t="shared" si="24"/>
        <v>——</v>
      </c>
      <c r="I90" s="3362">
        <v>0.05</v>
      </c>
      <c r="J90" s="1061">
        <f t="shared" si="25"/>
        <v>0</v>
      </c>
      <c r="K90" s="1061">
        <f t="shared" si="26"/>
        <v>0</v>
      </c>
      <c r="L90" s="1061">
        <v>0</v>
      </c>
      <c r="M90" s="1061">
        <f t="shared" si="27"/>
        <v>0</v>
      </c>
      <c r="N90" s="1061">
        <f t="shared" si="27"/>
        <v>0</v>
      </c>
    </row>
    <row r="91" spans="1:37" ht="15">
      <c r="A91" s="3371" t="s">
        <v>2607</v>
      </c>
      <c r="B91" s="3372">
        <f>1+E93</f>
        <v>1</v>
      </c>
      <c r="C91" s="3365"/>
      <c r="D91" s="3366"/>
      <c r="E91" s="1810"/>
      <c r="F91" s="1810"/>
      <c r="G91" s="3367"/>
      <c r="H91" s="3368"/>
      <c r="I91" s="3369"/>
      <c r="J91" s="3370"/>
      <c r="K91" s="3370"/>
      <c r="L91" s="3370"/>
      <c r="M91" s="3370"/>
      <c r="N91" s="3370"/>
    </row>
    <row r="92" spans="1:37" ht="24.75">
      <c r="A92" s="3373" t="s">
        <v>3266</v>
      </c>
      <c r="B92" s="3360"/>
      <c r="C92" s="3360" t="s">
        <v>3275</v>
      </c>
      <c r="D92" s="3360" t="s">
        <v>3276</v>
      </c>
      <c r="E92" s="3342" t="s">
        <v>3277</v>
      </c>
      <c r="F92" s="3375" t="s">
        <v>3278</v>
      </c>
      <c r="G92" s="3360" t="s">
        <v>3279</v>
      </c>
      <c r="H92" s="3382" t="s">
        <v>3282</v>
      </c>
      <c r="I92" s="3360" t="s">
        <v>3283</v>
      </c>
      <c r="J92" s="3383" t="s">
        <v>3284</v>
      </c>
      <c r="K92" s="3383" t="s">
        <v>3285</v>
      </c>
      <c r="L92" s="3383" t="s">
        <v>3286</v>
      </c>
      <c r="M92" s="3383" t="s">
        <v>3287</v>
      </c>
      <c r="N92" s="3383" t="s">
        <v>3288</v>
      </c>
    </row>
    <row r="93" spans="1:37" ht="24">
      <c r="A93" s="3363" t="s">
        <v>3267</v>
      </c>
      <c r="B93" s="1302"/>
      <c r="C93" s="2040"/>
      <c r="D93" s="3360">
        <f>SUMIF($J$92:$N$92,C93,J93:N93)</f>
        <v>0</v>
      </c>
      <c r="E93" s="3376">
        <f>ROUND(SUM(D93:D101),4)</f>
        <v>0</v>
      </c>
      <c r="F93" s="1810"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14.25">
      <c r="A94" s="3373" t="s">
        <v>3268</v>
      </c>
      <c r="B94" s="3364">
        <f>估价对象房地状况!C18</f>
        <v>0</v>
      </c>
      <c r="C94" s="2040"/>
      <c r="D94" s="3360">
        <f t="shared" ref="D94:D101" si="31">SUMIF($J$60:$N$60,C94,J94:N94)</f>
        <v>0</v>
      </c>
      <c r="E94" s="3377"/>
      <c r="F94" s="1810"/>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3264</v>
      </c>
      <c r="B95" s="3364">
        <f>估价对象房地状况!C19</f>
        <v>0</v>
      </c>
      <c r="C95" s="2040"/>
      <c r="D95" s="3360">
        <f t="shared" si="31"/>
        <v>0</v>
      </c>
      <c r="E95" s="3377"/>
      <c r="F95" s="1810"/>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3269</v>
      </c>
      <c r="B96" s="3379" t="s">
        <v>3280</v>
      </c>
      <c r="C96" s="2040"/>
      <c r="D96" s="3360">
        <f t="shared" si="31"/>
        <v>0</v>
      </c>
      <c r="E96" s="3377"/>
      <c r="F96" s="1810"/>
      <c r="G96" s="3367"/>
      <c r="H96" s="3415" t="str">
        <f t="shared" si="32"/>
        <v>——</v>
      </c>
      <c r="I96" s="3361">
        <v>0.05</v>
      </c>
      <c r="J96" s="3339">
        <f t="shared" si="28"/>
        <v>0</v>
      </c>
      <c r="K96" s="3339">
        <f t="shared" si="29"/>
        <v>0</v>
      </c>
      <c r="L96" s="3339">
        <v>0</v>
      </c>
      <c r="M96" s="3339">
        <f t="shared" si="30"/>
        <v>0</v>
      </c>
      <c r="N96" s="3339">
        <f t="shared" si="30"/>
        <v>0</v>
      </c>
    </row>
    <row r="97" spans="1:14" ht="24">
      <c r="A97" s="3373" t="s">
        <v>3270</v>
      </c>
      <c r="B97" s="3364">
        <f>估价对象房地状况!C24</f>
        <v>0</v>
      </c>
      <c r="C97" s="2040"/>
      <c r="D97" s="3360">
        <f t="shared" si="31"/>
        <v>0</v>
      </c>
      <c r="E97" s="3377"/>
      <c r="F97" s="1810"/>
      <c r="G97" s="3367"/>
      <c r="H97" s="3415" t="str">
        <f t="shared" si="32"/>
        <v>——</v>
      </c>
      <c r="I97" s="3361">
        <v>0.05</v>
      </c>
      <c r="J97" s="3339">
        <f t="shared" si="28"/>
        <v>0</v>
      </c>
      <c r="K97" s="3339">
        <f t="shared" si="29"/>
        <v>0</v>
      </c>
      <c r="L97" s="3339">
        <v>0</v>
      </c>
      <c r="M97" s="3339">
        <f t="shared" si="30"/>
        <v>0</v>
      </c>
      <c r="N97" s="3339">
        <f t="shared" si="30"/>
        <v>0</v>
      </c>
    </row>
    <row r="98" spans="1:14" ht="24">
      <c r="A98" s="3373" t="s">
        <v>3271</v>
      </c>
      <c r="B98" s="3380" t="s">
        <v>3281</v>
      </c>
      <c r="C98" s="2040"/>
      <c r="D98" s="3360">
        <f t="shared" si="31"/>
        <v>0</v>
      </c>
      <c r="E98" s="3377"/>
      <c r="F98" s="1810"/>
      <c r="G98" s="3367"/>
      <c r="H98" s="3415" t="str">
        <f t="shared" si="32"/>
        <v>——</v>
      </c>
      <c r="I98" s="3361">
        <v>0.06</v>
      </c>
      <c r="J98" s="3339">
        <f t="shared" si="28"/>
        <v>0</v>
      </c>
      <c r="K98" s="3339">
        <f t="shared" si="29"/>
        <v>0</v>
      </c>
      <c r="L98" s="3339">
        <v>0</v>
      </c>
      <c r="M98" s="3339">
        <f t="shared" si="30"/>
        <v>0</v>
      </c>
      <c r="N98" s="3339">
        <f t="shared" si="30"/>
        <v>0</v>
      </c>
    </row>
    <row r="99" spans="1:14" ht="24">
      <c r="A99" s="3373" t="s">
        <v>3272</v>
      </c>
      <c r="B99" s="3364">
        <f>估价对象房地状况!C21</f>
        <v>0</v>
      </c>
      <c r="C99" s="2040"/>
      <c r="D99" s="3360">
        <f t="shared" si="31"/>
        <v>0</v>
      </c>
      <c r="E99" s="3377"/>
      <c r="F99" s="1810"/>
      <c r="G99" s="3367"/>
      <c r="H99" s="3415" t="str">
        <f t="shared" si="32"/>
        <v>——</v>
      </c>
      <c r="I99" s="3361">
        <v>0.06</v>
      </c>
      <c r="J99" s="3339">
        <f t="shared" si="28"/>
        <v>0</v>
      </c>
      <c r="K99" s="3339">
        <f t="shared" si="29"/>
        <v>0</v>
      </c>
      <c r="L99" s="3339">
        <v>0</v>
      </c>
      <c r="M99" s="3339">
        <f t="shared" si="30"/>
        <v>0</v>
      </c>
      <c r="N99" s="3339">
        <f t="shared" si="30"/>
        <v>0</v>
      </c>
    </row>
    <row r="100" spans="1:14" ht="24">
      <c r="A100" s="3373" t="s">
        <v>3273</v>
      </c>
      <c r="B100" s="3364">
        <f>估价对象房地状况!C22</f>
        <v>0</v>
      </c>
      <c r="C100" s="2040"/>
      <c r="D100" s="3360">
        <f t="shared" si="31"/>
        <v>0</v>
      </c>
      <c r="E100" s="3377"/>
      <c r="F100" s="1810"/>
      <c r="G100" s="3367"/>
      <c r="H100" s="3415" t="str">
        <f t="shared" si="32"/>
        <v>——</v>
      </c>
      <c r="I100" s="3361">
        <v>0.09</v>
      </c>
      <c r="J100" s="3339">
        <f t="shared" si="28"/>
        <v>0</v>
      </c>
      <c r="K100" s="3339">
        <f t="shared" si="29"/>
        <v>0</v>
      </c>
      <c r="L100" s="3339">
        <v>0</v>
      </c>
      <c r="M100" s="3339">
        <f t="shared" si="30"/>
        <v>0</v>
      </c>
      <c r="N100" s="3339">
        <f t="shared" si="30"/>
        <v>0</v>
      </c>
    </row>
    <row r="101" spans="1:14" ht="24.75" thickBot="1">
      <c r="A101" s="3374" t="s">
        <v>3274</v>
      </c>
      <c r="B101" s="3381">
        <f>估价对象房地状况!C20</f>
        <v>0</v>
      </c>
      <c r="C101" s="2040"/>
      <c r="D101" s="3360">
        <f t="shared" si="31"/>
        <v>0</v>
      </c>
      <c r="E101" s="3378"/>
      <c r="F101" s="1810"/>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771" t="s">
        <v>3289</v>
      </c>
      <c r="B103" s="3771"/>
      <c r="C103" s="3771"/>
      <c r="D103" s="3771"/>
      <c r="E103" s="3771"/>
      <c r="F103" s="3771"/>
      <c r="G103" s="3771"/>
      <c r="H103" s="3771"/>
      <c r="I103" s="3771"/>
      <c r="J103" s="3771"/>
      <c r="K103" s="3384"/>
      <c r="L103" s="3384"/>
      <c r="M103" s="3384"/>
      <c r="N103" s="3384"/>
    </row>
    <row r="104" spans="1:14">
      <c r="A104" s="3772" t="s">
        <v>3290</v>
      </c>
      <c r="B104" s="3772" t="s">
        <v>3291</v>
      </c>
      <c r="C104" s="3385" t="s">
        <v>3292</v>
      </c>
      <c r="D104" s="3386"/>
      <c r="E104" s="3386"/>
      <c r="F104" s="3386"/>
      <c r="G104" s="3386"/>
      <c r="H104" s="3386"/>
      <c r="I104" s="3386"/>
      <c r="J104" s="3387"/>
      <c r="K104" s="3388"/>
      <c r="L104" s="3388"/>
      <c r="M104" s="3388"/>
      <c r="N104" s="3388"/>
    </row>
    <row r="105" spans="1:14">
      <c r="A105" s="3772"/>
      <c r="B105" s="3772"/>
      <c r="C105" s="3389" t="s">
        <v>3293</v>
      </c>
      <c r="D105" s="3389" t="s">
        <v>3294</v>
      </c>
      <c r="E105" s="3389" t="s">
        <v>3295</v>
      </c>
      <c r="F105" s="3389" t="s">
        <v>3296</v>
      </c>
      <c r="G105" s="3389" t="s">
        <v>3297</v>
      </c>
      <c r="H105" s="3389" t="s">
        <v>3298</v>
      </c>
      <c r="I105" s="3389" t="s">
        <v>3299</v>
      </c>
      <c r="J105" s="3389" t="s">
        <v>3300</v>
      </c>
      <c r="K105" s="3389" t="s">
        <v>3301</v>
      </c>
      <c r="L105" s="3389" t="s">
        <v>3302</v>
      </c>
      <c r="M105" s="3389" t="s">
        <v>3303</v>
      </c>
      <c r="N105" s="3389" t="s">
        <v>3304</v>
      </c>
    </row>
    <row r="106" spans="1:14">
      <c r="A106" s="3758" t="s">
        <v>3305</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59"/>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59"/>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59"/>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59"/>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59"/>
      <c r="B111" s="3389" t="s">
        <v>3263</v>
      </c>
      <c r="C111" s="3390">
        <f>$I$3</f>
        <v>0</v>
      </c>
      <c r="D111" s="3390">
        <f t="shared" ref="D111:M111" si="33">$I$3</f>
        <v>0</v>
      </c>
      <c r="E111" s="3390">
        <f t="shared" si="33"/>
        <v>0</v>
      </c>
      <c r="F111" s="3390">
        <f t="shared" si="33"/>
        <v>0</v>
      </c>
      <c r="G111" s="3390">
        <f t="shared" si="33"/>
        <v>0</v>
      </c>
      <c r="H111" s="3390">
        <f t="shared" si="33"/>
        <v>0</v>
      </c>
      <c r="I111" s="3390">
        <f t="shared" si="33"/>
        <v>0</v>
      </c>
      <c r="J111" s="3390">
        <f t="shared" si="33"/>
        <v>0</v>
      </c>
      <c r="K111" s="3390">
        <f t="shared" si="33"/>
        <v>0</v>
      </c>
      <c r="L111" s="3390">
        <f t="shared" si="33"/>
        <v>0</v>
      </c>
      <c r="M111" s="3390">
        <f t="shared" si="33"/>
        <v>0</v>
      </c>
      <c r="N111" s="3390">
        <f>$I$3</f>
        <v>0</v>
      </c>
    </row>
    <row r="112" spans="1:14">
      <c r="A112" s="3760"/>
      <c r="B112" s="3389">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761" t="s">
        <v>3306</v>
      </c>
      <c r="B113" s="3761"/>
      <c r="C113" s="3761"/>
      <c r="D113" s="3761"/>
      <c r="E113" s="3761"/>
      <c r="F113" s="3761"/>
      <c r="G113" s="3761"/>
      <c r="H113" s="3761"/>
      <c r="I113" s="3761"/>
      <c r="J113" s="3761"/>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3307</v>
      </c>
      <c r="B116" s="3410">
        <f>G3</f>
        <v>1.35</v>
      </c>
      <c r="C116" s="3394" t="s">
        <v>3308</v>
      </c>
      <c r="D116" s="3395">
        <f>SUMPRODUCT((A118:A122=F116)*(B117:M117=H116)*B118:M122)</f>
        <v>0.93010000000000004</v>
      </c>
      <c r="E116" s="1996" t="s">
        <v>3309</v>
      </c>
      <c r="F116" s="3396" t="str">
        <f>E2</f>
        <v>商业</v>
      </c>
      <c r="G116" s="1996" t="s">
        <v>3310</v>
      </c>
      <c r="H116" s="3396" t="str">
        <f>G2</f>
        <v>五级</v>
      </c>
      <c r="I116" s="1996"/>
      <c r="J116" s="3397"/>
      <c r="K116" s="3397"/>
      <c r="L116" s="3397"/>
      <c r="M116" s="3397"/>
      <c r="N116" s="3392"/>
    </row>
    <row r="117" spans="1:14">
      <c r="A117" s="3398"/>
      <c r="B117" s="3399" t="s">
        <v>3311</v>
      </c>
      <c r="C117" s="3399" t="s">
        <v>3312</v>
      </c>
      <c r="D117" s="3399" t="s">
        <v>3313</v>
      </c>
      <c r="E117" s="3400" t="s">
        <v>3314</v>
      </c>
      <c r="F117" s="3400" t="s">
        <v>3315</v>
      </c>
      <c r="G117" s="3400" t="s">
        <v>3316</v>
      </c>
      <c r="H117" s="3401" t="s">
        <v>3317</v>
      </c>
      <c r="I117" s="3401" t="s">
        <v>3318</v>
      </c>
      <c r="J117" s="3402" t="s">
        <v>3319</v>
      </c>
      <c r="K117" s="3402" t="s">
        <v>3320</v>
      </c>
      <c r="L117" s="3402" t="s">
        <v>3321</v>
      </c>
      <c r="M117" s="3403" t="s">
        <v>3322</v>
      </c>
      <c r="N117" s="3392"/>
    </row>
    <row r="118" spans="1:14">
      <c r="A118" s="3404" t="s">
        <v>3323</v>
      </c>
      <c r="B118" s="3382">
        <f>ROUND(0.9968-0.011*B116,4)</f>
        <v>0.98199999999999998</v>
      </c>
      <c r="C118" s="3382">
        <f>B118</f>
        <v>0.98199999999999998</v>
      </c>
      <c r="D118" s="3382">
        <f>ROUND(0.949-0.014*B116,4)</f>
        <v>0.93010000000000004</v>
      </c>
      <c r="E118" s="3382">
        <f>D118</f>
        <v>0.93010000000000004</v>
      </c>
      <c r="F118" s="3382">
        <f>E118</f>
        <v>0.93010000000000004</v>
      </c>
      <c r="G118" s="3382">
        <f>F118</f>
        <v>0.93010000000000004</v>
      </c>
      <c r="H118" s="3382">
        <f>G118</f>
        <v>0.93010000000000004</v>
      </c>
      <c r="I118" s="3382">
        <f>ROUND(0.8486-0.018*B116,4)</f>
        <v>0.82430000000000003</v>
      </c>
      <c r="J118" s="3382">
        <f t="shared" ref="J118:M122" si="36">I118</f>
        <v>0.82430000000000003</v>
      </c>
      <c r="K118" s="3382">
        <f t="shared" si="36"/>
        <v>0.82430000000000003</v>
      </c>
      <c r="L118" s="3382">
        <f t="shared" si="36"/>
        <v>0.82430000000000003</v>
      </c>
      <c r="M118" s="3405">
        <f t="shared" si="36"/>
        <v>0.82430000000000003</v>
      </c>
      <c r="N118" s="3392"/>
    </row>
    <row r="119" spans="1:14">
      <c r="A119" s="3404" t="s">
        <v>3324</v>
      </c>
      <c r="B119" s="3382">
        <f>ROUND(0.993-0.0112*B116,4)</f>
        <v>0.97789999999999999</v>
      </c>
      <c r="C119" s="3382">
        <f>B119</f>
        <v>0.97789999999999999</v>
      </c>
      <c r="D119" s="3382">
        <f>ROUND(0.9415-0.0142*B116,4)</f>
        <v>0.92230000000000001</v>
      </c>
      <c r="E119" s="3382">
        <f t="shared" ref="E119:H120" si="37">D119</f>
        <v>0.92230000000000001</v>
      </c>
      <c r="F119" s="3382">
        <f t="shared" si="37"/>
        <v>0.92230000000000001</v>
      </c>
      <c r="G119" s="3382">
        <f t="shared" si="37"/>
        <v>0.92230000000000001</v>
      </c>
      <c r="H119" s="3382">
        <f t="shared" si="37"/>
        <v>0.92230000000000001</v>
      </c>
      <c r="I119" s="3382">
        <f>ROUND(0.838-0.0182*B116,4)</f>
        <v>0.81340000000000001</v>
      </c>
      <c r="J119" s="3382">
        <f t="shared" si="36"/>
        <v>0.81340000000000001</v>
      </c>
      <c r="K119" s="3382">
        <f t="shared" si="36"/>
        <v>0.81340000000000001</v>
      </c>
      <c r="L119" s="3382">
        <f t="shared" si="36"/>
        <v>0.81340000000000001</v>
      </c>
      <c r="M119" s="3405">
        <f t="shared" si="36"/>
        <v>0.81340000000000001</v>
      </c>
      <c r="N119" s="3392"/>
    </row>
    <row r="120" spans="1:14">
      <c r="A120" s="3404" t="s">
        <v>3325</v>
      </c>
      <c r="B120" s="3382">
        <f>ROUND(0.9448-0.0115*B116,4)</f>
        <v>0.92930000000000001</v>
      </c>
      <c r="C120" s="3382">
        <f>B120</f>
        <v>0.92930000000000001</v>
      </c>
      <c r="D120" s="3382">
        <f>ROUND(0.937-0.0145*B116,4)</f>
        <v>0.91739999999999999</v>
      </c>
      <c r="E120" s="3382">
        <f t="shared" si="37"/>
        <v>0.91739999999999999</v>
      </c>
      <c r="F120" s="3382">
        <f t="shared" si="37"/>
        <v>0.91739999999999999</v>
      </c>
      <c r="G120" s="3382">
        <f t="shared" si="37"/>
        <v>0.91739999999999999</v>
      </c>
      <c r="H120" s="3382">
        <f t="shared" si="37"/>
        <v>0.91739999999999999</v>
      </c>
      <c r="I120" s="3382">
        <f>ROUND(0.7965-0.0185*B116,4)</f>
        <v>0.77149999999999996</v>
      </c>
      <c r="J120" s="3382">
        <f t="shared" si="36"/>
        <v>0.77149999999999996</v>
      </c>
      <c r="K120" s="3382">
        <f t="shared" si="36"/>
        <v>0.77149999999999996</v>
      </c>
      <c r="L120" s="3382">
        <f t="shared" si="36"/>
        <v>0.77149999999999996</v>
      </c>
      <c r="M120" s="3405">
        <f t="shared" si="36"/>
        <v>0.77149999999999996</v>
      </c>
      <c r="N120" s="3392"/>
    </row>
    <row r="121" spans="1:14" ht="13.5" thickBot="1">
      <c r="A121" s="3406" t="s">
        <v>3326</v>
      </c>
      <c r="B121" s="3407">
        <f>ROUND(0.7836-0.012*B116,4)</f>
        <v>0.76739999999999997</v>
      </c>
      <c r="C121" s="3407">
        <f>B121</f>
        <v>0.76739999999999997</v>
      </c>
      <c r="D121" s="3407">
        <f>ROUND(0.753-0.015*B116,4)</f>
        <v>0.73280000000000001</v>
      </c>
      <c r="E121" s="3407">
        <f>D121</f>
        <v>0.73280000000000001</v>
      </c>
      <c r="F121" s="3407">
        <f>E121</f>
        <v>0.73280000000000001</v>
      </c>
      <c r="G121" s="3407">
        <f>ROUND(0.6612-0.018*B116,4)</f>
        <v>0.63690000000000002</v>
      </c>
      <c r="H121" s="3407">
        <f>G121</f>
        <v>0.63690000000000002</v>
      </c>
      <c r="I121" s="3407">
        <f>ROUND(0.5905-0.019*B116,4)</f>
        <v>0.56489999999999996</v>
      </c>
      <c r="J121" s="3407">
        <f t="shared" si="36"/>
        <v>0.56489999999999996</v>
      </c>
      <c r="K121" s="3407">
        <f t="shared" si="36"/>
        <v>0.56489999999999996</v>
      </c>
      <c r="L121" s="3407">
        <f t="shared" si="36"/>
        <v>0.56489999999999996</v>
      </c>
      <c r="M121" s="3408">
        <f t="shared" si="36"/>
        <v>0.56489999999999996</v>
      </c>
      <c r="N121" s="3392"/>
    </row>
    <row r="122" spans="1:14">
      <c r="A122" s="3409" t="s">
        <v>2607</v>
      </c>
      <c r="B122" s="3382">
        <f>ROUND(0.9404-0.0106*B116,4)</f>
        <v>0.92610000000000003</v>
      </c>
      <c r="C122" s="3382">
        <f>B122</f>
        <v>0.92610000000000003</v>
      </c>
      <c r="D122" s="3382">
        <f>ROUND(0.8955-0.0135*B116,4)</f>
        <v>0.87729999999999997</v>
      </c>
      <c r="E122" s="3382">
        <f t="shared" ref="E122:H122" si="38">D122</f>
        <v>0.87729999999999997</v>
      </c>
      <c r="F122" s="3382">
        <f t="shared" si="38"/>
        <v>0.87729999999999997</v>
      </c>
      <c r="G122" s="3382">
        <f t="shared" si="38"/>
        <v>0.87729999999999997</v>
      </c>
      <c r="H122" s="3382">
        <f t="shared" si="38"/>
        <v>0.87729999999999997</v>
      </c>
      <c r="I122" s="3382">
        <f>ROUND(0.7632-0.0166*B116,4)</f>
        <v>0.74080000000000001</v>
      </c>
      <c r="J122" s="3382">
        <f t="shared" si="36"/>
        <v>0.74080000000000001</v>
      </c>
      <c r="K122" s="3382">
        <f t="shared" si="36"/>
        <v>0.74080000000000001</v>
      </c>
      <c r="L122" s="3382">
        <f t="shared" si="36"/>
        <v>0.74080000000000001</v>
      </c>
      <c r="M122" s="3405">
        <f t="shared" si="36"/>
        <v>0.74080000000000001</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2589</v>
      </c>
      <c r="B1" s="3066" t="s">
        <v>2590</v>
      </c>
      <c r="C1" s="3066" t="s">
        <v>2591</v>
      </c>
      <c r="D1" s="3066" t="s">
        <v>2592</v>
      </c>
      <c r="E1" s="3066" t="s">
        <v>2593</v>
      </c>
      <c r="F1" s="3066" t="s">
        <v>2594</v>
      </c>
      <c r="G1" s="3066" t="s">
        <v>2595</v>
      </c>
      <c r="H1" s="3066" t="s">
        <v>2596</v>
      </c>
      <c r="I1" s="3066" t="s">
        <v>2597</v>
      </c>
      <c r="J1" s="3066" t="s">
        <v>2598</v>
      </c>
      <c r="K1" s="3066" t="s">
        <v>2599</v>
      </c>
      <c r="L1" s="3066" t="s">
        <v>2600</v>
      </c>
      <c r="M1" s="3067" t="s">
        <v>2601</v>
      </c>
    </row>
    <row r="2" spans="1:13" ht="19.5" customHeight="1">
      <c r="A2" s="3069" t="s">
        <v>2602</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2603</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2604</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2605</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2606</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2607</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2608</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2609</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2610</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2611</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2612</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2613</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2614</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2615</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2616</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2617</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2618</v>
      </c>
      <c r="B18" s="3091"/>
      <c r="C18" s="3092"/>
      <c r="D18" s="3092"/>
      <c r="E18" s="3091"/>
      <c r="F18" s="3092"/>
      <c r="G18" s="3092"/>
    </row>
    <row r="19" spans="1:13" ht="19.5" customHeight="1" thickBot="1">
      <c r="A19" s="3089" t="s">
        <v>2619</v>
      </c>
      <c r="B19" s="3094" t="s">
        <v>2620</v>
      </c>
      <c r="C19" s="3094" t="s">
        <v>2621</v>
      </c>
      <c r="D19" s="3095"/>
      <c r="E19" s="3089" t="s">
        <v>2622</v>
      </c>
      <c r="F19" s="3096"/>
      <c r="G19" s="3096"/>
    </row>
    <row r="20" spans="1:13" ht="19.5" customHeight="1">
      <c r="A20" s="3784" t="s">
        <v>2602</v>
      </c>
      <c r="B20" s="3777" t="s">
        <v>2623</v>
      </c>
      <c r="C20" s="3097" t="s">
        <v>2434</v>
      </c>
      <c r="D20" s="3098"/>
      <c r="E20" s="3099">
        <v>1</v>
      </c>
      <c r="F20" s="3100" t="s">
        <v>2435</v>
      </c>
      <c r="G20" s="3100"/>
    </row>
    <row r="21" spans="1:13" ht="19.5" customHeight="1">
      <c r="A21" s="3785"/>
      <c r="B21" s="3778"/>
      <c r="C21" s="3101" t="s">
        <v>2436</v>
      </c>
      <c r="D21" s="3102"/>
      <c r="E21" s="3103">
        <v>1</v>
      </c>
      <c r="F21" s="3100" t="s">
        <v>2437</v>
      </c>
      <c r="G21" s="3100"/>
    </row>
    <row r="22" spans="1:13" ht="19.5" customHeight="1">
      <c r="A22" s="3785"/>
      <c r="B22" s="3778"/>
      <c r="C22" s="3101" t="s">
        <v>2438</v>
      </c>
      <c r="D22" s="3102"/>
      <c r="E22" s="3103">
        <v>0.9</v>
      </c>
      <c r="F22" s="3100" t="s">
        <v>2439</v>
      </c>
      <c r="G22" s="3100"/>
    </row>
    <row r="23" spans="1:13" ht="19.5" customHeight="1">
      <c r="A23" s="3785"/>
      <c r="B23" s="3778"/>
      <c r="C23" s="3101" t="s">
        <v>2440</v>
      </c>
      <c r="D23" s="3102"/>
      <c r="E23" s="3103">
        <v>0.9</v>
      </c>
      <c r="F23" s="3100" t="s">
        <v>2441</v>
      </c>
      <c r="G23" s="3100"/>
    </row>
    <row r="24" spans="1:13" ht="19.5" customHeight="1">
      <c r="A24" s="3785"/>
      <c r="B24" s="3778"/>
      <c r="C24" s="3101" t="s">
        <v>2442</v>
      </c>
      <c r="D24" s="3102"/>
      <c r="E24" s="3103">
        <v>0.8</v>
      </c>
      <c r="F24" s="3100" t="s">
        <v>2443</v>
      </c>
      <c r="G24" s="3100"/>
    </row>
    <row r="25" spans="1:13" ht="19.5" customHeight="1" thickBot="1">
      <c r="A25" s="3786"/>
      <c r="B25" s="3779"/>
      <c r="C25" s="3104" t="s">
        <v>2444</v>
      </c>
      <c r="D25" s="3105"/>
      <c r="E25" s="3106">
        <v>0.8</v>
      </c>
      <c r="F25" s="3100" t="s">
        <v>2445</v>
      </c>
      <c r="G25" s="3100"/>
    </row>
    <row r="26" spans="1:13" ht="19.5" customHeight="1" thickBot="1">
      <c r="A26" s="3107" t="s">
        <v>2624</v>
      </c>
      <c r="B26" s="3108" t="s">
        <v>2623</v>
      </c>
      <c r="C26" s="3109" t="s">
        <v>2625</v>
      </c>
      <c r="D26" s="3110"/>
      <c r="E26" s="3111">
        <v>1</v>
      </c>
      <c r="F26" s="3100" t="s">
        <v>2446</v>
      </c>
      <c r="G26" s="3100"/>
    </row>
    <row r="27" spans="1:13" ht="19.5" customHeight="1">
      <c r="A27" s="3780" t="s">
        <v>2626</v>
      </c>
      <c r="B27" s="3777" t="s">
        <v>2607</v>
      </c>
      <c r="C27" s="3097" t="s">
        <v>2447</v>
      </c>
      <c r="D27" s="3098"/>
      <c r="E27" s="3099">
        <v>1</v>
      </c>
      <c r="F27" s="3100" t="s">
        <v>2448</v>
      </c>
      <c r="G27" s="3100"/>
    </row>
    <row r="28" spans="1:13" ht="19.5" customHeight="1">
      <c r="A28" s="3781"/>
      <c r="B28" s="3778"/>
      <c r="C28" s="3101" t="s">
        <v>2449</v>
      </c>
      <c r="D28" s="3102"/>
      <c r="E28" s="3103">
        <v>1</v>
      </c>
      <c r="F28" s="3100" t="s">
        <v>2450</v>
      </c>
      <c r="G28" s="3100"/>
    </row>
    <row r="29" spans="1:13" ht="19.5" customHeight="1">
      <c r="A29" s="3781"/>
      <c r="B29" s="3778"/>
      <c r="C29" s="3101" t="s">
        <v>2451</v>
      </c>
      <c r="D29" s="3102"/>
      <c r="E29" s="3103">
        <v>0.8</v>
      </c>
      <c r="F29" s="3100" t="s">
        <v>2452</v>
      </c>
      <c r="G29" s="3100"/>
    </row>
    <row r="30" spans="1:13" ht="19.5" customHeight="1">
      <c r="A30" s="3781"/>
      <c r="B30" s="3778"/>
      <c r="C30" s="3101" t="s">
        <v>2453</v>
      </c>
      <c r="D30" s="3102"/>
      <c r="E30" s="3103">
        <v>0.8</v>
      </c>
      <c r="F30" s="3100" t="s">
        <v>2454</v>
      </c>
      <c r="G30" s="3100"/>
    </row>
    <row r="31" spans="1:13" ht="19.5" customHeight="1">
      <c r="A31" s="3781"/>
      <c r="B31" s="3778"/>
      <c r="C31" s="3101" t="s">
        <v>2455</v>
      </c>
      <c r="D31" s="3102"/>
      <c r="E31" s="3103">
        <v>0.8</v>
      </c>
      <c r="F31" s="3100" t="s">
        <v>2456</v>
      </c>
      <c r="G31" s="3100"/>
    </row>
    <row r="32" spans="1:13" ht="19.5" customHeight="1">
      <c r="A32" s="3781"/>
      <c r="B32" s="3778"/>
      <c r="C32" s="3101" t="s">
        <v>2457</v>
      </c>
      <c r="D32" s="3102"/>
      <c r="E32" s="3103">
        <v>0.7</v>
      </c>
      <c r="F32" s="3100" t="s">
        <v>2458</v>
      </c>
      <c r="G32" s="3100"/>
    </row>
    <row r="33" spans="1:7" ht="19.5" customHeight="1">
      <c r="A33" s="3781"/>
      <c r="B33" s="3778"/>
      <c r="C33" s="3101" t="s">
        <v>2459</v>
      </c>
      <c r="D33" s="3102"/>
      <c r="E33" s="3103">
        <v>0.8</v>
      </c>
      <c r="F33" s="3100" t="s">
        <v>2460</v>
      </c>
      <c r="G33" s="3100"/>
    </row>
    <row r="34" spans="1:7" ht="19.5" customHeight="1">
      <c r="A34" s="3781"/>
      <c r="B34" s="3778"/>
      <c r="C34" s="3101" t="s">
        <v>2461</v>
      </c>
      <c r="D34" s="3102"/>
      <c r="E34" s="3103">
        <v>0.6</v>
      </c>
      <c r="F34" s="3100" t="s">
        <v>2462</v>
      </c>
      <c r="G34" s="3100"/>
    </row>
    <row r="35" spans="1:7" ht="19.5" customHeight="1">
      <c r="A35" s="3781"/>
      <c r="B35" s="3778"/>
      <c r="C35" s="3101" t="s">
        <v>2463</v>
      </c>
      <c r="D35" s="3102"/>
      <c r="E35" s="3103">
        <v>0.2</v>
      </c>
      <c r="F35" s="3100" t="s">
        <v>2464</v>
      </c>
      <c r="G35" s="3100"/>
    </row>
    <row r="36" spans="1:7" ht="19.5" customHeight="1">
      <c r="A36" s="3781"/>
      <c r="B36" s="3778"/>
      <c r="C36" s="3101" t="s">
        <v>2465</v>
      </c>
      <c r="D36" s="3102"/>
      <c r="E36" s="3103">
        <v>0.2</v>
      </c>
      <c r="F36" s="3100" t="s">
        <v>2466</v>
      </c>
      <c r="G36" s="3100"/>
    </row>
    <row r="37" spans="1:7" ht="19.5" customHeight="1">
      <c r="A37" s="3781"/>
      <c r="B37" s="3783" t="s">
        <v>2627</v>
      </c>
      <c r="C37" s="3101" t="s">
        <v>2467</v>
      </c>
      <c r="D37" s="3102"/>
      <c r="E37" s="3103">
        <v>0.6</v>
      </c>
      <c r="F37" s="3100" t="s">
        <v>2468</v>
      </c>
      <c r="G37" s="3100"/>
    </row>
    <row r="38" spans="1:7" ht="19.5" customHeight="1">
      <c r="A38" s="3781"/>
      <c r="B38" s="3778"/>
      <c r="C38" s="3101" t="s">
        <v>2469</v>
      </c>
      <c r="D38" s="3102"/>
      <c r="E38" s="3103">
        <v>0.6</v>
      </c>
      <c r="F38" s="3100" t="s">
        <v>2470</v>
      </c>
      <c r="G38" s="3100"/>
    </row>
    <row r="39" spans="1:7" ht="19.5" customHeight="1" thickBot="1">
      <c r="A39" s="3782"/>
      <c r="B39" s="3779"/>
      <c r="C39" s="3104" t="s">
        <v>2471</v>
      </c>
      <c r="D39" s="3105"/>
      <c r="E39" s="3106">
        <v>0.6</v>
      </c>
      <c r="F39" s="3100" t="s">
        <v>2472</v>
      </c>
      <c r="G39" s="3100"/>
    </row>
    <row r="40" spans="1:7" ht="19.5" customHeight="1" thickBot="1">
      <c r="A40" s="3107" t="s">
        <v>2604</v>
      </c>
      <c r="B40" s="3108" t="s">
        <v>2604</v>
      </c>
      <c r="C40" s="3109" t="s">
        <v>2628</v>
      </c>
      <c r="D40" s="3110"/>
      <c r="E40" s="3111">
        <v>1</v>
      </c>
      <c r="F40" s="3100" t="s">
        <v>2473</v>
      </c>
      <c r="G40" s="3100"/>
    </row>
    <row r="41" spans="1:7" ht="19.5" customHeight="1">
      <c r="A41" s="3784" t="s">
        <v>2605</v>
      </c>
      <c r="B41" s="3777" t="s">
        <v>2629</v>
      </c>
      <c r="C41" s="3097" t="s">
        <v>2474</v>
      </c>
      <c r="D41" s="3098"/>
      <c r="E41" s="3099">
        <v>1</v>
      </c>
      <c r="F41" s="3100" t="s">
        <v>2475</v>
      </c>
      <c r="G41" s="3100"/>
    </row>
    <row r="42" spans="1:7" ht="19.5" customHeight="1">
      <c r="A42" s="3785"/>
      <c r="B42" s="3778"/>
      <c r="C42" s="3101" t="s">
        <v>2476</v>
      </c>
      <c r="D42" s="3102"/>
      <c r="E42" s="3103">
        <v>1</v>
      </c>
      <c r="F42" s="3100" t="s">
        <v>2477</v>
      </c>
      <c r="G42" s="3100"/>
    </row>
    <row r="43" spans="1:7" ht="19.5" customHeight="1">
      <c r="A43" s="3785"/>
      <c r="B43" s="3787"/>
      <c r="C43" s="3101" t="s">
        <v>2478</v>
      </c>
      <c r="D43" s="3102"/>
      <c r="E43" s="3103">
        <v>1.5</v>
      </c>
      <c r="F43" s="3100" t="s">
        <v>2479</v>
      </c>
      <c r="G43" s="3100"/>
    </row>
    <row r="44" spans="1:7" ht="19.5" customHeight="1">
      <c r="A44" s="3785"/>
      <c r="B44" s="3112" t="s">
        <v>2630</v>
      </c>
      <c r="C44" s="3101" t="s">
        <v>2631</v>
      </c>
      <c r="D44" s="3102"/>
      <c r="E44" s="3103">
        <v>2</v>
      </c>
      <c r="F44" s="3100" t="s">
        <v>2480</v>
      </c>
      <c r="G44" s="3100"/>
    </row>
    <row r="45" spans="1:7" ht="19.5" customHeight="1">
      <c r="A45" s="3785"/>
      <c r="B45" s="3783" t="s">
        <v>2632</v>
      </c>
      <c r="C45" s="3101" t="s">
        <v>2481</v>
      </c>
      <c r="D45" s="3102"/>
      <c r="E45" s="3103">
        <v>1</v>
      </c>
      <c r="F45" s="3100" t="s">
        <v>2482</v>
      </c>
      <c r="G45" s="3100"/>
    </row>
    <row r="46" spans="1:7" ht="19.5" customHeight="1">
      <c r="A46" s="3785"/>
      <c r="B46" s="3778"/>
      <c r="C46" s="3101" t="s">
        <v>2483</v>
      </c>
      <c r="D46" s="3102"/>
      <c r="E46" s="3103">
        <v>1</v>
      </c>
      <c r="F46" s="3100" t="s">
        <v>2484</v>
      </c>
      <c r="G46" s="3100"/>
    </row>
    <row r="47" spans="1:7" ht="19.5" customHeight="1">
      <c r="A47" s="3785"/>
      <c r="B47" s="3778"/>
      <c r="C47" s="3101" t="s">
        <v>2485</v>
      </c>
      <c r="D47" s="3102"/>
      <c r="E47" s="3103">
        <v>1</v>
      </c>
      <c r="F47" s="3100" t="s">
        <v>2486</v>
      </c>
      <c r="G47" s="3100"/>
    </row>
    <row r="48" spans="1:7" ht="19.5" customHeight="1">
      <c r="A48" s="3785"/>
      <c r="B48" s="3778"/>
      <c r="C48" s="3101" t="s">
        <v>2487</v>
      </c>
      <c r="D48" s="3102"/>
      <c r="E48" s="3103">
        <v>1</v>
      </c>
      <c r="F48" s="3100" t="s">
        <v>2488</v>
      </c>
      <c r="G48" s="3100"/>
    </row>
    <row r="49" spans="1:7" ht="19.5" customHeight="1">
      <c r="A49" s="3785"/>
      <c r="B49" s="3778"/>
      <c r="C49" s="3101" t="s">
        <v>2489</v>
      </c>
      <c r="D49" s="3102"/>
      <c r="E49" s="3103">
        <v>1</v>
      </c>
      <c r="F49" s="3100" t="s">
        <v>2490</v>
      </c>
      <c r="G49" s="3100"/>
    </row>
    <row r="50" spans="1:7" ht="19.5" customHeight="1">
      <c r="A50" s="3785"/>
      <c r="B50" s="3778"/>
      <c r="C50" s="3101" t="s">
        <v>2491</v>
      </c>
      <c r="D50" s="3102"/>
      <c r="E50" s="3103">
        <v>1</v>
      </c>
      <c r="F50" s="3100" t="s">
        <v>2492</v>
      </c>
      <c r="G50" s="3100"/>
    </row>
    <row r="51" spans="1:7" ht="19.5" customHeight="1" thickBot="1">
      <c r="A51" s="3786"/>
      <c r="B51" s="3779"/>
      <c r="C51" s="3104" t="s">
        <v>2493</v>
      </c>
      <c r="D51" s="3105"/>
      <c r="E51" s="3106">
        <v>1</v>
      </c>
      <c r="F51" s="3100" t="s">
        <v>2494</v>
      </c>
      <c r="G51" s="3100"/>
    </row>
    <row r="52" spans="1:7" ht="19.5" customHeight="1">
      <c r="A52" s="3113"/>
      <c r="B52" s="3113"/>
      <c r="C52" s="3113"/>
      <c r="D52" s="3113"/>
      <c r="E52" s="3113"/>
      <c r="F52" s="3113"/>
      <c r="G52" s="3113"/>
    </row>
    <row r="54" spans="1:7" ht="19.5" customHeight="1">
      <c r="A54" s="3114"/>
      <c r="B54" s="3086" t="s">
        <v>2633</v>
      </c>
      <c r="C54" s="3086" t="s">
        <v>2633</v>
      </c>
      <c r="D54" s="3086" t="s">
        <v>2633</v>
      </c>
      <c r="E54" s="3089" t="s">
        <v>2633</v>
      </c>
      <c r="F54" s="3089" t="s">
        <v>2634</v>
      </c>
      <c r="G54" s="3089" t="s">
        <v>2635</v>
      </c>
    </row>
    <row r="55" spans="1:7" ht="19.5" customHeight="1">
      <c r="A55" s="3115"/>
      <c r="B55" s="3089" t="s">
        <v>2602</v>
      </c>
      <c r="C55" s="3089" t="s">
        <v>2602</v>
      </c>
      <c r="D55" s="3089" t="s">
        <v>2602</v>
      </c>
      <c r="E55" s="3086" t="s">
        <v>2603</v>
      </c>
      <c r="F55" s="3086" t="s">
        <v>2605</v>
      </c>
      <c r="G55" s="3086" t="s">
        <v>2636</v>
      </c>
    </row>
    <row r="56" spans="1:7" ht="19.5" customHeight="1">
      <c r="A56" s="3116"/>
      <c r="B56" s="3086">
        <v>1</v>
      </c>
      <c r="C56" s="3086">
        <v>2</v>
      </c>
      <c r="D56" s="3086">
        <v>3</v>
      </c>
      <c r="E56" s="3117" t="s">
        <v>2637</v>
      </c>
      <c r="F56" s="3117" t="s">
        <v>2637</v>
      </c>
      <c r="G56" s="3117" t="s">
        <v>2637</v>
      </c>
    </row>
    <row r="57" spans="1:7" ht="19.5" customHeight="1">
      <c r="A57" s="3118" t="s">
        <v>2590</v>
      </c>
      <c r="B57" s="3086">
        <v>0.7</v>
      </c>
      <c r="C57" s="3086">
        <v>0.4</v>
      </c>
      <c r="D57" s="3086">
        <v>0.3</v>
      </c>
      <c r="E57" s="3117">
        <v>0.3</v>
      </c>
      <c r="F57" s="3086">
        <v>0.3</v>
      </c>
      <c r="G57" s="3086">
        <v>0.2</v>
      </c>
    </row>
    <row r="58" spans="1:7" ht="19.5" customHeight="1">
      <c r="A58" s="3118" t="s">
        <v>2591</v>
      </c>
      <c r="B58" s="3086">
        <v>0.7</v>
      </c>
      <c r="C58" s="3086">
        <v>0.4</v>
      </c>
      <c r="D58" s="3086">
        <v>0.3</v>
      </c>
      <c r="E58" s="3086">
        <v>0.3</v>
      </c>
      <c r="F58" s="3086">
        <v>0.3</v>
      </c>
      <c r="G58" s="3086">
        <v>0.2</v>
      </c>
    </row>
    <row r="59" spans="1:7" ht="19.5" customHeight="1">
      <c r="A59" s="3118" t="s">
        <v>2592</v>
      </c>
      <c r="B59" s="3086">
        <v>0.6</v>
      </c>
      <c r="C59" s="3086">
        <v>0.3</v>
      </c>
      <c r="D59" s="3086">
        <v>0.25</v>
      </c>
      <c r="E59" s="3086">
        <v>0.25</v>
      </c>
      <c r="F59" s="3086">
        <v>0.25</v>
      </c>
      <c r="G59" s="3086">
        <v>0.15</v>
      </c>
    </row>
    <row r="60" spans="1:7" ht="19.5" customHeight="1">
      <c r="A60" s="3118" t="s">
        <v>2593</v>
      </c>
      <c r="B60" s="3086">
        <v>0.6</v>
      </c>
      <c r="C60" s="3086">
        <v>0.3</v>
      </c>
      <c r="D60" s="3086">
        <v>0.25</v>
      </c>
      <c r="E60" s="3086">
        <v>0.25</v>
      </c>
      <c r="F60" s="3086">
        <v>0.25</v>
      </c>
      <c r="G60" s="3086">
        <v>0.15</v>
      </c>
    </row>
    <row r="61" spans="1:7" ht="19.5" customHeight="1">
      <c r="A61" s="3118" t="s">
        <v>2594</v>
      </c>
      <c r="B61" s="3086">
        <v>0.6</v>
      </c>
      <c r="C61" s="3086">
        <v>0.3</v>
      </c>
      <c r="D61" s="3086">
        <v>0.25</v>
      </c>
      <c r="E61" s="3086">
        <v>0.25</v>
      </c>
      <c r="F61" s="3086">
        <v>0.25</v>
      </c>
      <c r="G61" s="3086">
        <v>0.15</v>
      </c>
    </row>
    <row r="62" spans="1:7" ht="19.5" customHeight="1">
      <c r="A62" s="3118" t="s">
        <v>2595</v>
      </c>
      <c r="B62" s="3086">
        <v>0.6</v>
      </c>
      <c r="C62" s="3086">
        <v>0.3</v>
      </c>
      <c r="D62" s="3086">
        <v>0.25</v>
      </c>
      <c r="E62" s="3086">
        <v>0.25</v>
      </c>
      <c r="F62" s="3086">
        <v>0.25</v>
      </c>
      <c r="G62" s="3086">
        <v>0.15</v>
      </c>
    </row>
    <row r="63" spans="1:7" ht="19.5" customHeight="1">
      <c r="A63" s="3118" t="s">
        <v>2596</v>
      </c>
      <c r="B63" s="3086">
        <v>0.6</v>
      </c>
      <c r="C63" s="3086">
        <v>0.3</v>
      </c>
      <c r="D63" s="3086">
        <v>0.25</v>
      </c>
      <c r="E63" s="3086">
        <v>0.25</v>
      </c>
      <c r="F63" s="3086">
        <v>0.25</v>
      </c>
      <c r="G63" s="3086">
        <v>0.15</v>
      </c>
    </row>
    <row r="64" spans="1:7" ht="19.5" customHeight="1">
      <c r="A64" s="3118" t="s">
        <v>2597</v>
      </c>
      <c r="B64" s="3086">
        <v>0.5</v>
      </c>
      <c r="C64" s="3086">
        <v>0.2</v>
      </c>
      <c r="D64" s="3086">
        <v>0.2</v>
      </c>
      <c r="E64" s="3086">
        <v>0.2</v>
      </c>
      <c r="F64" s="3086">
        <v>0.2</v>
      </c>
      <c r="G64" s="3086">
        <v>0.1</v>
      </c>
    </row>
    <row r="65" spans="1:7" ht="19.5" customHeight="1">
      <c r="A65" s="3118" t="s">
        <v>2598</v>
      </c>
      <c r="B65" s="3086">
        <v>0.5</v>
      </c>
      <c r="C65" s="3086">
        <v>0.2</v>
      </c>
      <c r="D65" s="3086">
        <v>0.2</v>
      </c>
      <c r="E65" s="3086">
        <v>0.2</v>
      </c>
      <c r="F65" s="3086">
        <v>0.2</v>
      </c>
      <c r="G65" s="3086">
        <v>0.1</v>
      </c>
    </row>
    <row r="66" spans="1:7" ht="19.5" customHeight="1">
      <c r="A66" s="3118" t="s">
        <v>2599</v>
      </c>
      <c r="B66" s="3086">
        <v>0.5</v>
      </c>
      <c r="C66" s="3086">
        <v>0.2</v>
      </c>
      <c r="D66" s="3086">
        <v>0.2</v>
      </c>
      <c r="E66" s="3086">
        <v>0.2</v>
      </c>
      <c r="F66" s="3086">
        <v>0.2</v>
      </c>
      <c r="G66" s="3086">
        <v>0.1</v>
      </c>
    </row>
    <row r="67" spans="1:7" ht="19.5" customHeight="1">
      <c r="A67" s="3118" t="s">
        <v>2600</v>
      </c>
      <c r="B67" s="3086">
        <v>0.5</v>
      </c>
      <c r="C67" s="3086">
        <v>0.2</v>
      </c>
      <c r="D67" s="3086">
        <v>0.2</v>
      </c>
      <c r="E67" s="3086">
        <v>0.2</v>
      </c>
      <c r="F67" s="3086">
        <v>0.2</v>
      </c>
      <c r="G67" s="3086">
        <v>0.1</v>
      </c>
    </row>
    <row r="68" spans="1:7" ht="19.5" customHeight="1">
      <c r="A68" s="3118" t="s">
        <v>2601</v>
      </c>
      <c r="B68" s="3086">
        <v>0.5</v>
      </c>
      <c r="C68" s="3086">
        <v>0.2</v>
      </c>
      <c r="D68" s="3086">
        <v>0.2</v>
      </c>
      <c r="E68" s="3086">
        <v>0.2</v>
      </c>
      <c r="F68" s="3086">
        <v>0.2</v>
      </c>
      <c r="G68" s="3086">
        <v>0.1</v>
      </c>
    </row>
    <row r="70" spans="1:7" ht="19.5" customHeight="1">
      <c r="A70" s="3119"/>
      <c r="B70" s="3120"/>
      <c r="C70" s="3120"/>
      <c r="D70" s="3120" t="s">
        <v>2638</v>
      </c>
      <c r="E70" s="3120"/>
      <c r="F70" s="3120"/>
    </row>
    <row r="71" spans="1:7" ht="19.5" customHeight="1">
      <c r="A71" s="3112" t="s">
        <v>2639</v>
      </c>
      <c r="B71" s="3112" t="s">
        <v>2640</v>
      </c>
      <c r="C71" s="3112" t="s">
        <v>2641</v>
      </c>
      <c r="D71" s="3112" t="s">
        <v>2642</v>
      </c>
      <c r="E71" s="3112" t="s">
        <v>2643</v>
      </c>
      <c r="F71" s="3112" t="s">
        <v>2644</v>
      </c>
    </row>
    <row r="72" spans="1:7" ht="13.5">
      <c r="A72" s="3112"/>
      <c r="B72" s="3112"/>
      <c r="C72" s="3112" t="s">
        <v>2645</v>
      </c>
      <c r="D72" s="3112"/>
      <c r="E72" s="3112" t="s">
        <v>2616</v>
      </c>
      <c r="F72" s="3112" t="s">
        <v>2616</v>
      </c>
    </row>
    <row r="73" spans="1:7" ht="13.5">
      <c r="A73" s="3112">
        <v>1</v>
      </c>
      <c r="B73" s="3783" t="s">
        <v>2646</v>
      </c>
      <c r="C73" s="3086" t="s">
        <v>2647</v>
      </c>
      <c r="D73" s="3086" t="s">
        <v>2648</v>
      </c>
      <c r="E73" s="3112">
        <v>0.2</v>
      </c>
      <c r="F73" s="3112">
        <v>25</v>
      </c>
    </row>
    <row r="74" spans="1:7" ht="24">
      <c r="A74" s="3112">
        <v>2</v>
      </c>
      <c r="B74" s="3778"/>
      <c r="C74" s="3086" t="s">
        <v>2649</v>
      </c>
      <c r="D74" s="3086" t="s">
        <v>2650</v>
      </c>
      <c r="E74" s="3112">
        <v>0.2</v>
      </c>
      <c r="F74" s="3112">
        <v>25</v>
      </c>
    </row>
    <row r="75" spans="1:7" ht="24">
      <c r="A75" s="3112">
        <v>3</v>
      </c>
      <c r="B75" s="3778"/>
      <c r="C75" s="3086" t="s">
        <v>2651</v>
      </c>
      <c r="D75" s="3086" t="s">
        <v>2652</v>
      </c>
      <c r="E75" s="3112">
        <v>0.2</v>
      </c>
      <c r="F75" s="3112">
        <v>25</v>
      </c>
    </row>
    <row r="76" spans="1:7" ht="13.5">
      <c r="A76" s="3112">
        <v>4</v>
      </c>
      <c r="B76" s="3778"/>
      <c r="C76" s="3086" t="s">
        <v>2653</v>
      </c>
      <c r="D76" s="3086" t="s">
        <v>2654</v>
      </c>
      <c r="E76" s="3112">
        <v>0.15</v>
      </c>
      <c r="F76" s="3112">
        <v>20</v>
      </c>
    </row>
    <row r="77" spans="1:7" ht="24">
      <c r="A77" s="3112">
        <v>5</v>
      </c>
      <c r="B77" s="3778"/>
      <c r="C77" s="3086" t="s">
        <v>2655</v>
      </c>
      <c r="D77" s="3086" t="s">
        <v>2656</v>
      </c>
      <c r="E77" s="3112">
        <v>0.15</v>
      </c>
      <c r="F77" s="3112">
        <v>20</v>
      </c>
    </row>
    <row r="78" spans="1:7" ht="24">
      <c r="A78" s="3112">
        <v>6</v>
      </c>
      <c r="B78" s="3778"/>
      <c r="C78" s="3086" t="s">
        <v>2657</v>
      </c>
      <c r="D78" s="3086" t="s">
        <v>2658</v>
      </c>
      <c r="E78" s="3112">
        <v>0.15</v>
      </c>
      <c r="F78" s="3112">
        <v>20</v>
      </c>
    </row>
    <row r="79" spans="1:7" ht="24">
      <c r="A79" s="3112">
        <v>7</v>
      </c>
      <c r="B79" s="3778"/>
      <c r="C79" s="3086" t="s">
        <v>2659</v>
      </c>
      <c r="D79" s="3086" t="s">
        <v>2660</v>
      </c>
      <c r="E79" s="3112">
        <v>0.15</v>
      </c>
      <c r="F79" s="3112">
        <v>20</v>
      </c>
    </row>
    <row r="80" spans="1:7" ht="24">
      <c r="A80" s="3112">
        <v>8</v>
      </c>
      <c r="B80" s="3778"/>
      <c r="C80" s="3086" t="s">
        <v>2661</v>
      </c>
      <c r="D80" s="3086" t="s">
        <v>2662</v>
      </c>
      <c r="E80" s="3112">
        <v>0.1</v>
      </c>
      <c r="F80" s="3112">
        <v>15</v>
      </c>
    </row>
    <row r="81" spans="1:6" ht="24">
      <c r="A81" s="3112">
        <v>9</v>
      </c>
      <c r="B81" s="3778"/>
      <c r="C81" s="3086" t="s">
        <v>2663</v>
      </c>
      <c r="D81" s="3086" t="s">
        <v>2664</v>
      </c>
      <c r="E81" s="3112">
        <v>0.1</v>
      </c>
      <c r="F81" s="3112">
        <v>15</v>
      </c>
    </row>
    <row r="82" spans="1:6" ht="24">
      <c r="A82" s="3112">
        <v>10</v>
      </c>
      <c r="B82" s="3778"/>
      <c r="C82" s="3086" t="s">
        <v>2665</v>
      </c>
      <c r="D82" s="3086" t="s">
        <v>2666</v>
      </c>
      <c r="E82" s="3112">
        <v>0.1</v>
      </c>
      <c r="F82" s="3112">
        <v>15</v>
      </c>
    </row>
    <row r="83" spans="1:6" ht="24">
      <c r="A83" s="3112">
        <v>11</v>
      </c>
      <c r="B83" s="3778"/>
      <c r="C83" s="3086" t="s">
        <v>2667</v>
      </c>
      <c r="D83" s="3086" t="s">
        <v>2668</v>
      </c>
      <c r="E83" s="3112">
        <v>0.1</v>
      </c>
      <c r="F83" s="3112">
        <v>15</v>
      </c>
    </row>
    <row r="84" spans="1:6" ht="24">
      <c r="A84" s="3112">
        <v>12</v>
      </c>
      <c r="B84" s="3778"/>
      <c r="C84" s="3086" t="s">
        <v>2669</v>
      </c>
      <c r="D84" s="3086" t="s">
        <v>2670</v>
      </c>
      <c r="E84" s="3112">
        <v>0.1</v>
      </c>
      <c r="F84" s="3112">
        <v>15</v>
      </c>
    </row>
    <row r="85" spans="1:6" ht="13.5">
      <c r="A85" s="3112">
        <v>13</v>
      </c>
      <c r="B85" s="3778"/>
      <c r="C85" s="3086" t="s">
        <v>2671</v>
      </c>
      <c r="D85" s="3086" t="s">
        <v>2672</v>
      </c>
      <c r="E85" s="3112">
        <v>0.1</v>
      </c>
      <c r="F85" s="3112">
        <v>15</v>
      </c>
    </row>
    <row r="86" spans="1:6" ht="13.5">
      <c r="A86" s="3112">
        <v>14</v>
      </c>
      <c r="B86" s="3778"/>
      <c r="C86" s="3086" t="s">
        <v>2673</v>
      </c>
      <c r="D86" s="3086" t="s">
        <v>2674</v>
      </c>
      <c r="E86" s="3112">
        <v>0.1</v>
      </c>
      <c r="F86" s="3112">
        <v>15</v>
      </c>
    </row>
    <row r="87" spans="1:6" ht="13.5">
      <c r="A87" s="3112">
        <v>15</v>
      </c>
      <c r="B87" s="3778"/>
      <c r="C87" s="3086" t="s">
        <v>2675</v>
      </c>
      <c r="D87" s="3086" t="s">
        <v>2676</v>
      </c>
      <c r="E87" s="3112">
        <v>0.1</v>
      </c>
      <c r="F87" s="3112">
        <v>15</v>
      </c>
    </row>
    <row r="88" spans="1:6" ht="24">
      <c r="A88" s="3112">
        <v>16</v>
      </c>
      <c r="B88" s="3778"/>
      <c r="C88" s="3086" t="s">
        <v>2677</v>
      </c>
      <c r="D88" s="3086" t="s">
        <v>2678</v>
      </c>
      <c r="E88" s="3112">
        <v>0.1</v>
      </c>
      <c r="F88" s="3112">
        <v>15</v>
      </c>
    </row>
    <row r="89" spans="1:6" ht="24">
      <c r="A89" s="3112">
        <v>17</v>
      </c>
      <c r="B89" s="3787"/>
      <c r="C89" s="3086" t="s">
        <v>2679</v>
      </c>
      <c r="D89" s="3086" t="s">
        <v>2680</v>
      </c>
      <c r="E89" s="3112">
        <v>0.1</v>
      </c>
      <c r="F89" s="3112">
        <v>15</v>
      </c>
    </row>
    <row r="90" spans="1:6" ht="13.5">
      <c r="A90" s="3112">
        <v>18</v>
      </c>
      <c r="B90" s="3783" t="s">
        <v>2681</v>
      </c>
      <c r="C90" s="3086" t="s">
        <v>2682</v>
      </c>
      <c r="D90" s="3086" t="s">
        <v>2683</v>
      </c>
      <c r="E90" s="3112">
        <v>0.2</v>
      </c>
      <c r="F90" s="3112">
        <v>25</v>
      </c>
    </row>
    <row r="91" spans="1:6" ht="24">
      <c r="A91" s="3112">
        <v>19</v>
      </c>
      <c r="B91" s="3778"/>
      <c r="C91" s="3086" t="s">
        <v>2684</v>
      </c>
      <c r="D91" s="3086" t="s">
        <v>2685</v>
      </c>
      <c r="E91" s="3112">
        <v>0.2</v>
      </c>
      <c r="F91" s="3112">
        <v>25</v>
      </c>
    </row>
    <row r="92" spans="1:6" ht="13.5">
      <c r="A92" s="3112">
        <v>20</v>
      </c>
      <c r="B92" s="3778"/>
      <c r="C92" s="3086" t="s">
        <v>2686</v>
      </c>
      <c r="D92" s="3086" t="s">
        <v>2687</v>
      </c>
      <c r="E92" s="3112">
        <v>0.15</v>
      </c>
      <c r="F92" s="3112">
        <v>20</v>
      </c>
    </row>
    <row r="93" spans="1:6" ht="13.5">
      <c r="A93" s="3112">
        <v>21</v>
      </c>
      <c r="B93" s="3778"/>
      <c r="C93" s="3086" t="s">
        <v>2688</v>
      </c>
      <c r="D93" s="3086" t="s">
        <v>2689</v>
      </c>
      <c r="E93" s="3112">
        <v>0.15</v>
      </c>
      <c r="F93" s="3112">
        <v>20</v>
      </c>
    </row>
    <row r="94" spans="1:6" ht="13.5">
      <c r="A94" s="3112">
        <v>22</v>
      </c>
      <c r="B94" s="3778"/>
      <c r="C94" s="3086" t="s">
        <v>2690</v>
      </c>
      <c r="D94" s="3086" t="s">
        <v>2691</v>
      </c>
      <c r="E94" s="3112">
        <v>0.15</v>
      </c>
      <c r="F94" s="3112">
        <v>20</v>
      </c>
    </row>
    <row r="95" spans="1:6" ht="36">
      <c r="A95" s="3112">
        <v>23</v>
      </c>
      <c r="B95" s="3778"/>
      <c r="C95" s="3086" t="s">
        <v>2692</v>
      </c>
      <c r="D95" s="3086" t="s">
        <v>2693</v>
      </c>
      <c r="E95" s="3112">
        <v>0.15</v>
      </c>
      <c r="F95" s="3112">
        <v>20</v>
      </c>
    </row>
    <row r="96" spans="1:6" ht="13.5">
      <c r="A96" s="3112">
        <v>24</v>
      </c>
      <c r="B96" s="3778"/>
      <c r="C96" s="3086" t="s">
        <v>2694</v>
      </c>
      <c r="D96" s="3086" t="s">
        <v>2695</v>
      </c>
      <c r="E96" s="3112">
        <v>0.1</v>
      </c>
      <c r="F96" s="3112">
        <v>15</v>
      </c>
    </row>
    <row r="97" spans="1:6" ht="13.5">
      <c r="A97" s="3112">
        <v>25</v>
      </c>
      <c r="B97" s="3778"/>
      <c r="C97" s="3086" t="s">
        <v>2696</v>
      </c>
      <c r="D97" s="3086" t="s">
        <v>2697</v>
      </c>
      <c r="E97" s="3112">
        <v>0.1</v>
      </c>
      <c r="F97" s="3112">
        <v>15</v>
      </c>
    </row>
    <row r="98" spans="1:6" ht="24">
      <c r="A98" s="3112">
        <v>26</v>
      </c>
      <c r="B98" s="3778"/>
      <c r="C98" s="3086" t="s">
        <v>2698</v>
      </c>
      <c r="D98" s="3086" t="s">
        <v>2699</v>
      </c>
      <c r="E98" s="3112">
        <v>0.1</v>
      </c>
      <c r="F98" s="3112">
        <v>15</v>
      </c>
    </row>
    <row r="99" spans="1:6" ht="24">
      <c r="A99" s="3112">
        <v>27</v>
      </c>
      <c r="B99" s="3778"/>
      <c r="C99" s="3086" t="s">
        <v>2700</v>
      </c>
      <c r="D99" s="3086" t="s">
        <v>2701</v>
      </c>
      <c r="E99" s="3112">
        <v>0.1</v>
      </c>
      <c r="F99" s="3112">
        <v>15</v>
      </c>
    </row>
    <row r="100" spans="1:6" ht="13.5">
      <c r="A100" s="3112">
        <v>28</v>
      </c>
      <c r="B100" s="3778"/>
      <c r="C100" s="3086" t="s">
        <v>2702</v>
      </c>
      <c r="D100" s="3086" t="s">
        <v>2703</v>
      </c>
      <c r="E100" s="3112">
        <v>0.1</v>
      </c>
      <c r="F100" s="3112">
        <v>15</v>
      </c>
    </row>
    <row r="101" spans="1:6" ht="13.5">
      <c r="A101" s="3112">
        <v>29</v>
      </c>
      <c r="B101" s="3778"/>
      <c r="C101" s="3086" t="s">
        <v>2704</v>
      </c>
      <c r="D101" s="3086" t="s">
        <v>2705</v>
      </c>
      <c r="E101" s="3112">
        <v>0.1</v>
      </c>
      <c r="F101" s="3112">
        <v>15</v>
      </c>
    </row>
    <row r="102" spans="1:6" ht="13.5">
      <c r="A102" s="3112">
        <v>30</v>
      </c>
      <c r="B102" s="3778"/>
      <c r="C102" s="3086" t="s">
        <v>2706</v>
      </c>
      <c r="D102" s="3086" t="s">
        <v>2707</v>
      </c>
      <c r="E102" s="3112">
        <v>0.1</v>
      </c>
      <c r="F102" s="3112">
        <v>15</v>
      </c>
    </row>
    <row r="103" spans="1:6" ht="24">
      <c r="A103" s="3112">
        <v>31</v>
      </c>
      <c r="B103" s="3778"/>
      <c r="C103" s="3086" t="s">
        <v>2708</v>
      </c>
      <c r="D103" s="3086" t="s">
        <v>2709</v>
      </c>
      <c r="E103" s="3112">
        <v>0.1</v>
      </c>
      <c r="F103" s="3112">
        <v>15</v>
      </c>
    </row>
    <row r="104" spans="1:6" ht="24">
      <c r="A104" s="3112">
        <v>32</v>
      </c>
      <c r="B104" s="3778"/>
      <c r="C104" s="3086" t="s">
        <v>2710</v>
      </c>
      <c r="D104" s="3086" t="s">
        <v>2711</v>
      </c>
      <c r="E104" s="3112">
        <v>0.1</v>
      </c>
      <c r="F104" s="3112">
        <v>15</v>
      </c>
    </row>
    <row r="105" spans="1:6" ht="24">
      <c r="A105" s="3112">
        <v>33</v>
      </c>
      <c r="B105" s="3778"/>
      <c r="C105" s="3086" t="s">
        <v>2712</v>
      </c>
      <c r="D105" s="3086" t="s">
        <v>2713</v>
      </c>
      <c r="E105" s="3112">
        <v>0.1</v>
      </c>
      <c r="F105" s="3112">
        <v>15</v>
      </c>
    </row>
    <row r="106" spans="1:6" ht="24">
      <c r="A106" s="3112">
        <v>34</v>
      </c>
      <c r="B106" s="3787"/>
      <c r="C106" s="3086" t="s">
        <v>2714</v>
      </c>
      <c r="D106" s="3086" t="s">
        <v>2715</v>
      </c>
      <c r="E106" s="3112">
        <v>0.1</v>
      </c>
      <c r="F106" s="3112">
        <v>15</v>
      </c>
    </row>
    <row r="107" spans="1:6" ht="24">
      <c r="A107" s="3112">
        <v>35</v>
      </c>
      <c r="B107" s="3783" t="s">
        <v>2716</v>
      </c>
      <c r="C107" s="3112" t="s">
        <v>2717</v>
      </c>
      <c r="D107" s="3086" t="s">
        <v>2718</v>
      </c>
      <c r="E107" s="3112">
        <v>0.15</v>
      </c>
      <c r="F107" s="3112">
        <v>20</v>
      </c>
    </row>
    <row r="108" spans="1:6" ht="13.5">
      <c r="A108" s="3112">
        <v>36</v>
      </c>
      <c r="B108" s="3778"/>
      <c r="C108" s="3112" t="s">
        <v>2719</v>
      </c>
      <c r="D108" s="3086" t="s">
        <v>2720</v>
      </c>
      <c r="E108" s="3112">
        <v>0.15</v>
      </c>
      <c r="F108" s="3112">
        <v>20</v>
      </c>
    </row>
    <row r="109" spans="1:6" ht="13.5">
      <c r="A109" s="3112">
        <v>37</v>
      </c>
      <c r="B109" s="3778"/>
      <c r="C109" s="3112" t="s">
        <v>2721</v>
      </c>
      <c r="D109" s="3086" t="s">
        <v>2722</v>
      </c>
      <c r="E109" s="3112">
        <v>0.15</v>
      </c>
      <c r="F109" s="3112">
        <v>20</v>
      </c>
    </row>
    <row r="110" spans="1:6" ht="13.5">
      <c r="A110" s="3112">
        <v>38</v>
      </c>
      <c r="B110" s="3778"/>
      <c r="C110" s="3112" t="s">
        <v>2723</v>
      </c>
      <c r="D110" s="3086" t="s">
        <v>2724</v>
      </c>
      <c r="E110" s="3112">
        <v>0.1</v>
      </c>
      <c r="F110" s="3112">
        <v>15</v>
      </c>
    </row>
    <row r="111" spans="1:6" ht="24">
      <c r="A111" s="3112">
        <v>39</v>
      </c>
      <c r="B111" s="3778"/>
      <c r="C111" s="3112" t="s">
        <v>2725</v>
      </c>
      <c r="D111" s="3086" t="s">
        <v>2726</v>
      </c>
      <c r="E111" s="3112">
        <v>0.1</v>
      </c>
      <c r="F111" s="3112">
        <v>15</v>
      </c>
    </row>
    <row r="112" spans="1:6" ht="24">
      <c r="A112" s="3112">
        <v>40</v>
      </c>
      <c r="B112" s="3787"/>
      <c r="C112" s="3112" t="s">
        <v>2727</v>
      </c>
      <c r="D112" s="3086" t="s">
        <v>2728</v>
      </c>
      <c r="E112" s="3112">
        <v>0.1</v>
      </c>
      <c r="F112" s="3112">
        <v>15</v>
      </c>
    </row>
    <row r="113" spans="1:6" ht="13.5">
      <c r="A113" s="3112">
        <v>41</v>
      </c>
      <c r="B113" s="3788" t="s">
        <v>2729</v>
      </c>
      <c r="C113" s="3112" t="s">
        <v>2730</v>
      </c>
      <c r="D113" s="3086" t="s">
        <v>2731</v>
      </c>
      <c r="E113" s="3112">
        <v>0.1</v>
      </c>
      <c r="F113" s="3112">
        <v>15</v>
      </c>
    </row>
    <row r="114" spans="1:6" ht="13.5">
      <c r="A114" s="3112">
        <v>42</v>
      </c>
      <c r="B114" s="3788"/>
      <c r="C114" s="3112" t="s">
        <v>2732</v>
      </c>
      <c r="D114" s="3086" t="s">
        <v>2733</v>
      </c>
      <c r="E114" s="3112">
        <v>0.1</v>
      </c>
      <c r="F114" s="3112">
        <v>15</v>
      </c>
    </row>
    <row r="115" spans="1:6" ht="24">
      <c r="A115" s="3112">
        <v>43</v>
      </c>
      <c r="B115" s="3788"/>
      <c r="C115" s="3112" t="s">
        <v>2734</v>
      </c>
      <c r="D115" s="3086" t="s">
        <v>2735</v>
      </c>
      <c r="E115" s="3112">
        <v>0.1</v>
      </c>
      <c r="F115" s="3112">
        <v>15</v>
      </c>
    </row>
    <row r="116" spans="1:6" ht="13.5">
      <c r="A116" s="3112">
        <v>44</v>
      </c>
      <c r="B116" s="3783" t="s">
        <v>2736</v>
      </c>
      <c r="C116" s="3112" t="s">
        <v>2737</v>
      </c>
      <c r="D116" s="3086" t="s">
        <v>2738</v>
      </c>
      <c r="E116" s="3112">
        <v>0.1</v>
      </c>
      <c r="F116" s="3112">
        <v>15</v>
      </c>
    </row>
    <row r="117" spans="1:6" ht="24">
      <c r="A117" s="3112">
        <v>45</v>
      </c>
      <c r="B117" s="3787"/>
      <c r="C117" s="3086" t="s">
        <v>2739</v>
      </c>
      <c r="D117" s="3086" t="s">
        <v>2740</v>
      </c>
      <c r="E117" s="3112">
        <v>0.1</v>
      </c>
      <c r="F117" s="3112">
        <v>15</v>
      </c>
    </row>
    <row r="118" spans="1:6" ht="24">
      <c r="A118" s="3112">
        <v>46</v>
      </c>
      <c r="B118" s="3783" t="s">
        <v>2741</v>
      </c>
      <c r="C118" s="3112" t="s">
        <v>2742</v>
      </c>
      <c r="D118" s="3086" t="s">
        <v>2743</v>
      </c>
      <c r="E118" s="3112">
        <v>0.1</v>
      </c>
      <c r="F118" s="3112">
        <v>15</v>
      </c>
    </row>
    <row r="119" spans="1:6" ht="24">
      <c r="A119" s="3112">
        <v>47</v>
      </c>
      <c r="B119" s="3787"/>
      <c r="C119" s="3112" t="s">
        <v>2744</v>
      </c>
      <c r="D119" s="3086" t="s">
        <v>2745</v>
      </c>
      <c r="E119" s="3112">
        <v>0.1</v>
      </c>
      <c r="F119" s="3112">
        <v>15</v>
      </c>
    </row>
    <row r="120" spans="1:6" ht="13.5">
      <c r="A120" s="3112">
        <v>48</v>
      </c>
      <c r="B120" s="3783" t="s">
        <v>2746</v>
      </c>
      <c r="C120" s="3112" t="s">
        <v>2747</v>
      </c>
      <c r="D120" s="3086" t="s">
        <v>2748</v>
      </c>
      <c r="E120" s="3112">
        <v>0.1</v>
      </c>
      <c r="F120" s="3112">
        <v>15</v>
      </c>
    </row>
    <row r="121" spans="1:6" ht="13.5">
      <c r="A121" s="3112">
        <v>49</v>
      </c>
      <c r="B121" s="3787"/>
      <c r="C121" s="3112" t="s">
        <v>2749</v>
      </c>
      <c r="D121" s="3086" t="s">
        <v>2750</v>
      </c>
      <c r="E121" s="3112">
        <v>0.1</v>
      </c>
      <c r="F121" s="3112">
        <v>15</v>
      </c>
    </row>
    <row r="122" spans="1:6" ht="24">
      <c r="A122" s="3112">
        <v>50</v>
      </c>
      <c r="B122" s="3788" t="s">
        <v>2751</v>
      </c>
      <c r="C122" s="3112" t="s">
        <v>2752</v>
      </c>
      <c r="D122" s="3086" t="s">
        <v>2753</v>
      </c>
      <c r="E122" s="3112">
        <v>0.1</v>
      </c>
      <c r="F122" s="3112">
        <v>15</v>
      </c>
    </row>
    <row r="123" spans="1:6" ht="24">
      <c r="A123" s="3112">
        <v>51</v>
      </c>
      <c r="B123" s="3788"/>
      <c r="C123" s="3112" t="s">
        <v>2754</v>
      </c>
      <c r="D123" s="3086" t="s">
        <v>2755</v>
      </c>
      <c r="E123" s="3112">
        <v>0.1</v>
      </c>
      <c r="F123" s="3112">
        <v>15</v>
      </c>
    </row>
    <row r="124" spans="1:6" ht="24">
      <c r="A124" s="3112">
        <v>52</v>
      </c>
      <c r="B124" s="3788" t="s">
        <v>2756</v>
      </c>
      <c r="C124" s="3112" t="s">
        <v>2757</v>
      </c>
      <c r="D124" s="3086" t="s">
        <v>2758</v>
      </c>
      <c r="E124" s="3112">
        <v>0.1</v>
      </c>
      <c r="F124" s="3112">
        <v>15</v>
      </c>
    </row>
    <row r="125" spans="1:6" ht="24">
      <c r="A125" s="3112">
        <v>53</v>
      </c>
      <c r="B125" s="3788"/>
      <c r="C125" s="3112" t="s">
        <v>2759</v>
      </c>
      <c r="D125" s="3086" t="s">
        <v>2760</v>
      </c>
      <c r="E125" s="3112">
        <v>0.1</v>
      </c>
      <c r="F125" s="3112">
        <v>15</v>
      </c>
    </row>
    <row r="126" spans="1:6" ht="13.5">
      <c r="A126" s="3112">
        <v>54</v>
      </c>
      <c r="B126" s="3112" t="s">
        <v>2761</v>
      </c>
      <c r="C126" s="3112" t="s">
        <v>2762</v>
      </c>
      <c r="D126" s="3086" t="s">
        <v>2763</v>
      </c>
      <c r="E126" s="3112">
        <v>0.1</v>
      </c>
      <c r="F126" s="3112">
        <v>15</v>
      </c>
    </row>
    <row r="127" spans="1:6" ht="13.5">
      <c r="A127" s="3112">
        <v>55</v>
      </c>
      <c r="B127" s="3788" t="s">
        <v>2764</v>
      </c>
      <c r="C127" s="3112" t="s">
        <v>2765</v>
      </c>
      <c r="D127" s="3086" t="s">
        <v>2766</v>
      </c>
      <c r="E127" s="3112">
        <v>0.1</v>
      </c>
      <c r="F127" s="3112">
        <v>15</v>
      </c>
    </row>
    <row r="128" spans="1:6" ht="13.5">
      <c r="A128" s="3112">
        <v>56</v>
      </c>
      <c r="B128" s="3788"/>
      <c r="C128" s="3112" t="s">
        <v>2767</v>
      </c>
      <c r="D128" s="3086" t="s">
        <v>2768</v>
      </c>
      <c r="E128" s="3112">
        <v>0.1</v>
      </c>
      <c r="F128" s="3112">
        <v>15</v>
      </c>
    </row>
    <row r="129" spans="1:6" ht="24">
      <c r="A129" s="3112">
        <v>57</v>
      </c>
      <c r="B129" s="3788"/>
      <c r="C129" s="3112" t="s">
        <v>2769</v>
      </c>
      <c r="D129" s="3086" t="s">
        <v>2770</v>
      </c>
      <c r="E129" s="3112">
        <v>0.1</v>
      </c>
      <c r="F129" s="3112">
        <v>15</v>
      </c>
    </row>
    <row r="130" spans="1:6" ht="24">
      <c r="A130" s="3112">
        <v>58</v>
      </c>
      <c r="B130" s="3788" t="s">
        <v>2771</v>
      </c>
      <c r="C130" s="3112" t="s">
        <v>2772</v>
      </c>
      <c r="D130" s="3086" t="s">
        <v>2773</v>
      </c>
      <c r="E130" s="3112">
        <v>0.1</v>
      </c>
      <c r="F130" s="3112">
        <v>15</v>
      </c>
    </row>
    <row r="131" spans="1:6" ht="13.5">
      <c r="A131" s="3112">
        <v>59</v>
      </c>
      <c r="B131" s="3788"/>
      <c r="C131" s="3112" t="s">
        <v>2774</v>
      </c>
      <c r="D131" s="3086" t="s">
        <v>2775</v>
      </c>
      <c r="E131" s="3112">
        <v>0.1</v>
      </c>
      <c r="F131" s="3112">
        <v>15</v>
      </c>
    </row>
    <row r="132" spans="1:6" ht="13.5">
      <c r="A132" s="3112">
        <v>60</v>
      </c>
      <c r="B132" s="3783" t="s">
        <v>2776</v>
      </c>
      <c r="C132" s="3112" t="s">
        <v>2777</v>
      </c>
      <c r="D132" s="3086" t="s">
        <v>2778</v>
      </c>
      <c r="E132" s="3112">
        <v>0.1</v>
      </c>
      <c r="F132" s="3112">
        <v>15</v>
      </c>
    </row>
    <row r="133" spans="1:6" ht="13.5">
      <c r="A133" s="3112">
        <v>61</v>
      </c>
      <c r="B133" s="3787"/>
      <c r="C133" s="3112" t="s">
        <v>2779</v>
      </c>
      <c r="D133" s="3086" t="s">
        <v>2780</v>
      </c>
      <c r="E133" s="3112">
        <v>0.1</v>
      </c>
      <c r="F133" s="3112">
        <v>15</v>
      </c>
    </row>
    <row r="134" spans="1:6" ht="24">
      <c r="A134" s="3112">
        <v>62</v>
      </c>
      <c r="B134" s="3112" t="s">
        <v>2781</v>
      </c>
      <c r="C134" s="3112" t="s">
        <v>2782</v>
      </c>
      <c r="D134" s="3086" t="s">
        <v>2783</v>
      </c>
      <c r="E134" s="3112">
        <v>0.1</v>
      </c>
      <c r="F134" s="3112">
        <v>15</v>
      </c>
    </row>
    <row r="135" spans="1:6" ht="13.5">
      <c r="A135" s="3112">
        <v>63</v>
      </c>
      <c r="B135" s="3788" t="s">
        <v>2784</v>
      </c>
      <c r="C135" s="3112" t="s">
        <v>2785</v>
      </c>
      <c r="D135" s="3086" t="s">
        <v>2786</v>
      </c>
      <c r="E135" s="3112">
        <v>0.1</v>
      </c>
      <c r="F135" s="3112">
        <v>15</v>
      </c>
    </row>
    <row r="136" spans="1:6" ht="13.5">
      <c r="A136" s="3112">
        <v>64</v>
      </c>
      <c r="B136" s="3788"/>
      <c r="C136" s="3112" t="s">
        <v>2787</v>
      </c>
      <c r="D136" s="3086" t="s">
        <v>2788</v>
      </c>
      <c r="E136" s="3112">
        <v>0.1</v>
      </c>
      <c r="F136" s="3112">
        <v>15</v>
      </c>
    </row>
    <row r="137" spans="1:6" ht="13.5">
      <c r="A137" s="3112">
        <v>65</v>
      </c>
      <c r="B137" s="3112" t="s">
        <v>2789</v>
      </c>
      <c r="C137" s="3112" t="s">
        <v>2790</v>
      </c>
      <c r="D137" s="3086" t="s">
        <v>2791</v>
      </c>
      <c r="E137" s="3112">
        <v>0.1</v>
      </c>
      <c r="F137" s="3112">
        <v>15</v>
      </c>
    </row>
    <row r="138" spans="1:6" ht="13.5">
      <c r="A138" s="3112"/>
      <c r="B138" s="3112"/>
      <c r="C138" s="3112"/>
      <c r="D138" s="3112"/>
      <c r="E138" s="3112" t="s">
        <v>2792</v>
      </c>
      <c r="F138" s="3112"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7"/>
  </cols>
  <sheetData>
    <row r="1" spans="1:20" ht="15" thickBot="1">
      <c r="A1" s="3121" t="s">
        <v>2793</v>
      </c>
      <c r="B1" s="3121"/>
      <c r="C1" s="3121"/>
      <c r="D1" s="3121"/>
      <c r="E1" s="3121"/>
      <c r="F1" s="3121"/>
      <c r="G1" s="3121"/>
      <c r="H1" s="3121"/>
      <c r="I1" s="3121"/>
      <c r="J1" s="3121"/>
      <c r="K1" s="3121"/>
      <c r="L1" s="3121"/>
      <c r="M1" s="3121"/>
      <c r="N1" s="746"/>
    </row>
    <row r="2" spans="1:20">
      <c r="A2" s="3122" t="s">
        <v>2794</v>
      </c>
      <c r="B2" s="3123" t="s">
        <v>2590</v>
      </c>
      <c r="C2" s="3123" t="s">
        <v>2591</v>
      </c>
      <c r="D2" s="3123" t="s">
        <v>2592</v>
      </c>
      <c r="E2" s="3123" t="s">
        <v>2593</v>
      </c>
      <c r="F2" s="3123" t="s">
        <v>2594</v>
      </c>
      <c r="G2" s="3123" t="s">
        <v>2595</v>
      </c>
      <c r="H2" s="3124" t="s">
        <v>2596</v>
      </c>
      <c r="I2" s="3124" t="s">
        <v>2597</v>
      </c>
      <c r="J2" s="3125" t="s">
        <v>2598</v>
      </c>
      <c r="K2" s="3125" t="s">
        <v>2599</v>
      </c>
      <c r="L2" s="3125" t="s">
        <v>2600</v>
      </c>
      <c r="M2" s="3126" t="s">
        <v>2601</v>
      </c>
      <c r="Q2" s="3136" t="s">
        <v>2799</v>
      </c>
      <c r="R2" s="3136" t="s">
        <v>2800</v>
      </c>
      <c r="S2" s="3136" t="s">
        <v>2801</v>
      </c>
      <c r="T2" s="3136" t="s">
        <v>2802</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8"/>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8"/>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8"/>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2795</v>
      </c>
      <c r="B93" s="3121"/>
      <c r="C93" s="3121"/>
      <c r="D93" s="3121"/>
      <c r="E93" s="3121"/>
      <c r="F93" s="3121"/>
      <c r="G93" s="3121"/>
      <c r="H93" s="3121"/>
      <c r="I93" s="3121"/>
      <c r="J93" s="3121"/>
      <c r="K93" s="3121"/>
      <c r="L93" s="3121"/>
      <c r="M93" s="3121"/>
    </row>
    <row r="94" spans="1:20">
      <c r="A94" s="3122" t="s">
        <v>2794</v>
      </c>
      <c r="B94" s="3123" t="s">
        <v>2590</v>
      </c>
      <c r="C94" s="3123" t="s">
        <v>2591</v>
      </c>
      <c r="D94" s="3123" t="s">
        <v>2592</v>
      </c>
      <c r="E94" s="3123" t="s">
        <v>2593</v>
      </c>
      <c r="F94" s="3123" t="s">
        <v>2594</v>
      </c>
      <c r="G94" s="3123" t="s">
        <v>2595</v>
      </c>
      <c r="H94" s="3124" t="s">
        <v>2596</v>
      </c>
      <c r="I94" s="3124" t="s">
        <v>2597</v>
      </c>
      <c r="J94" s="3125" t="s">
        <v>2598</v>
      </c>
      <c r="K94" s="3125" t="s">
        <v>2599</v>
      </c>
      <c r="L94" s="3125" t="s">
        <v>2600</v>
      </c>
      <c r="M94" s="3126" t="s">
        <v>2601</v>
      </c>
      <c r="N94" s="747">
        <f>SUMPRODUCT((A95:A184=ROUNDDOWN(基准地价修正!G3,1))*(B94:M94=基准地价修正!G2)*(B95:M184))</f>
        <v>1.1559999999999999</v>
      </c>
      <c r="Q94" s="3136" t="s">
        <v>2799</v>
      </c>
      <c r="R94" s="3136" t="s">
        <v>2800</v>
      </c>
      <c r="S94" s="3136" t="s">
        <v>2801</v>
      </c>
      <c r="T94" s="3136" t="s">
        <v>2802</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6"/>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6"/>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2796</v>
      </c>
      <c r="B185" s="3121"/>
      <c r="C185" s="3121"/>
      <c r="D185" s="3121"/>
      <c r="E185" s="3121"/>
      <c r="F185" s="3121"/>
      <c r="G185" s="3121"/>
      <c r="H185" s="3121"/>
      <c r="I185" s="3121"/>
      <c r="J185" s="3121"/>
      <c r="K185" s="3121"/>
      <c r="L185" s="3121"/>
      <c r="M185" s="3121"/>
    </row>
    <row r="186" spans="1:20">
      <c r="A186" s="3122" t="s">
        <v>2794</v>
      </c>
      <c r="B186" s="3123" t="s">
        <v>2590</v>
      </c>
      <c r="C186" s="3123" t="s">
        <v>2591</v>
      </c>
      <c r="D186" s="3123" t="s">
        <v>2592</v>
      </c>
      <c r="E186" s="3123" t="s">
        <v>2593</v>
      </c>
      <c r="F186" s="3123" t="s">
        <v>2594</v>
      </c>
      <c r="G186" s="3123" t="s">
        <v>2595</v>
      </c>
      <c r="H186" s="3124" t="s">
        <v>2596</v>
      </c>
      <c r="I186" s="3124" t="s">
        <v>2597</v>
      </c>
      <c r="J186" s="3125" t="s">
        <v>2598</v>
      </c>
      <c r="K186" s="3125" t="s">
        <v>2599</v>
      </c>
      <c r="L186" s="3125" t="s">
        <v>2600</v>
      </c>
      <c r="M186" s="3126" t="s">
        <v>2601</v>
      </c>
      <c r="Q186" s="3136" t="s">
        <v>2799</v>
      </c>
      <c r="R186" s="3136" t="s">
        <v>2800</v>
      </c>
      <c r="S186" s="3136" t="s">
        <v>2801</v>
      </c>
      <c r="T186" s="3136" t="s">
        <v>2802</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2797</v>
      </c>
      <c r="B277" s="3121"/>
      <c r="C277" s="3121"/>
      <c r="D277" s="3121"/>
      <c r="E277" s="3121"/>
      <c r="F277" s="3121"/>
      <c r="G277" s="3121"/>
      <c r="H277" s="3121"/>
      <c r="I277" s="3121"/>
      <c r="J277" s="3121"/>
      <c r="K277" s="3121"/>
      <c r="L277" s="3121"/>
      <c r="M277" s="3121"/>
    </row>
    <row r="278" spans="1:21">
      <c r="A278" s="3122" t="s">
        <v>2794</v>
      </c>
      <c r="B278" s="3123" t="s">
        <v>2590</v>
      </c>
      <c r="C278" s="3123" t="s">
        <v>2591</v>
      </c>
      <c r="D278" s="3123" t="s">
        <v>2592</v>
      </c>
      <c r="E278" s="3123" t="s">
        <v>2593</v>
      </c>
      <c r="F278" s="3123" t="s">
        <v>2594</v>
      </c>
      <c r="G278" s="3123" t="s">
        <v>2595</v>
      </c>
      <c r="H278" s="3124" t="s">
        <v>2596</v>
      </c>
      <c r="I278" s="3124" t="s">
        <v>2597</v>
      </c>
      <c r="J278" s="3125" t="s">
        <v>2598</v>
      </c>
      <c r="K278" s="3125" t="s">
        <v>2599</v>
      </c>
      <c r="L278" s="3125" t="s">
        <v>2600</v>
      </c>
      <c r="M278" s="3126" t="s">
        <v>2601</v>
      </c>
      <c r="Q278" s="3136" t="s">
        <v>2799</v>
      </c>
      <c r="R278" s="3136" t="s">
        <v>2800</v>
      </c>
      <c r="S278" s="3136" t="s">
        <v>2803</v>
      </c>
      <c r="T278" s="3136" t="s">
        <v>2804</v>
      </c>
      <c r="U278" s="3136" t="s">
        <v>2802</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2798</v>
      </c>
      <c r="B369" s="3134"/>
      <c r="C369" s="3134"/>
      <c r="D369" s="3134"/>
      <c r="E369" s="3134"/>
      <c r="F369" s="3134"/>
      <c r="G369" s="3134"/>
      <c r="H369" s="3134"/>
      <c r="I369" s="3134"/>
      <c r="J369" s="3134"/>
      <c r="K369" s="3134"/>
      <c r="L369" s="3134"/>
      <c r="M369" s="3134"/>
    </row>
    <row r="370" spans="1:20">
      <c r="A370" s="3122" t="s">
        <v>2794</v>
      </c>
      <c r="B370" s="3123" t="s">
        <v>2590</v>
      </c>
      <c r="C370" s="3123" t="s">
        <v>2591</v>
      </c>
      <c r="D370" s="3123" t="s">
        <v>2592</v>
      </c>
      <c r="E370" s="3123" t="s">
        <v>2593</v>
      </c>
      <c r="F370" s="3123" t="s">
        <v>2594</v>
      </c>
      <c r="G370" s="3123" t="s">
        <v>2595</v>
      </c>
      <c r="H370" s="3124" t="s">
        <v>2596</v>
      </c>
      <c r="I370" s="3124" t="s">
        <v>2597</v>
      </c>
      <c r="J370" s="3125" t="s">
        <v>2598</v>
      </c>
      <c r="K370" s="3125" t="s">
        <v>2599</v>
      </c>
      <c r="L370" s="3125" t="s">
        <v>2600</v>
      </c>
      <c r="M370" s="3126" t="s">
        <v>2601</v>
      </c>
      <c r="N370" s="747">
        <f>SUMPRODUCT((A371:A460=ROUNDDOWN(基准地价修正!G3,1))*(B370:M370=基准地价修正!G2)*(B371:M460))</f>
        <v>1.0995999999999999</v>
      </c>
      <c r="Q370" s="3136" t="s">
        <v>2799</v>
      </c>
      <c r="R370" s="3136" t="s">
        <v>2800</v>
      </c>
      <c r="S370" s="3136" t="s">
        <v>2801</v>
      </c>
      <c r="T370" s="3136" t="s">
        <v>2802</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89"/>
      <c r="B4" s="3468" t="s">
        <v>917</v>
      </c>
      <c r="C4" s="3468"/>
      <c r="D4" s="3468"/>
      <c r="E4" s="1489"/>
    </row>
    <row r="5" spans="1:5" ht="16.5" thickTop="1">
      <c r="A5" s="1487"/>
      <c r="B5" s="3466" t="s">
        <v>909</v>
      </c>
      <c r="C5" s="1490" t="s">
        <v>910</v>
      </c>
      <c r="D5" s="847" t="e">
        <f ca="1">结果表!H101</f>
        <v>#REF!</v>
      </c>
      <c r="E5" s="1487"/>
    </row>
    <row r="6" spans="1:5" ht="15.75">
      <c r="A6" s="1487"/>
      <c r="B6" s="3466"/>
      <c r="C6" s="1490" t="s">
        <v>911</v>
      </c>
      <c r="D6" s="847" t="e">
        <f ca="1">NUMBERSTRING(INT(D5*10000),2)&amp;"元整"</f>
        <v>#REF!</v>
      </c>
      <c r="E6" s="1487"/>
    </row>
    <row r="7" spans="1:5" ht="15.75">
      <c r="A7" s="1487"/>
      <c r="B7" s="3471"/>
      <c r="C7" s="1491" t="s">
        <v>912</v>
      </c>
      <c r="D7" s="848" t="e">
        <f ca="1">结果表!H102</f>
        <v>#REF!</v>
      </c>
      <c r="E7" s="1487"/>
    </row>
    <row r="8" spans="1:5" ht="15.75">
      <c r="A8" s="1487"/>
      <c r="B8" s="3472" t="str">
        <f>结果表!E103</f>
        <v>2.估价师知悉的法定优先受偿款</v>
      </c>
      <c r="C8" s="1492" t="s">
        <v>913</v>
      </c>
      <c r="D8" s="848">
        <f>结果表!H103</f>
        <v>0</v>
      </c>
      <c r="E8" s="1487"/>
    </row>
    <row r="9" spans="1:5" ht="15.75">
      <c r="A9" s="1487"/>
      <c r="B9" s="3474"/>
      <c r="C9" s="1490" t="s">
        <v>911</v>
      </c>
      <c r="D9" s="847" t="str">
        <f>NUMBERSTRING(INT(D8*10000),2)&amp;"元整"</f>
        <v>零元整</v>
      </c>
      <c r="E9" s="1487"/>
    </row>
    <row r="10" spans="1:5" ht="15">
      <c r="A10" s="1487"/>
      <c r="B10" s="1493" t="s">
        <v>916</v>
      </c>
      <c r="C10" s="1494" t="s">
        <v>914</v>
      </c>
      <c r="D10" s="849">
        <f>结果表!H104</f>
        <v>0</v>
      </c>
      <c r="E10" s="1487"/>
    </row>
    <row r="11" spans="1:5" ht="15">
      <c r="A11" s="1487"/>
      <c r="B11" s="1493" t="s">
        <v>918</v>
      </c>
      <c r="C11" s="1494" t="s">
        <v>919</v>
      </c>
      <c r="D11" s="849">
        <f>结果表!H105</f>
        <v>0</v>
      </c>
      <c r="E11" s="1487"/>
    </row>
    <row r="12" spans="1:5" ht="15">
      <c r="A12" s="1487"/>
      <c r="B12" s="1493" t="s">
        <v>920</v>
      </c>
      <c r="C12" s="1494" t="s">
        <v>919</v>
      </c>
      <c r="D12" s="849">
        <f>结果表!H106</f>
        <v>0</v>
      </c>
      <c r="E12" s="1487"/>
    </row>
    <row r="13" spans="1:5" ht="15.75">
      <c r="A13" s="1487"/>
      <c r="B13" s="3465" t="str">
        <f>结果表!E107</f>
        <v>3.房地产抵押价值</v>
      </c>
      <c r="C13" s="1495" t="s">
        <v>910</v>
      </c>
      <c r="D13" s="850" t="e">
        <f ca="1">结果表!H107</f>
        <v>#REF!</v>
      </c>
      <c r="E13" s="1487"/>
    </row>
    <row r="14" spans="1:5" ht="15.75">
      <c r="A14" s="1487"/>
      <c r="B14" s="3466"/>
      <c r="C14" s="1490" t="s">
        <v>911</v>
      </c>
      <c r="D14" s="847" t="e">
        <f ca="1">NUMBERSTRING(INT(D13*10000),2)&amp;"元整"</f>
        <v>#REF!</v>
      </c>
      <c r="E14" s="1487"/>
    </row>
    <row r="15" spans="1:5" ht="15">
      <c r="A15" s="1487"/>
      <c r="B15" s="3471"/>
      <c r="C15" s="1491" t="s">
        <v>921</v>
      </c>
      <c r="D15" s="856" t="e">
        <f ca="1">结果表!H108</f>
        <v>#REF!</v>
      </c>
      <c r="E15" s="1487"/>
    </row>
    <row r="16" spans="1:5" ht="15">
      <c r="A16" s="1487"/>
      <c r="B16" s="3472" t="str">
        <f>结果表!E109</f>
        <v>——</v>
      </c>
      <c r="C16" s="1495" t="s">
        <v>922</v>
      </c>
      <c r="D16" s="1496" t="str">
        <f>结果表!H109</f>
        <v>——</v>
      </c>
      <c r="E16" s="1487"/>
    </row>
    <row r="17" spans="1:5" ht="15.75">
      <c r="A17" s="1487"/>
      <c r="B17" s="3473"/>
      <c r="C17" s="1490" t="s">
        <v>923</v>
      </c>
      <c r="D17" s="847" t="e">
        <f>NUMBERSTRING(INT(D16*10000),2)&amp;"元整"</f>
        <v>#VALUE!</v>
      </c>
      <c r="E17" s="1487"/>
    </row>
    <row r="18" spans="1:5" ht="15">
      <c r="A18" s="1487"/>
      <c r="B18" s="3474"/>
      <c r="C18" s="1491" t="s">
        <v>912</v>
      </c>
      <c r="D18" s="856" t="str">
        <f>结果表!H110</f>
        <v>——</v>
      </c>
      <c r="E18" s="1487"/>
    </row>
    <row r="19" spans="1:5" ht="15.75">
      <c r="A19" s="1487"/>
      <c r="B19" s="3465" t="str">
        <f>结果表!E111</f>
        <v>——</v>
      </c>
      <c r="C19" s="1495" t="s">
        <v>910</v>
      </c>
      <c r="D19" s="848" t="str">
        <f>结果表!H111</f>
        <v>——</v>
      </c>
      <c r="E19" s="1487"/>
    </row>
    <row r="20" spans="1:5" ht="15.75">
      <c r="A20" s="1487"/>
      <c r="B20" s="3466"/>
      <c r="C20" s="1490" t="s">
        <v>923</v>
      </c>
      <c r="D20" s="847" t="e">
        <f>NUMBERSTRING(INT(D19*10000),2)&amp;"元整"</f>
        <v>#VALUE!</v>
      </c>
      <c r="E20" s="1487"/>
    </row>
    <row r="21" spans="1:5" ht="15.75" thickBot="1">
      <c r="A21" s="1487"/>
      <c r="B21" s="3467"/>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35733</v>
      </c>
      <c r="C2" s="2" t="s">
        <v>106</v>
      </c>
      <c r="D2" s="199"/>
      <c r="E2" s="199"/>
      <c r="F2" s="199"/>
      <c r="G2" s="199"/>
    </row>
    <row r="3" spans="1:7" s="200" customFormat="1" ht="18" customHeight="1" thickBot="1">
      <c r="A3" s="203" t="s">
        <v>58</v>
      </c>
      <c r="B3" s="204">
        <f ca="1">ROUND(B2*10000/'数据-汇总表'!E3,0)</f>
        <v>32675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219</v>
      </c>
      <c r="D10" s="842">
        <f>'数据-汇总表'!E6</f>
        <v>10935.989999999998</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219</v>
      </c>
      <c r="D19" s="846">
        <f>'数据-汇总表'!E3</f>
        <v>10935.989999999998</v>
      </c>
      <c r="E19" s="211">
        <f>'数据-取费表'!B31</f>
        <v>200</v>
      </c>
      <c r="F19" s="231"/>
      <c r="G19" s="1" t="s">
        <v>436</v>
      </c>
    </row>
    <row r="20" spans="1:7" s="214" customFormat="1" ht="13.5" customHeight="1">
      <c r="A20" s="774" t="s">
        <v>419</v>
      </c>
      <c r="B20" s="210" t="s">
        <v>77</v>
      </c>
      <c r="C20" s="232">
        <f>ROUND((C5+C19)*F20,0)</f>
        <v>417</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1476</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1447</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15</v>
      </c>
      <c r="D24" s="238"/>
      <c r="E24" s="238"/>
      <c r="F24" s="239"/>
      <c r="G24" s="240" t="s">
        <v>82</v>
      </c>
    </row>
    <row r="25" spans="1:7" s="214" customFormat="1" ht="24">
      <c r="A25" s="777" t="s">
        <v>348</v>
      </c>
      <c r="B25" s="215" t="s">
        <v>420</v>
      </c>
      <c r="C25" s="1102">
        <f ca="1">ROUND(IF('数据-取费表'!B22&lt;=1,C20*F22*'数据-取费表'!B23/2,C20*(POWER((1+F22),'数据-取费表'!B23/2)-1)),0)</f>
        <v>14</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3187</v>
      </c>
      <c r="D27" s="235">
        <f>C29</f>
        <v>3.0000000000000001E-3</v>
      </c>
      <c r="E27" s="236" t="s">
        <v>99</v>
      </c>
      <c r="F27" s="246">
        <f>'数据-取费表'!Q16</f>
        <v>0.15</v>
      </c>
      <c r="G27" s="247" t="s">
        <v>431</v>
      </c>
    </row>
    <row r="28" spans="1:7" s="214" customFormat="1" ht="13.5" customHeight="1">
      <c r="A28" s="777" t="s">
        <v>349</v>
      </c>
      <c r="B28" s="248" t="s">
        <v>424</v>
      </c>
      <c r="C28" s="249">
        <f>ROUND((C5+C19+C20)*F27*'数据-取费表'!B21/'数据-取费表'!B20,0)</f>
        <v>3187</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28071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6504</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6015</v>
      </c>
      <c r="D34" s="217"/>
      <c r="E34" s="220"/>
      <c r="F34" s="257">
        <f>IF('数据-取费表'!B24=0,1,'数据-取费表'!N16)</f>
        <v>1</v>
      </c>
      <c r="G34" s="219" t="s">
        <v>89</v>
      </c>
    </row>
    <row r="35" spans="1:7" ht="13.5" customHeight="1">
      <c r="A35" s="777" t="s">
        <v>351</v>
      </c>
      <c r="B35" s="215" t="s">
        <v>33</v>
      </c>
      <c r="C35" s="220">
        <f>ROUND(C34*F35,0)</f>
        <v>180</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219</v>
      </c>
      <c r="D37" s="217">
        <f>'数据-汇总表'!E3</f>
        <v>10935.989999999998</v>
      </c>
      <c r="E37" s="249">
        <f>'数据-取费表'!B35</f>
        <v>200</v>
      </c>
      <c r="F37" s="259"/>
      <c r="G37" s="261" t="s">
        <v>92</v>
      </c>
    </row>
    <row r="38" spans="1:7" ht="13.5" customHeight="1">
      <c r="A38" s="777" t="s">
        <v>354</v>
      </c>
      <c r="B38" s="215" t="s">
        <v>36</v>
      </c>
      <c r="C38" s="220">
        <f>ROUND(C34*F38,0)</f>
        <v>90</v>
      </c>
      <c r="D38" s="220"/>
      <c r="E38" s="220"/>
      <c r="F38" s="259">
        <f>'数据-取费表'!B36</f>
        <v>1.4999999999999999E-2</v>
      </c>
      <c r="G38" s="219" t="s">
        <v>90</v>
      </c>
    </row>
    <row r="39" spans="1:7" s="214" customFormat="1" ht="13.5" customHeight="1">
      <c r="A39" s="774" t="s">
        <v>338</v>
      </c>
      <c r="B39" s="210" t="s">
        <v>77</v>
      </c>
      <c r="C39" s="232">
        <f>ROUND(C33*F20,0)</f>
        <v>130</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228</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224</v>
      </c>
      <c r="D42" s="238"/>
      <c r="E42" s="238"/>
      <c r="F42" s="239"/>
      <c r="G42" s="3647" t="s">
        <v>94</v>
      </c>
    </row>
    <row r="43" spans="1:7" ht="13.5" customHeight="1">
      <c r="A43" s="777" t="s">
        <v>347</v>
      </c>
      <c r="B43" s="215" t="s">
        <v>426</v>
      </c>
      <c r="C43" s="238">
        <f ca="1">ROUND(IF('数据-取费表'!B22&lt;=1,C39*F22*'数据-取费表'!B21/2,C39*(POWER((1+F22),'数据-取费表'!B21/2)-1)),0)</f>
        <v>4</v>
      </c>
      <c r="D43" s="238"/>
      <c r="E43" s="238"/>
      <c r="F43" s="239"/>
      <c r="G43" s="3648"/>
    </row>
    <row r="44" spans="1:7" ht="13.5" customHeight="1">
      <c r="A44" s="777" t="s">
        <v>348</v>
      </c>
      <c r="B44" s="215" t="s">
        <v>428</v>
      </c>
      <c r="C44" s="238">
        <f ca="1">ROUND(IF('数据-取费表'!B22&lt;=1,C40*F22*'数据-取费表'!B21/2,C40*(POWER((1+F22),'数据-取费表'!B21/2)-1)),4)</f>
        <v>6.9999999999999999E-4</v>
      </c>
      <c r="D44" s="238"/>
      <c r="E44" s="238"/>
      <c r="F44" s="239"/>
      <c r="G44" s="3649"/>
    </row>
    <row r="45" spans="1:7" s="214" customFormat="1" ht="13.5" customHeight="1">
      <c r="A45" s="774" t="s">
        <v>341</v>
      </c>
      <c r="B45" s="244" t="s">
        <v>85</v>
      </c>
      <c r="C45" s="245">
        <f>C46</f>
        <v>995</v>
      </c>
      <c r="D45" s="235">
        <f>C47</f>
        <v>3.0000000000000001E-3</v>
      </c>
      <c r="E45" s="236" t="s">
        <v>102</v>
      </c>
      <c r="F45" s="246"/>
      <c r="G45" s="247" t="s">
        <v>434</v>
      </c>
    </row>
    <row r="46" spans="1:7" s="214" customFormat="1" ht="13.5" customHeight="1">
      <c r="A46" s="777" t="s">
        <v>349</v>
      </c>
      <c r="B46" s="248" t="s">
        <v>427</v>
      </c>
      <c r="C46" s="249">
        <f>ROUND((C33+C39)*F27,0)</f>
        <v>995</v>
      </c>
      <c r="D46" s="263"/>
      <c r="E46" s="236"/>
      <c r="F46" s="246"/>
      <c r="G46" s="247"/>
    </row>
    <row r="47" spans="1:7" s="214" customFormat="1" ht="13.5" customHeight="1">
      <c r="A47" s="777" t="s">
        <v>347</v>
      </c>
      <c r="B47" s="248" t="s">
        <v>429</v>
      </c>
      <c r="C47" s="238">
        <f>ROUND(C40*F27,4)</f>
        <v>3.0000000000000001E-3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8513</v>
      </c>
      <c r="D49" s="232"/>
      <c r="E49" s="232"/>
      <c r="F49" s="264"/>
      <c r="G49" s="234" t="s">
        <v>435</v>
      </c>
    </row>
    <row r="50" spans="1:7" s="258" customFormat="1" ht="24">
      <c r="A50" s="774" t="s">
        <v>344</v>
      </c>
      <c r="B50" s="210" t="s">
        <v>97</v>
      </c>
      <c r="C50" s="232"/>
      <c r="D50" s="232"/>
      <c r="E50" s="232"/>
      <c r="F50" s="264">
        <f>IF('数据-取费表'!B24=0,'数据-取费表'!N16,1)</f>
        <v>0.9</v>
      </c>
      <c r="G50" s="247" t="s">
        <v>98</v>
      </c>
    </row>
    <row r="51" spans="1:7" ht="16.5" customHeight="1">
      <c r="A51" s="774" t="s">
        <v>345</v>
      </c>
      <c r="B51" s="210" t="s">
        <v>105</v>
      </c>
      <c r="C51" s="232">
        <f ca="1">ROUND(C49*F50,0)</f>
        <v>7662</v>
      </c>
      <c r="D51" s="232"/>
      <c r="E51" s="232"/>
      <c r="F51" s="264"/>
      <c r="G51" s="234" t="s">
        <v>37</v>
      </c>
    </row>
    <row r="52" spans="1:7" s="208" customFormat="1" ht="16.5" thickBot="1">
      <c r="A52" s="265" t="s">
        <v>38</v>
      </c>
      <c r="B52" s="266"/>
      <c r="C52" s="267">
        <f ca="1">C31+C51</f>
        <v>35733</v>
      </c>
      <c r="D52" s="266"/>
      <c r="E52" s="266"/>
      <c r="F52" s="266"/>
      <c r="G52" s="268"/>
    </row>
    <row r="55" spans="1:7" ht="15">
      <c r="B55" s="270" t="s">
        <v>39</v>
      </c>
      <c r="C55" s="271"/>
    </row>
    <row r="56" spans="1:7">
      <c r="B56" s="273" t="s">
        <v>40</v>
      </c>
      <c r="C56" s="274">
        <f ca="1">ROUND(C51/C52,3)</f>
        <v>0.214</v>
      </c>
    </row>
    <row r="57" spans="1:7">
      <c r="B57" s="273" t="s">
        <v>41</v>
      </c>
      <c r="C57" s="275">
        <f ca="1">1-C56</f>
        <v>0.78600000000000003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1" t="s">
        <v>2834</v>
      </c>
      <c r="B1" s="3791"/>
      <c r="C1" s="3791"/>
      <c r="D1" s="3791"/>
      <c r="E1" s="3791"/>
      <c r="F1" s="3791"/>
      <c r="G1" s="3792"/>
      <c r="I1" s="3217" t="s">
        <v>2835</v>
      </c>
      <c r="J1" s="3218" t="s">
        <v>2836</v>
      </c>
      <c r="K1" s="3218" t="s">
        <v>2837</v>
      </c>
      <c r="L1" s="3218" t="s">
        <v>2838</v>
      </c>
      <c r="M1" s="3218" t="s">
        <v>2839</v>
      </c>
      <c r="N1" s="3218" t="s">
        <v>2840</v>
      </c>
      <c r="O1" s="3218" t="s">
        <v>2841</v>
      </c>
      <c r="P1" s="3218" t="s">
        <v>2842</v>
      </c>
      <c r="Q1" s="3218" t="s">
        <v>2843</v>
      </c>
      <c r="R1" s="3218" t="s">
        <v>2844</v>
      </c>
      <c r="S1" s="3218" t="s">
        <v>2845</v>
      </c>
      <c r="T1" s="3219" t="s">
        <v>2846</v>
      </c>
    </row>
    <row r="2" spans="1:20" ht="12" thickBot="1">
      <c r="A2" s="3221" t="s">
        <v>2847</v>
      </c>
      <c r="B2" s="3221"/>
      <c r="C2" s="3221"/>
      <c r="D2" s="3221"/>
      <c r="E2" s="3221"/>
      <c r="F2" s="3221"/>
      <c r="G2" s="3222" t="s">
        <v>2848</v>
      </c>
      <c r="I2" s="3223" t="s">
        <v>2849</v>
      </c>
      <c r="J2" s="3223" t="s">
        <v>2850</v>
      </c>
      <c r="K2" s="3223" t="s">
        <v>2851</v>
      </c>
      <c r="L2" s="3223" t="s">
        <v>2852</v>
      </c>
      <c r="M2" s="3223" t="s">
        <v>2853</v>
      </c>
      <c r="N2" s="3223" t="s">
        <v>2854</v>
      </c>
      <c r="O2" s="3223" t="s">
        <v>2855</v>
      </c>
      <c r="P2" s="3223" t="s">
        <v>2856</v>
      </c>
      <c r="Q2" s="3223" t="s">
        <v>2857</v>
      </c>
      <c r="R2" s="3223" t="s">
        <v>2858</v>
      </c>
      <c r="S2" s="3223" t="s">
        <v>2859</v>
      </c>
      <c r="T2" s="3223" t="s">
        <v>2860</v>
      </c>
    </row>
    <row r="3" spans="1:20" s="3229" customFormat="1">
      <c r="A3" s="3789" t="s">
        <v>2861</v>
      </c>
      <c r="B3" s="3224"/>
      <c r="C3" s="3225" t="s">
        <v>2806</v>
      </c>
      <c r="D3" s="3225" t="s">
        <v>2862</v>
      </c>
      <c r="E3" s="3225" t="s">
        <v>2808</v>
      </c>
      <c r="F3" s="3225" t="s">
        <v>2863</v>
      </c>
      <c r="G3" s="3225" t="s">
        <v>2626</v>
      </c>
      <c r="H3" s="3226"/>
      <c r="I3" s="3227" t="s">
        <v>2864</v>
      </c>
      <c r="J3" s="3228" t="s">
        <v>128</v>
      </c>
      <c r="K3" s="3228" t="s">
        <v>129</v>
      </c>
      <c r="L3" s="3227" t="s">
        <v>130</v>
      </c>
      <c r="M3" s="3227" t="s">
        <v>131</v>
      </c>
      <c r="N3" s="3227" t="s">
        <v>132</v>
      </c>
      <c r="O3" s="3227" t="s">
        <v>133</v>
      </c>
      <c r="P3" s="3227" t="s">
        <v>134</v>
      </c>
      <c r="Q3" s="3227" t="s">
        <v>135</v>
      </c>
      <c r="R3" s="3227" t="s">
        <v>136</v>
      </c>
      <c r="S3" s="3227" t="s">
        <v>2865</v>
      </c>
      <c r="T3" s="3227" t="s">
        <v>2866</v>
      </c>
    </row>
    <row r="4" spans="1:20" s="3229" customFormat="1" ht="12" thickBot="1">
      <c r="A4" s="3790"/>
      <c r="B4" s="3230" t="s">
        <v>2867</v>
      </c>
      <c r="C4" s="3230" t="s">
        <v>2868</v>
      </c>
      <c r="D4" s="3230" t="s">
        <v>2868</v>
      </c>
      <c r="E4" s="3230" t="s">
        <v>2868</v>
      </c>
      <c r="F4" s="3231" t="s">
        <v>2868</v>
      </c>
      <c r="G4" s="3231" t="s">
        <v>2868</v>
      </c>
      <c r="H4" s="3226"/>
      <c r="I4" s="3228" t="s">
        <v>137</v>
      </c>
      <c r="J4" s="3228" t="s">
        <v>111</v>
      </c>
      <c r="K4" s="3228" t="s">
        <v>138</v>
      </c>
      <c r="L4" s="3227" t="s">
        <v>139</v>
      </c>
      <c r="M4" s="3227" t="s">
        <v>140</v>
      </c>
      <c r="N4" s="3227" t="s">
        <v>141</v>
      </c>
      <c r="O4" s="3227" t="s">
        <v>142</v>
      </c>
      <c r="P4" s="3227" t="s">
        <v>143</v>
      </c>
      <c r="Q4" s="3227" t="s">
        <v>2869</v>
      </c>
      <c r="R4" s="3227" t="s">
        <v>2870</v>
      </c>
      <c r="S4" s="3227" t="s">
        <v>2871</v>
      </c>
      <c r="T4" s="3227" t="s">
        <v>2872</v>
      </c>
    </row>
    <row r="5" spans="1:20">
      <c r="A5" s="3232" t="s">
        <v>2835</v>
      </c>
      <c r="B5" s="3223" t="s">
        <v>2849</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2873</v>
      </c>
      <c r="R5" s="3227" t="s">
        <v>2874</v>
      </c>
      <c r="S5" s="3227" t="s">
        <v>153</v>
      </c>
      <c r="T5" s="3227" t="s">
        <v>2875</v>
      </c>
    </row>
    <row r="6" spans="1:20" ht="12" thickBot="1">
      <c r="A6" s="3227" t="s">
        <v>144</v>
      </c>
      <c r="B6" s="3227" t="s">
        <v>2864</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2876</v>
      </c>
      <c r="Q6" s="3227" t="s">
        <v>2877</v>
      </c>
      <c r="R6" s="3227" t="s">
        <v>161</v>
      </c>
      <c r="S6" s="3227" t="s">
        <v>2878</v>
      </c>
      <c r="T6" s="3227" t="s">
        <v>2879</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2880</v>
      </c>
      <c r="Q7" s="3227" t="s">
        <v>2881</v>
      </c>
      <c r="R7" s="3227" t="s">
        <v>2882</v>
      </c>
      <c r="S7" s="3227" t="s">
        <v>2883</v>
      </c>
      <c r="T7" s="3227" t="s">
        <v>2884</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2885</v>
      </c>
      <c r="Q8" s="3227" t="s">
        <v>174</v>
      </c>
      <c r="R8" s="3227" t="s">
        <v>2886</v>
      </c>
      <c r="S8" s="3227" t="s">
        <v>2887</v>
      </c>
      <c r="T8" s="3234" t="s">
        <v>2888</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2889</v>
      </c>
      <c r="Q9" s="3227" t="s">
        <v>182</v>
      </c>
      <c r="R9" s="3227" t="s">
        <v>183</v>
      </c>
      <c r="S9" s="3227" t="s">
        <v>200</v>
      </c>
    </row>
    <row r="10" spans="1:20">
      <c r="A10" s="3232" t="s">
        <v>184</v>
      </c>
      <c r="B10" s="3223" t="s">
        <v>2850</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2890</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2891</v>
      </c>
      <c r="P11" s="3227" t="s">
        <v>191</v>
      </c>
      <c r="Q11" s="3227" t="s">
        <v>199</v>
      </c>
      <c r="R11" s="3227" t="s">
        <v>2892</v>
      </c>
      <c r="S11" s="3227" t="s">
        <v>2893</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2894</v>
      </c>
      <c r="P12" s="3227" t="s">
        <v>2895</v>
      </c>
      <c r="Q12" s="3227" t="s">
        <v>2896</v>
      </c>
      <c r="R12" s="3227" t="s">
        <v>2897</v>
      </c>
      <c r="S12" s="3227" t="s">
        <v>2898</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2899</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2900</v>
      </c>
      <c r="K14" s="3228" t="s">
        <v>215</v>
      </c>
      <c r="L14" s="3227" t="s">
        <v>216</v>
      </c>
      <c r="M14" s="3227" t="s">
        <v>217</v>
      </c>
      <c r="N14" s="3227" t="s">
        <v>218</v>
      </c>
      <c r="O14" s="3227" t="s">
        <v>240</v>
      </c>
      <c r="P14" s="3227" t="s">
        <v>213</v>
      </c>
      <c r="Q14" s="3227" t="s">
        <v>2901</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2902</v>
      </c>
      <c r="P15" s="3227" t="s">
        <v>2903</v>
      </c>
      <c r="Q15" s="3227" t="s">
        <v>242</v>
      </c>
      <c r="R15" s="3227" t="s">
        <v>2904</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2905</v>
      </c>
      <c r="P16" s="3227" t="s">
        <v>227</v>
      </c>
      <c r="Q16" s="3227" t="s">
        <v>250</v>
      </c>
      <c r="R16" s="3227" t="s">
        <v>207</v>
      </c>
      <c r="S16" s="3227" t="s">
        <v>2906</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2907</v>
      </c>
      <c r="P17" s="3227" t="s">
        <v>2908</v>
      </c>
      <c r="Q17" s="3227" t="s">
        <v>256</v>
      </c>
      <c r="R17" s="3227" t="s">
        <v>2909</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2910</v>
      </c>
      <c r="P18" s="3227" t="s">
        <v>241</v>
      </c>
      <c r="Q18" s="3227" t="s">
        <v>2911</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2912</v>
      </c>
      <c r="P19" s="3227" t="s">
        <v>249</v>
      </c>
      <c r="Q19" s="3227" t="s">
        <v>2913</v>
      </c>
      <c r="R19" s="3227" t="s">
        <v>265</v>
      </c>
      <c r="S19" s="3227" t="s">
        <v>2914</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2915</v>
      </c>
      <c r="P20" s="3227" t="s">
        <v>2916</v>
      </c>
      <c r="Q20" s="3227" t="s">
        <v>290</v>
      </c>
      <c r="R20" s="3227" t="s">
        <v>2917</v>
      </c>
      <c r="S20" s="3227" t="s">
        <v>277</v>
      </c>
    </row>
    <row r="21" spans="1:19" ht="14.25" customHeight="1" thickBot="1">
      <c r="A21" s="3227" t="s">
        <v>184</v>
      </c>
      <c r="B21" s="3228" t="s">
        <v>208</v>
      </c>
      <c r="C21" s="3227">
        <v>32370</v>
      </c>
      <c r="D21" s="3227">
        <v>26730</v>
      </c>
      <c r="E21" s="3227">
        <v>26640</v>
      </c>
      <c r="F21" s="3227"/>
      <c r="G21" s="3227">
        <v>19440</v>
      </c>
      <c r="J21" s="3234" t="s">
        <v>2918</v>
      </c>
      <c r="K21" s="3228" t="s">
        <v>267</v>
      </c>
      <c r="L21" s="3227" t="s">
        <v>268</v>
      </c>
      <c r="M21" s="3227" t="s">
        <v>269</v>
      </c>
      <c r="N21" s="3227" t="s">
        <v>270</v>
      </c>
      <c r="O21" s="3227" t="s">
        <v>264</v>
      </c>
      <c r="P21" s="3227" t="s">
        <v>283</v>
      </c>
      <c r="Q21" s="3227" t="s">
        <v>293</v>
      </c>
      <c r="R21" s="3227" t="s">
        <v>2919</v>
      </c>
      <c r="S21" s="3234" t="s">
        <v>2920</v>
      </c>
    </row>
    <row r="22" spans="1:19" ht="14.25" customHeight="1">
      <c r="A22" s="3227" t="s">
        <v>184</v>
      </c>
      <c r="B22" s="3228" t="s">
        <v>2900</v>
      </c>
      <c r="C22" s="3227">
        <v>29830</v>
      </c>
      <c r="D22" s="3227">
        <v>27600</v>
      </c>
      <c r="E22" s="3227">
        <v>28150</v>
      </c>
      <c r="F22" s="3227"/>
      <c r="G22" s="3227">
        <v>20080</v>
      </c>
      <c r="K22" s="3228" t="s">
        <v>2921</v>
      </c>
      <c r="L22" s="3227" t="s">
        <v>272</v>
      </c>
      <c r="M22" s="3227" t="s">
        <v>273</v>
      </c>
      <c r="N22" s="3227" t="s">
        <v>274</v>
      </c>
      <c r="O22" s="3227" t="s">
        <v>2922</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2923</v>
      </c>
      <c r="L23" s="3227" t="s">
        <v>278</v>
      </c>
      <c r="M23" s="3227" t="s">
        <v>279</v>
      </c>
      <c r="N23" s="3227" t="s">
        <v>2924</v>
      </c>
      <c r="O23" s="3227" t="s">
        <v>2925</v>
      </c>
      <c r="P23" s="3227" t="s">
        <v>289</v>
      </c>
      <c r="Q23" s="3227" t="s">
        <v>298</v>
      </c>
      <c r="R23" s="3227" t="s">
        <v>2926</v>
      </c>
    </row>
    <row r="24" spans="1:19" ht="14.25" customHeight="1">
      <c r="A24" s="3227" t="s">
        <v>184</v>
      </c>
      <c r="B24" s="3228" t="s">
        <v>230</v>
      </c>
      <c r="C24" s="3227">
        <v>27930</v>
      </c>
      <c r="D24" s="3227">
        <v>32260</v>
      </c>
      <c r="E24" s="3227">
        <v>32120</v>
      </c>
      <c r="F24" s="3227"/>
      <c r="G24" s="3227">
        <v>23470</v>
      </c>
      <c r="K24" s="3228" t="s">
        <v>2927</v>
      </c>
      <c r="L24" s="3227" t="s">
        <v>281</v>
      </c>
      <c r="M24" s="3227" t="s">
        <v>282</v>
      </c>
      <c r="N24" s="3227" t="s">
        <v>2928</v>
      </c>
      <c r="O24" s="3227" t="s">
        <v>285</v>
      </c>
      <c r="P24" s="3227" t="s">
        <v>2929</v>
      </c>
      <c r="Q24" s="3236" t="s">
        <v>2930</v>
      </c>
      <c r="R24" s="3227" t="s">
        <v>2931</v>
      </c>
    </row>
    <row r="25" spans="1:19" ht="14.25" customHeight="1">
      <c r="A25" s="3227" t="s">
        <v>184</v>
      </c>
      <c r="B25" s="3228" t="s">
        <v>235</v>
      </c>
      <c r="C25" s="3227">
        <v>32230</v>
      </c>
      <c r="D25" s="3227">
        <v>29640</v>
      </c>
      <c r="E25" s="3227">
        <v>29510</v>
      </c>
      <c r="F25" s="3227"/>
      <c r="G25" s="3227">
        <v>21560</v>
      </c>
      <c r="K25" s="3228" t="s">
        <v>2932</v>
      </c>
      <c r="L25" s="3227" t="s">
        <v>2933</v>
      </c>
      <c r="M25" s="3227" t="s">
        <v>284</v>
      </c>
      <c r="N25" s="3227" t="s">
        <v>292</v>
      </c>
      <c r="O25" s="3227" t="s">
        <v>288</v>
      </c>
      <c r="P25" s="3227" t="s">
        <v>275</v>
      </c>
      <c r="Q25" s="3236" t="s">
        <v>271</v>
      </c>
      <c r="R25" s="3227" t="s">
        <v>2934</v>
      </c>
    </row>
    <row r="26" spans="1:19" ht="14.25" customHeight="1" thickBot="1">
      <c r="A26" s="3227" t="s">
        <v>184</v>
      </c>
      <c r="B26" s="3228" t="s">
        <v>244</v>
      </c>
      <c r="C26" s="3227">
        <v>31690</v>
      </c>
      <c r="D26" s="3227">
        <v>27650</v>
      </c>
      <c r="E26" s="3227">
        <v>28200</v>
      </c>
      <c r="F26" s="3227"/>
      <c r="G26" s="3227">
        <v>20110</v>
      </c>
      <c r="K26" s="3233" t="s">
        <v>2935</v>
      </c>
      <c r="L26" s="3227" t="s">
        <v>2936</v>
      </c>
      <c r="M26" s="3227" t="s">
        <v>287</v>
      </c>
      <c r="N26" s="3227" t="s">
        <v>294</v>
      </c>
      <c r="O26" s="3227" t="s">
        <v>2937</v>
      </c>
      <c r="P26" s="3227" t="s">
        <v>2938</v>
      </c>
      <c r="Q26" s="3236" t="s">
        <v>276</v>
      </c>
      <c r="R26" s="3227" t="s">
        <v>2939</v>
      </c>
    </row>
    <row r="27" spans="1:19" ht="14.25" customHeight="1">
      <c r="A27" s="3227" t="s">
        <v>184</v>
      </c>
      <c r="B27" s="3228" t="s">
        <v>251</v>
      </c>
      <c r="C27" s="3227">
        <v>29610</v>
      </c>
      <c r="D27" s="3227">
        <v>27770</v>
      </c>
      <c r="E27" s="3227">
        <v>28300</v>
      </c>
      <c r="F27" s="3227"/>
      <c r="G27" s="3227">
        <v>20210</v>
      </c>
      <c r="L27" s="3227" t="s">
        <v>2940</v>
      </c>
      <c r="M27" s="3227" t="s">
        <v>291</v>
      </c>
      <c r="N27" s="3227" t="s">
        <v>297</v>
      </c>
      <c r="O27" s="3227" t="s">
        <v>2941</v>
      </c>
      <c r="P27" s="3227" t="s">
        <v>2942</v>
      </c>
      <c r="Q27" s="3227" t="s">
        <v>2943</v>
      </c>
      <c r="R27" s="3227" t="s">
        <v>2944</v>
      </c>
    </row>
    <row r="28" spans="1:19" ht="14.25" customHeight="1">
      <c r="A28" s="3227" t="s">
        <v>184</v>
      </c>
      <c r="B28" s="3228" t="s">
        <v>259</v>
      </c>
      <c r="C28" s="3227"/>
      <c r="D28" s="3227">
        <v>31520</v>
      </c>
      <c r="E28" s="3227">
        <v>31410</v>
      </c>
      <c r="F28" s="3227"/>
      <c r="G28" s="3227">
        <v>22940</v>
      </c>
      <c r="L28" s="3227" t="s">
        <v>2945</v>
      </c>
      <c r="M28" s="3227" t="s">
        <v>2946</v>
      </c>
      <c r="N28" s="3227" t="s">
        <v>2947</v>
      </c>
      <c r="O28" s="3227" t="s">
        <v>2948</v>
      </c>
      <c r="P28" s="3227" t="s">
        <v>2949</v>
      </c>
      <c r="Q28" s="3227" t="s">
        <v>2950</v>
      </c>
      <c r="R28" s="3227" t="s">
        <v>2951</v>
      </c>
    </row>
    <row r="29" spans="1:19" ht="14.25" customHeight="1" thickBot="1">
      <c r="A29" s="3235" t="s">
        <v>184</v>
      </c>
      <c r="B29" s="3237" t="s">
        <v>2918</v>
      </c>
      <c r="C29" s="3238"/>
      <c r="D29" s="3238">
        <v>29460</v>
      </c>
      <c r="E29" s="3238">
        <v>28640</v>
      </c>
      <c r="F29" s="3238"/>
      <c r="G29" s="3238">
        <v>21430</v>
      </c>
      <c r="L29" s="3227" t="s">
        <v>2952</v>
      </c>
      <c r="M29" s="3227" t="s">
        <v>2953</v>
      </c>
      <c r="N29" s="3227" t="s">
        <v>2954</v>
      </c>
      <c r="O29" s="3227" t="s">
        <v>2955</v>
      </c>
      <c r="P29" s="3227" t="s">
        <v>2956</v>
      </c>
      <c r="Q29" s="3227" t="s">
        <v>2957</v>
      </c>
      <c r="R29" s="3227" t="s">
        <v>280</v>
      </c>
    </row>
    <row r="30" spans="1:19" ht="14.25" customHeight="1">
      <c r="A30" s="3232" t="s">
        <v>296</v>
      </c>
      <c r="B30" s="3223" t="s">
        <v>2851</v>
      </c>
      <c r="C30" s="3223">
        <v>26890</v>
      </c>
      <c r="D30" s="3223">
        <v>26770</v>
      </c>
      <c r="E30" s="3223">
        <v>25700</v>
      </c>
      <c r="F30" s="3223">
        <v>8180</v>
      </c>
      <c r="G30" s="3239">
        <v>18740</v>
      </c>
      <c r="L30" s="3227" t="s">
        <v>2958</v>
      </c>
      <c r="M30" s="3227" t="s">
        <v>2959</v>
      </c>
      <c r="N30" s="3227" t="s">
        <v>2960</v>
      </c>
      <c r="O30" s="3227" t="s">
        <v>2961</v>
      </c>
      <c r="P30" s="3227" t="s">
        <v>2962</v>
      </c>
      <c r="Q30" s="3227" t="s">
        <v>2963</v>
      </c>
      <c r="R30" s="3227" t="s">
        <v>2964</v>
      </c>
    </row>
    <row r="31" spans="1:19" ht="14.25" customHeight="1">
      <c r="A31" s="3227" t="s">
        <v>296</v>
      </c>
      <c r="B31" s="3228" t="s">
        <v>129</v>
      </c>
      <c r="C31" s="3227">
        <v>24550</v>
      </c>
      <c r="D31" s="3227">
        <v>23990</v>
      </c>
      <c r="E31" s="3227">
        <v>22930</v>
      </c>
      <c r="F31" s="3227">
        <v>7470</v>
      </c>
      <c r="G31" s="3240">
        <v>16790</v>
      </c>
      <c r="L31" s="3227" t="s">
        <v>2965</v>
      </c>
      <c r="M31" s="3227" t="s">
        <v>2966</v>
      </c>
      <c r="N31" s="3227" t="s">
        <v>2967</v>
      </c>
      <c r="O31" s="3227" t="s">
        <v>2968</v>
      </c>
      <c r="P31" s="3227" t="s">
        <v>2969</v>
      </c>
      <c r="Q31" s="3227" t="s">
        <v>2970</v>
      </c>
      <c r="R31" s="3227" t="s">
        <v>2971</v>
      </c>
    </row>
    <row r="32" spans="1:19" ht="14.25" customHeight="1" thickBot="1">
      <c r="A32" s="3227" t="s">
        <v>296</v>
      </c>
      <c r="B32" s="3228" t="s">
        <v>138</v>
      </c>
      <c r="C32" s="3227">
        <v>27210</v>
      </c>
      <c r="D32" s="3227">
        <v>23240</v>
      </c>
      <c r="E32" s="3227">
        <v>23260</v>
      </c>
      <c r="F32" s="3227">
        <v>7130</v>
      </c>
      <c r="G32" s="3240">
        <v>16270</v>
      </c>
      <c r="L32" s="3227" t="s">
        <v>2972</v>
      </c>
      <c r="M32" s="3227" t="s">
        <v>2973</v>
      </c>
      <c r="N32" s="3227" t="s">
        <v>300</v>
      </c>
      <c r="O32" s="3227" t="s">
        <v>2974</v>
      </c>
      <c r="P32" s="3227" t="s">
        <v>299</v>
      </c>
      <c r="Q32" s="3227" t="s">
        <v>2975</v>
      </c>
      <c r="R32" s="3234" t="s">
        <v>2976</v>
      </c>
    </row>
    <row r="33" spans="1:17" ht="14.25" customHeight="1" thickBot="1">
      <c r="A33" s="3227" t="s">
        <v>296</v>
      </c>
      <c r="B33" s="3228" t="s">
        <v>147</v>
      </c>
      <c r="C33" s="3227">
        <v>27300</v>
      </c>
      <c r="D33" s="3227">
        <v>22980</v>
      </c>
      <c r="E33" s="3227">
        <v>24260</v>
      </c>
      <c r="F33" s="3227">
        <v>5860</v>
      </c>
      <c r="G33" s="3240">
        <v>16090</v>
      </c>
      <c r="L33" s="3234" t="s">
        <v>2977</v>
      </c>
      <c r="M33" s="3227" t="s">
        <v>2978</v>
      </c>
      <c r="N33" s="3227" t="s">
        <v>301</v>
      </c>
      <c r="O33" s="3227" t="s">
        <v>2979</v>
      </c>
      <c r="P33" s="3227" t="s">
        <v>2980</v>
      </c>
      <c r="Q33" s="3227" t="s">
        <v>2981</v>
      </c>
    </row>
    <row r="34" spans="1:17" ht="14.25" customHeight="1">
      <c r="A34" s="3227" t="s">
        <v>296</v>
      </c>
      <c r="B34" s="3228" t="s">
        <v>156</v>
      </c>
      <c r="C34" s="3227">
        <v>23090</v>
      </c>
      <c r="D34" s="3227">
        <v>23390</v>
      </c>
      <c r="E34" s="3227">
        <v>23510</v>
      </c>
      <c r="F34" s="3227">
        <v>6700</v>
      </c>
      <c r="G34" s="3240">
        <v>16370</v>
      </c>
      <c r="M34" s="3227" t="s">
        <v>2982</v>
      </c>
      <c r="N34" s="3227" t="s">
        <v>302</v>
      </c>
      <c r="O34" s="3227" t="s">
        <v>2983</v>
      </c>
      <c r="P34" s="3227" t="s">
        <v>2984</v>
      </c>
      <c r="Q34" s="3227" t="s">
        <v>2985</v>
      </c>
    </row>
    <row r="35" spans="1:17" ht="14.25" customHeight="1">
      <c r="A35" s="3227" t="s">
        <v>296</v>
      </c>
      <c r="B35" s="3228" t="s">
        <v>163</v>
      </c>
      <c r="C35" s="3227">
        <v>27270</v>
      </c>
      <c r="D35" s="3227">
        <v>24270</v>
      </c>
      <c r="E35" s="3227">
        <v>24950</v>
      </c>
      <c r="F35" s="3227">
        <v>6600</v>
      </c>
      <c r="G35" s="3240">
        <v>16990</v>
      </c>
      <c r="M35" s="3227" t="s">
        <v>2986</v>
      </c>
      <c r="N35" s="3227" t="s">
        <v>2987</v>
      </c>
      <c r="O35" s="3227" t="s">
        <v>2988</v>
      </c>
      <c r="P35" s="3227" t="s">
        <v>2989</v>
      </c>
      <c r="Q35" s="3227" t="s">
        <v>2990</v>
      </c>
    </row>
    <row r="36" spans="1:17" ht="14.25" customHeight="1">
      <c r="A36" s="3227" t="s">
        <v>296</v>
      </c>
      <c r="B36" s="3228" t="s">
        <v>169</v>
      </c>
      <c r="C36" s="3227">
        <v>23490</v>
      </c>
      <c r="D36" s="3227">
        <v>23020</v>
      </c>
      <c r="E36" s="3227">
        <v>25230</v>
      </c>
      <c r="F36" s="3227">
        <v>6780</v>
      </c>
      <c r="G36" s="3240">
        <v>16120</v>
      </c>
      <c r="M36" s="3227" t="s">
        <v>2991</v>
      </c>
      <c r="N36" s="3227" t="s">
        <v>2992</v>
      </c>
      <c r="O36" s="3227" t="s">
        <v>2993</v>
      </c>
      <c r="P36" s="3227" t="s">
        <v>2994</v>
      </c>
      <c r="Q36" s="3227" t="s">
        <v>2995</v>
      </c>
    </row>
    <row r="37" spans="1:17" ht="14.25" customHeight="1">
      <c r="A37" s="3227" t="s">
        <v>296</v>
      </c>
      <c r="B37" s="3228" t="s">
        <v>176</v>
      </c>
      <c r="C37" s="3227">
        <v>24380</v>
      </c>
      <c r="D37" s="3227">
        <v>22240</v>
      </c>
      <c r="E37" s="3227">
        <v>25980</v>
      </c>
      <c r="F37" s="3227">
        <v>8160</v>
      </c>
      <c r="G37" s="3240">
        <v>15570</v>
      </c>
      <c r="M37" s="3227" t="s">
        <v>2996</v>
      </c>
      <c r="N37" s="3227" t="s">
        <v>2997</v>
      </c>
      <c r="O37" s="3227" t="s">
        <v>2998</v>
      </c>
      <c r="P37" s="3227" t="s">
        <v>2999</v>
      </c>
      <c r="Q37" s="3227" t="s">
        <v>3000</v>
      </c>
    </row>
    <row r="38" spans="1:17" ht="14.25" customHeight="1">
      <c r="A38" s="3227" t="s">
        <v>296</v>
      </c>
      <c r="B38" s="3228" t="s">
        <v>186</v>
      </c>
      <c r="C38" s="3227">
        <v>23120</v>
      </c>
      <c r="D38" s="3227">
        <v>24630</v>
      </c>
      <c r="E38" s="3227">
        <v>25030</v>
      </c>
      <c r="F38" s="3227">
        <v>7710</v>
      </c>
      <c r="G38" s="3240">
        <v>17240</v>
      </c>
      <c r="M38" s="3227" t="s">
        <v>3001</v>
      </c>
      <c r="N38" s="3227" t="s">
        <v>3002</v>
      </c>
      <c r="O38" s="3227" t="s">
        <v>3003</v>
      </c>
      <c r="P38" s="3227" t="s">
        <v>3004</v>
      </c>
      <c r="Q38" s="3227" t="s">
        <v>3005</v>
      </c>
    </row>
    <row r="39" spans="1:17" ht="14.25" customHeight="1">
      <c r="A39" s="3227" t="s">
        <v>296</v>
      </c>
      <c r="B39" s="3228" t="s">
        <v>195</v>
      </c>
      <c r="C39" s="3227">
        <v>22330</v>
      </c>
      <c r="D39" s="3227">
        <v>21140</v>
      </c>
      <c r="E39" s="3227">
        <v>23970</v>
      </c>
      <c r="F39" s="3227">
        <v>7940</v>
      </c>
      <c r="G39" s="3240">
        <v>14790</v>
      </c>
      <c r="M39" s="3227" t="s">
        <v>3006</v>
      </c>
      <c r="N39" s="3227" t="s">
        <v>3007</v>
      </c>
      <c r="O39" s="3227" t="s">
        <v>3008</v>
      </c>
      <c r="P39" s="3227" t="s">
        <v>3009</v>
      </c>
      <c r="Q39" s="3227" t="s">
        <v>3010</v>
      </c>
    </row>
    <row r="40" spans="1:17" ht="14.25" customHeight="1">
      <c r="A40" s="3227" t="s">
        <v>296</v>
      </c>
      <c r="B40" s="3228" t="s">
        <v>202</v>
      </c>
      <c r="C40" s="3227">
        <v>24740</v>
      </c>
      <c r="D40" s="3227">
        <v>24690</v>
      </c>
      <c r="E40" s="3227">
        <v>22610</v>
      </c>
      <c r="F40" s="3227"/>
      <c r="G40" s="3240">
        <v>17280</v>
      </c>
      <c r="M40" s="3227" t="s">
        <v>3011</v>
      </c>
      <c r="N40" s="3227" t="s">
        <v>3012</v>
      </c>
      <c r="O40" s="3227" t="s">
        <v>3013</v>
      </c>
      <c r="P40" s="3227" t="s">
        <v>3014</v>
      </c>
      <c r="Q40" s="3227" t="s">
        <v>3015</v>
      </c>
    </row>
    <row r="41" spans="1:17" ht="14.25" customHeight="1" thickBot="1">
      <c r="A41" s="3227" t="s">
        <v>296</v>
      </c>
      <c r="B41" s="3228" t="s">
        <v>209</v>
      </c>
      <c r="C41" s="3227">
        <v>21220</v>
      </c>
      <c r="D41" s="3227">
        <v>21120</v>
      </c>
      <c r="E41" s="3227">
        <v>22590</v>
      </c>
      <c r="F41" s="3227"/>
      <c r="G41" s="3240">
        <v>14780</v>
      </c>
      <c r="M41" s="3234" t="s">
        <v>3016</v>
      </c>
      <c r="N41" s="3227" t="s">
        <v>3017</v>
      </c>
      <c r="O41" s="3227" t="s">
        <v>3018</v>
      </c>
      <c r="P41" s="3227" t="s">
        <v>3019</v>
      </c>
      <c r="Q41" s="3227" t="s">
        <v>3020</v>
      </c>
    </row>
    <row r="42" spans="1:17" ht="14.25" customHeight="1">
      <c r="A42" s="3227" t="s">
        <v>296</v>
      </c>
      <c r="B42" s="3228" t="s">
        <v>215</v>
      </c>
      <c r="C42" s="3227">
        <v>24800</v>
      </c>
      <c r="D42" s="3227">
        <v>22280</v>
      </c>
      <c r="E42" s="3227">
        <v>24350</v>
      </c>
      <c r="F42" s="3227"/>
      <c r="G42" s="3240">
        <v>15590</v>
      </c>
      <c r="N42" s="3227" t="s">
        <v>3021</v>
      </c>
      <c r="O42" s="3227" t="s">
        <v>3022</v>
      </c>
      <c r="P42" s="3227" t="s">
        <v>3023</v>
      </c>
      <c r="Q42" s="3227" t="s">
        <v>3024</v>
      </c>
    </row>
    <row r="43" spans="1:17" ht="14.25" customHeight="1">
      <c r="A43" s="3227" t="s">
        <v>3025</v>
      </c>
      <c r="B43" s="3228" t="s">
        <v>223</v>
      </c>
      <c r="C43" s="3227">
        <v>21210</v>
      </c>
      <c r="D43" s="3227">
        <v>21160</v>
      </c>
      <c r="E43" s="3227">
        <v>22650</v>
      </c>
      <c r="F43" s="3227"/>
      <c r="G43" s="3240">
        <v>14800</v>
      </c>
      <c r="N43" s="3227" t="s">
        <v>3026</v>
      </c>
      <c r="O43" s="3227" t="s">
        <v>3027</v>
      </c>
      <c r="P43" s="3227" t="s">
        <v>3028</v>
      </c>
      <c r="Q43" s="3227" t="s">
        <v>3029</v>
      </c>
    </row>
    <row r="44" spans="1:17" ht="14.25" customHeight="1" thickBot="1">
      <c r="A44" s="3227" t="s">
        <v>296</v>
      </c>
      <c r="B44" s="3228" t="s">
        <v>231</v>
      </c>
      <c r="C44" s="3227">
        <v>22370</v>
      </c>
      <c r="D44" s="3227">
        <v>23140</v>
      </c>
      <c r="E44" s="3227">
        <v>25090</v>
      </c>
      <c r="F44" s="3227"/>
      <c r="G44" s="3240">
        <v>16190</v>
      </c>
      <c r="N44" s="3227" t="s">
        <v>3030</v>
      </c>
      <c r="O44" s="3227" t="s">
        <v>3031</v>
      </c>
      <c r="P44" s="3234" t="s">
        <v>3032</v>
      </c>
      <c r="Q44" s="3227" t="s">
        <v>3033</v>
      </c>
    </row>
    <row r="45" spans="1:17" ht="14.25" customHeight="1" thickBot="1">
      <c r="A45" s="3227" t="s">
        <v>296</v>
      </c>
      <c r="B45" s="3228" t="s">
        <v>236</v>
      </c>
      <c r="C45" s="3227">
        <v>21240</v>
      </c>
      <c r="D45" s="3227">
        <v>27050</v>
      </c>
      <c r="E45" s="3227">
        <v>28000</v>
      </c>
      <c r="F45" s="3227"/>
      <c r="G45" s="3240">
        <v>18940</v>
      </c>
      <c r="N45" s="3227" t="s">
        <v>3034</v>
      </c>
      <c r="O45" s="3234" t="s">
        <v>3035</v>
      </c>
      <c r="Q45" s="3227" t="s">
        <v>3036</v>
      </c>
    </row>
    <row r="46" spans="1:17" ht="14.25" customHeight="1">
      <c r="A46" s="3227" t="s">
        <v>296</v>
      </c>
      <c r="B46" s="3228" t="s">
        <v>245</v>
      </c>
      <c r="C46" s="3227">
        <v>23240</v>
      </c>
      <c r="D46" s="3227">
        <v>23000</v>
      </c>
      <c r="E46" s="3227">
        <v>24980</v>
      </c>
      <c r="F46" s="3227"/>
      <c r="G46" s="3240">
        <v>16100</v>
      </c>
      <c r="N46" s="3227" t="s">
        <v>3037</v>
      </c>
      <c r="Q46" s="3227" t="s">
        <v>3038</v>
      </c>
    </row>
    <row r="47" spans="1:17" ht="14.25" customHeight="1">
      <c r="A47" s="3227" t="s">
        <v>296</v>
      </c>
      <c r="B47" s="3228" t="s">
        <v>252</v>
      </c>
      <c r="C47" s="3227">
        <v>27150</v>
      </c>
      <c r="D47" s="3227">
        <v>23310</v>
      </c>
      <c r="E47" s="3227">
        <v>25150</v>
      </c>
      <c r="F47" s="3227"/>
      <c r="G47" s="3240">
        <v>16310</v>
      </c>
      <c r="N47" s="3227" t="s">
        <v>3039</v>
      </c>
      <c r="Q47" s="3227" t="s">
        <v>3040</v>
      </c>
    </row>
    <row r="48" spans="1:17" ht="14.25" customHeight="1">
      <c r="A48" s="3227" t="s">
        <v>296</v>
      </c>
      <c r="B48" s="3228" t="s">
        <v>260</v>
      </c>
      <c r="C48" s="3227">
        <v>23100</v>
      </c>
      <c r="D48" s="3227">
        <v>21110</v>
      </c>
      <c r="E48" s="3227">
        <v>23080</v>
      </c>
      <c r="F48" s="3227"/>
      <c r="G48" s="3240">
        <v>14780</v>
      </c>
      <c r="N48" s="3227" t="s">
        <v>3041</v>
      </c>
      <c r="Q48" s="3227" t="s">
        <v>3042</v>
      </c>
    </row>
    <row r="49" spans="1:17" ht="14.25" customHeight="1">
      <c r="A49" s="3227" t="s">
        <v>296</v>
      </c>
      <c r="B49" s="3228" t="s">
        <v>267</v>
      </c>
      <c r="C49" s="3227">
        <v>23400</v>
      </c>
      <c r="D49" s="3227">
        <v>22920</v>
      </c>
      <c r="E49" s="3227">
        <v>24900</v>
      </c>
      <c r="F49" s="3227"/>
      <c r="G49" s="3240">
        <v>16040</v>
      </c>
      <c r="N49" s="3227" t="s">
        <v>3043</v>
      </c>
      <c r="Q49" s="3227" t="s">
        <v>3044</v>
      </c>
    </row>
    <row r="50" spans="1:17" ht="14.25" customHeight="1">
      <c r="A50" s="3227" t="s">
        <v>296</v>
      </c>
      <c r="B50" s="3228" t="s">
        <v>2921</v>
      </c>
      <c r="C50" s="3227">
        <v>21200</v>
      </c>
      <c r="D50" s="3227">
        <v>26540</v>
      </c>
      <c r="E50" s="3227">
        <v>23200</v>
      </c>
      <c r="F50" s="3227"/>
      <c r="G50" s="3240">
        <v>18580</v>
      </c>
      <c r="N50" s="3227" t="s">
        <v>3045</v>
      </c>
      <c r="Q50" s="3228" t="s">
        <v>3046</v>
      </c>
    </row>
    <row r="51" spans="1:17" ht="14.25" customHeight="1" thickBot="1">
      <c r="A51" s="3227" t="s">
        <v>296</v>
      </c>
      <c r="B51" s="3228" t="s">
        <v>2923</v>
      </c>
      <c r="C51" s="3227">
        <v>23000</v>
      </c>
      <c r="D51" s="3227">
        <v>23460</v>
      </c>
      <c r="E51" s="3227">
        <v>25290</v>
      </c>
      <c r="F51" s="3227"/>
      <c r="G51" s="3240">
        <v>16420</v>
      </c>
      <c r="N51" s="3227" t="s">
        <v>3047</v>
      </c>
      <c r="Q51" s="3234" t="s">
        <v>3048</v>
      </c>
    </row>
    <row r="52" spans="1:17" ht="14.25" customHeight="1">
      <c r="A52" s="3227" t="s">
        <v>296</v>
      </c>
      <c r="B52" s="3228" t="s">
        <v>2927</v>
      </c>
      <c r="C52" s="3227">
        <v>26660</v>
      </c>
      <c r="D52" s="3227">
        <v>22350</v>
      </c>
      <c r="E52" s="3227">
        <v>22920</v>
      </c>
      <c r="F52" s="3227"/>
      <c r="G52" s="3240">
        <v>15640</v>
      </c>
      <c r="N52" s="3227" t="s">
        <v>3049</v>
      </c>
    </row>
    <row r="53" spans="1:17" ht="14.25" customHeight="1">
      <c r="A53" s="3227" t="s">
        <v>296</v>
      </c>
      <c r="B53" s="3228" t="s">
        <v>2932</v>
      </c>
      <c r="C53" s="3227">
        <v>23580</v>
      </c>
      <c r="D53" s="3227"/>
      <c r="E53" s="3227">
        <v>24280</v>
      </c>
      <c r="F53" s="3227"/>
      <c r="G53" s="3240"/>
      <c r="N53" s="3227" t="s">
        <v>3050</v>
      </c>
    </row>
    <row r="54" spans="1:17" ht="14.25" customHeight="1" thickBot="1">
      <c r="A54" s="3241" t="s">
        <v>296</v>
      </c>
      <c r="B54" s="3233" t="s">
        <v>2935</v>
      </c>
      <c r="C54" s="3234">
        <v>22460</v>
      </c>
      <c r="D54" s="3234"/>
      <c r="E54" s="3234"/>
      <c r="F54" s="3234"/>
      <c r="G54" s="3242"/>
      <c r="N54" s="3227" t="s">
        <v>3051</v>
      </c>
    </row>
    <row r="55" spans="1:17" ht="14.25" customHeight="1">
      <c r="A55" s="3232" t="s">
        <v>110</v>
      </c>
      <c r="B55" s="3223" t="s">
        <v>3052</v>
      </c>
      <c r="C55" s="3227">
        <v>21970</v>
      </c>
      <c r="D55" s="3227">
        <v>20370</v>
      </c>
      <c r="E55" s="3227">
        <v>20180</v>
      </c>
      <c r="F55" s="3227">
        <v>5730</v>
      </c>
      <c r="G55" s="3227">
        <v>13820</v>
      </c>
      <c r="N55" s="3227" t="s">
        <v>3053</v>
      </c>
    </row>
    <row r="56" spans="1:17" ht="14.25" customHeight="1">
      <c r="A56" s="3227" t="s">
        <v>110</v>
      </c>
      <c r="B56" s="3227" t="s">
        <v>130</v>
      </c>
      <c r="C56" s="3227">
        <v>20470</v>
      </c>
      <c r="D56" s="3227">
        <v>20700</v>
      </c>
      <c r="E56" s="3227">
        <v>20380</v>
      </c>
      <c r="F56" s="3227">
        <v>4760</v>
      </c>
      <c r="G56" s="3227">
        <v>14050</v>
      </c>
      <c r="N56" s="3227" t="s">
        <v>3054</v>
      </c>
    </row>
    <row r="57" spans="1:17" ht="14.25" customHeight="1">
      <c r="A57" s="3227" t="s">
        <v>110</v>
      </c>
      <c r="B57" s="3227" t="s">
        <v>139</v>
      </c>
      <c r="C57" s="3227">
        <v>20790</v>
      </c>
      <c r="D57" s="3227">
        <v>21370</v>
      </c>
      <c r="E57" s="3227">
        <v>20890</v>
      </c>
      <c r="F57" s="3227">
        <v>4910</v>
      </c>
      <c r="G57" s="3227">
        <v>14510</v>
      </c>
      <c r="N57" s="3227" t="s">
        <v>3055</v>
      </c>
    </row>
    <row r="58" spans="1:17" ht="14.25" customHeight="1">
      <c r="A58" s="3227" t="s">
        <v>110</v>
      </c>
      <c r="B58" s="3227" t="s">
        <v>148</v>
      </c>
      <c r="C58" s="3227">
        <v>21460</v>
      </c>
      <c r="D58" s="3227">
        <v>20920</v>
      </c>
      <c r="E58" s="3227">
        <v>23410</v>
      </c>
      <c r="F58" s="3227">
        <v>5100</v>
      </c>
      <c r="G58" s="3227">
        <v>14200</v>
      </c>
      <c r="N58" s="3227" t="s">
        <v>3056</v>
      </c>
    </row>
    <row r="59" spans="1:17" ht="14.25" customHeight="1">
      <c r="A59" s="3227" t="s">
        <v>110</v>
      </c>
      <c r="B59" s="3227" t="s">
        <v>157</v>
      </c>
      <c r="C59" s="3227">
        <v>21000</v>
      </c>
      <c r="D59" s="3227">
        <v>21550</v>
      </c>
      <c r="E59" s="3227">
        <v>21150</v>
      </c>
      <c r="F59" s="3227">
        <v>5250</v>
      </c>
      <c r="G59" s="3227">
        <v>14630</v>
      </c>
      <c r="N59" s="3227" t="s">
        <v>3057</v>
      </c>
    </row>
    <row r="60" spans="1:17" ht="14.25" customHeight="1">
      <c r="A60" s="3227" t="s">
        <v>110</v>
      </c>
      <c r="B60" s="3227" t="s">
        <v>164</v>
      </c>
      <c r="C60" s="3227">
        <v>21640</v>
      </c>
      <c r="D60" s="3227">
        <v>21260</v>
      </c>
      <c r="E60" s="3227">
        <v>24040</v>
      </c>
      <c r="F60" s="3227">
        <v>4470</v>
      </c>
      <c r="G60" s="3227">
        <v>14430</v>
      </c>
      <c r="N60" s="3227" t="s">
        <v>3058</v>
      </c>
    </row>
    <row r="61" spans="1:17" ht="14.25" customHeight="1">
      <c r="A61" s="3227" t="s">
        <v>110</v>
      </c>
      <c r="B61" s="3227" t="s">
        <v>170</v>
      </c>
      <c r="C61" s="3227">
        <v>21330</v>
      </c>
      <c r="D61" s="3227">
        <v>18640</v>
      </c>
      <c r="E61" s="3227">
        <v>21190</v>
      </c>
      <c r="F61" s="3227">
        <v>4180</v>
      </c>
      <c r="G61" s="3227">
        <v>12650</v>
      </c>
      <c r="N61" s="3227" t="s">
        <v>3059</v>
      </c>
    </row>
    <row r="62" spans="1:17" ht="14.25" customHeight="1">
      <c r="A62" s="3227" t="s">
        <v>110</v>
      </c>
      <c r="B62" s="3227" t="s">
        <v>177</v>
      </c>
      <c r="C62" s="3227">
        <v>18710</v>
      </c>
      <c r="D62" s="3227">
        <v>19400</v>
      </c>
      <c r="E62" s="3227">
        <v>23750</v>
      </c>
      <c r="F62" s="3227">
        <v>4860</v>
      </c>
      <c r="G62" s="3227">
        <v>13170</v>
      </c>
      <c r="N62" s="3227" t="s">
        <v>3060</v>
      </c>
    </row>
    <row r="63" spans="1:17" ht="14.25" customHeight="1">
      <c r="A63" s="3227" t="s">
        <v>110</v>
      </c>
      <c r="B63" s="3227" t="s">
        <v>187</v>
      </c>
      <c r="C63" s="3227">
        <v>19480</v>
      </c>
      <c r="D63" s="3227">
        <v>16830</v>
      </c>
      <c r="E63" s="3227">
        <v>21590</v>
      </c>
      <c r="F63" s="3227">
        <v>4560</v>
      </c>
      <c r="G63" s="3227">
        <v>11420</v>
      </c>
      <c r="N63" s="3227" t="s">
        <v>3061</v>
      </c>
    </row>
    <row r="64" spans="1:17" ht="14.25" customHeight="1" thickBot="1">
      <c r="A64" s="3227" t="s">
        <v>110</v>
      </c>
      <c r="B64" s="3227" t="s">
        <v>196</v>
      </c>
      <c r="C64" s="3227">
        <v>16920</v>
      </c>
      <c r="D64" s="3227">
        <v>19190</v>
      </c>
      <c r="E64" s="3227">
        <v>22200</v>
      </c>
      <c r="F64" s="3227">
        <v>4390</v>
      </c>
      <c r="G64" s="3227">
        <v>13030</v>
      </c>
      <c r="N64" s="3234" t="s">
        <v>3062</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2933</v>
      </c>
      <c r="C78" s="3227">
        <v>19820</v>
      </c>
      <c r="D78" s="3227">
        <v>19780</v>
      </c>
      <c r="E78" s="3227">
        <v>18560</v>
      </c>
      <c r="F78" s="3227"/>
      <c r="G78" s="3227">
        <v>13430</v>
      </c>
    </row>
    <row r="79" spans="1:7" s="3216" customFormat="1" ht="14.25" customHeight="1">
      <c r="A79" s="3227" t="s">
        <v>110</v>
      </c>
      <c r="B79" s="3227" t="s">
        <v>2936</v>
      </c>
      <c r="C79" s="3227">
        <v>21660</v>
      </c>
      <c r="D79" s="3227">
        <v>18000</v>
      </c>
      <c r="E79" s="3227">
        <v>22570</v>
      </c>
      <c r="F79" s="3227"/>
      <c r="G79" s="3227">
        <v>12220</v>
      </c>
    </row>
    <row r="80" spans="1:7" s="3216" customFormat="1" ht="14.25" customHeight="1">
      <c r="A80" s="3227" t="s">
        <v>110</v>
      </c>
      <c r="B80" s="3227" t="s">
        <v>2940</v>
      </c>
      <c r="C80" s="3227">
        <v>19850</v>
      </c>
      <c r="D80" s="3227"/>
      <c r="E80" s="3227">
        <v>21700</v>
      </c>
      <c r="F80" s="3227"/>
      <c r="G80" s="3227"/>
    </row>
    <row r="81" spans="1:7" s="3216" customFormat="1" ht="14.25" customHeight="1">
      <c r="A81" s="3227" t="s">
        <v>110</v>
      </c>
      <c r="B81" s="3227" t="s">
        <v>2945</v>
      </c>
      <c r="C81" s="3227">
        <v>18080</v>
      </c>
      <c r="D81" s="3227"/>
      <c r="E81" s="3227">
        <v>20900</v>
      </c>
      <c r="F81" s="3227"/>
      <c r="G81" s="3227"/>
    </row>
    <row r="82" spans="1:7" s="3216" customFormat="1" ht="14.25" customHeight="1">
      <c r="A82" s="3227" t="s">
        <v>110</v>
      </c>
      <c r="B82" s="3227" t="s">
        <v>2952</v>
      </c>
      <c r="C82" s="3227"/>
      <c r="D82" s="3227"/>
      <c r="E82" s="3227">
        <v>20840</v>
      </c>
      <c r="F82" s="3227"/>
      <c r="G82" s="3227"/>
    </row>
    <row r="83" spans="1:7" s="3216" customFormat="1" ht="14.25" customHeight="1">
      <c r="A83" s="3227" t="s">
        <v>110</v>
      </c>
      <c r="B83" s="3227" t="s">
        <v>3063</v>
      </c>
      <c r="C83" s="3227"/>
      <c r="D83" s="3227"/>
      <c r="E83" s="3227"/>
      <c r="F83" s="3227">
        <v>4770</v>
      </c>
      <c r="G83" s="3227"/>
    </row>
    <row r="84" spans="1:7" s="3216" customFormat="1" ht="14.25" customHeight="1">
      <c r="A84" s="3227" t="s">
        <v>110</v>
      </c>
      <c r="B84" s="3227" t="s">
        <v>3064</v>
      </c>
      <c r="C84" s="3227"/>
      <c r="D84" s="3227"/>
      <c r="E84" s="3227"/>
      <c r="F84" s="3227">
        <v>4600</v>
      </c>
      <c r="G84" s="3227"/>
    </row>
    <row r="85" spans="1:7" s="3216" customFormat="1" ht="14.25" customHeight="1">
      <c r="A85" s="3227" t="s">
        <v>110</v>
      </c>
      <c r="B85" s="3227" t="s">
        <v>3065</v>
      </c>
      <c r="C85" s="3227"/>
      <c r="D85" s="3227"/>
      <c r="E85" s="3227"/>
      <c r="F85" s="3227">
        <v>4680</v>
      </c>
      <c r="G85" s="3227"/>
    </row>
    <row r="86" spans="1:7" s="3216" customFormat="1" ht="14.25" customHeight="1" thickBot="1">
      <c r="A86" s="3235" t="s">
        <v>110</v>
      </c>
      <c r="B86" s="3237" t="s">
        <v>3066</v>
      </c>
      <c r="C86" s="3238">
        <v>16610</v>
      </c>
      <c r="D86" s="3238">
        <v>16540</v>
      </c>
      <c r="E86" s="3238">
        <v>18850</v>
      </c>
      <c r="F86" s="3238"/>
      <c r="G86" s="3238">
        <v>11220</v>
      </c>
    </row>
    <row r="87" spans="1:7" s="3216" customFormat="1" ht="14.25" customHeight="1">
      <c r="A87" s="3232" t="s">
        <v>303</v>
      </c>
      <c r="B87" s="3223" t="s">
        <v>3067</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2946</v>
      </c>
      <c r="C113" s="3227">
        <v>15520</v>
      </c>
      <c r="D113" s="3227">
        <v>15450</v>
      </c>
      <c r="E113" s="3227"/>
      <c r="F113" s="3227"/>
      <c r="G113" s="3240">
        <v>10210</v>
      </c>
    </row>
    <row r="114" spans="1:7" s="3216" customFormat="1" ht="14.25" customHeight="1">
      <c r="A114" s="3227" t="s">
        <v>303</v>
      </c>
      <c r="B114" s="3227" t="s">
        <v>2953</v>
      </c>
      <c r="C114" s="3227">
        <v>13110</v>
      </c>
      <c r="D114" s="3227">
        <v>13050</v>
      </c>
      <c r="E114" s="3227"/>
      <c r="F114" s="3227"/>
      <c r="G114" s="3240">
        <v>8620</v>
      </c>
    </row>
    <row r="115" spans="1:7" s="3216" customFormat="1" ht="14.25" customHeight="1">
      <c r="A115" s="3227" t="s">
        <v>303</v>
      </c>
      <c r="B115" s="3227" t="s">
        <v>2959</v>
      </c>
      <c r="C115" s="3227">
        <v>12460</v>
      </c>
      <c r="D115" s="3227">
        <v>12390</v>
      </c>
      <c r="E115" s="3227"/>
      <c r="F115" s="3227"/>
      <c r="G115" s="3240">
        <v>8190</v>
      </c>
    </row>
    <row r="116" spans="1:7" s="3216" customFormat="1" ht="14.25" customHeight="1">
      <c r="A116" s="3227" t="s">
        <v>303</v>
      </c>
      <c r="B116" s="3227" t="s">
        <v>2966</v>
      </c>
      <c r="C116" s="3227">
        <v>13580</v>
      </c>
      <c r="D116" s="3227">
        <v>13520</v>
      </c>
      <c r="E116" s="3227"/>
      <c r="F116" s="3227"/>
      <c r="G116" s="3240">
        <v>8930</v>
      </c>
    </row>
    <row r="117" spans="1:7" s="3216" customFormat="1" ht="14.25" customHeight="1">
      <c r="A117" s="3227" t="s">
        <v>303</v>
      </c>
      <c r="B117" s="3227" t="s">
        <v>2973</v>
      </c>
      <c r="C117" s="3227">
        <v>17120</v>
      </c>
      <c r="D117" s="3227">
        <v>17040</v>
      </c>
      <c r="E117" s="3227"/>
      <c r="F117" s="3227"/>
      <c r="G117" s="3240">
        <v>11260</v>
      </c>
    </row>
    <row r="118" spans="1:7" s="3216" customFormat="1" ht="14.25" customHeight="1">
      <c r="A118" s="3227" t="s">
        <v>303</v>
      </c>
      <c r="B118" s="3227" t="s">
        <v>2978</v>
      </c>
      <c r="C118" s="3227">
        <v>14860</v>
      </c>
      <c r="D118" s="3227">
        <v>14790</v>
      </c>
      <c r="E118" s="3227"/>
      <c r="F118" s="3227"/>
      <c r="G118" s="3240">
        <v>9780</v>
      </c>
    </row>
    <row r="119" spans="1:7" s="3216" customFormat="1" ht="14.25" customHeight="1">
      <c r="A119" s="3227" t="s">
        <v>303</v>
      </c>
      <c r="B119" s="3227" t="s">
        <v>2982</v>
      </c>
      <c r="C119" s="3227">
        <v>16470</v>
      </c>
      <c r="D119" s="3227">
        <v>16400</v>
      </c>
      <c r="E119" s="3227"/>
      <c r="F119" s="3227"/>
      <c r="G119" s="3240">
        <v>10840</v>
      </c>
    </row>
    <row r="120" spans="1:7" s="3216" customFormat="1" ht="14.25" customHeight="1">
      <c r="A120" s="3227" t="s">
        <v>303</v>
      </c>
      <c r="B120" s="3227" t="s">
        <v>3068</v>
      </c>
      <c r="C120" s="3227"/>
      <c r="D120" s="3227"/>
      <c r="E120" s="3227"/>
      <c r="F120" s="3227">
        <v>4160</v>
      </c>
      <c r="G120" s="3240"/>
    </row>
    <row r="121" spans="1:7" s="3216" customFormat="1" ht="14.25" customHeight="1">
      <c r="A121" s="3227" t="s">
        <v>303</v>
      </c>
      <c r="B121" s="3227" t="s">
        <v>3069</v>
      </c>
      <c r="C121" s="3227"/>
      <c r="D121" s="3227"/>
      <c r="E121" s="3227"/>
      <c r="F121" s="3227">
        <v>3880</v>
      </c>
      <c r="G121" s="3240"/>
    </row>
    <row r="122" spans="1:7" s="3216" customFormat="1" ht="14.25" customHeight="1">
      <c r="A122" s="3227" t="s">
        <v>303</v>
      </c>
      <c r="B122" s="3227" t="s">
        <v>3070</v>
      </c>
      <c r="C122" s="3227">
        <v>13750</v>
      </c>
      <c r="D122" s="3227">
        <v>13680</v>
      </c>
      <c r="E122" s="3227">
        <v>16460</v>
      </c>
      <c r="F122" s="3227">
        <v>2880</v>
      </c>
      <c r="G122" s="3240">
        <v>9040</v>
      </c>
    </row>
    <row r="123" spans="1:7" s="3216" customFormat="1" ht="14.25" customHeight="1">
      <c r="A123" s="3227" t="s">
        <v>303</v>
      </c>
      <c r="B123" s="3227" t="s">
        <v>3001</v>
      </c>
      <c r="C123" s="3227">
        <v>13590</v>
      </c>
      <c r="D123" s="3227">
        <v>13520</v>
      </c>
      <c r="E123" s="3227">
        <v>16290</v>
      </c>
      <c r="F123" s="3227">
        <v>2790</v>
      </c>
      <c r="G123" s="3240">
        <v>8930</v>
      </c>
    </row>
    <row r="124" spans="1:7" s="3216" customFormat="1" ht="14.25" customHeight="1">
      <c r="A124" s="3227" t="s">
        <v>303</v>
      </c>
      <c r="B124" s="3227" t="s">
        <v>3006</v>
      </c>
      <c r="C124" s="3227">
        <v>13400</v>
      </c>
      <c r="D124" s="3227">
        <v>13320</v>
      </c>
      <c r="E124" s="3227">
        <v>16100</v>
      </c>
      <c r="F124" s="3227">
        <v>2320</v>
      </c>
      <c r="G124" s="3240">
        <v>8800</v>
      </c>
    </row>
    <row r="125" spans="1:7" s="3216" customFormat="1" ht="14.25" customHeight="1">
      <c r="A125" s="3227" t="s">
        <v>303</v>
      </c>
      <c r="B125" s="3227" t="s">
        <v>3011</v>
      </c>
      <c r="C125" s="3227">
        <v>12860</v>
      </c>
      <c r="D125" s="3227">
        <v>12790</v>
      </c>
      <c r="E125" s="3227">
        <v>15370</v>
      </c>
      <c r="F125" s="3227">
        <v>2280</v>
      </c>
      <c r="G125" s="3240">
        <v>8450</v>
      </c>
    </row>
    <row r="126" spans="1:7" s="3216" customFormat="1" ht="14.25" customHeight="1" thickBot="1">
      <c r="A126" s="3241" t="s">
        <v>303</v>
      </c>
      <c r="B126" s="3234" t="s">
        <v>3016</v>
      </c>
      <c r="C126" s="3234">
        <v>12960</v>
      </c>
      <c r="D126" s="3234">
        <v>12890</v>
      </c>
      <c r="E126" s="3234">
        <v>15530</v>
      </c>
      <c r="F126" s="3234">
        <v>2910</v>
      </c>
      <c r="G126" s="3242">
        <v>8520</v>
      </c>
    </row>
    <row r="127" spans="1:7" s="3216" customFormat="1" ht="14.25" customHeight="1">
      <c r="A127" s="3232" t="s">
        <v>29</v>
      </c>
      <c r="B127" s="3223" t="s">
        <v>3071</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3072</v>
      </c>
      <c r="C148" s="3227">
        <v>10370</v>
      </c>
      <c r="D148" s="3227">
        <v>10310</v>
      </c>
      <c r="E148" s="3227">
        <v>12970</v>
      </c>
      <c r="F148" s="3227"/>
      <c r="G148" s="3227">
        <v>6630</v>
      </c>
    </row>
    <row r="149" spans="1:7" s="3216" customFormat="1" ht="14.25" customHeight="1">
      <c r="A149" s="3227" t="s">
        <v>29</v>
      </c>
      <c r="B149" s="3227" t="s">
        <v>3073</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2947</v>
      </c>
      <c r="C153" s="3227">
        <v>10880</v>
      </c>
      <c r="D153" s="3227">
        <v>10820</v>
      </c>
      <c r="E153" s="3227">
        <v>13660</v>
      </c>
      <c r="F153" s="3227">
        <v>2260</v>
      </c>
      <c r="G153" s="3227">
        <v>6970</v>
      </c>
    </row>
    <row r="154" spans="1:7" s="3216" customFormat="1" ht="14.25" customHeight="1">
      <c r="A154" s="3227" t="s">
        <v>29</v>
      </c>
      <c r="B154" s="3227" t="s">
        <v>3074</v>
      </c>
      <c r="C154" s="3227">
        <v>11220</v>
      </c>
      <c r="D154" s="3227">
        <v>11160</v>
      </c>
      <c r="E154" s="3227">
        <v>14130</v>
      </c>
      <c r="F154" s="3227">
        <v>2230</v>
      </c>
      <c r="G154" s="3227">
        <v>7180</v>
      </c>
    </row>
    <row r="155" spans="1:7" s="3216" customFormat="1" ht="14.25" customHeight="1">
      <c r="A155" s="3227" t="s">
        <v>29</v>
      </c>
      <c r="B155" s="3227" t="s">
        <v>2960</v>
      </c>
      <c r="C155" s="3227">
        <v>10430</v>
      </c>
      <c r="D155" s="3227">
        <v>10380</v>
      </c>
      <c r="E155" s="3227">
        <v>13140</v>
      </c>
      <c r="F155" s="3227">
        <v>2080</v>
      </c>
      <c r="G155" s="3227">
        <v>6650</v>
      </c>
    </row>
    <row r="156" spans="1:7" s="3216" customFormat="1" ht="14.25" customHeight="1">
      <c r="A156" s="3227" t="s">
        <v>29</v>
      </c>
      <c r="B156" s="3227" t="s">
        <v>3075</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3076</v>
      </c>
      <c r="C160" s="3227">
        <v>11180</v>
      </c>
      <c r="D160" s="3227">
        <v>11140</v>
      </c>
      <c r="E160" s="3227">
        <v>14050</v>
      </c>
      <c r="F160" s="3227">
        <v>2270</v>
      </c>
      <c r="G160" s="3227">
        <v>7170</v>
      </c>
    </row>
    <row r="161" spans="1:7" s="3216" customFormat="1" ht="14.25" customHeight="1">
      <c r="A161" s="3227" t="s">
        <v>29</v>
      </c>
      <c r="B161" s="3227" t="s">
        <v>2992</v>
      </c>
      <c r="C161" s="3227">
        <v>11160</v>
      </c>
      <c r="D161" s="3227">
        <v>11120</v>
      </c>
      <c r="E161" s="3227">
        <v>14020</v>
      </c>
      <c r="F161" s="3227">
        <v>2150</v>
      </c>
      <c r="G161" s="3227">
        <v>7160</v>
      </c>
    </row>
    <row r="162" spans="1:7" s="3216" customFormat="1" ht="14.25" customHeight="1">
      <c r="A162" s="3227" t="s">
        <v>29</v>
      </c>
      <c r="B162" s="3227" t="s">
        <v>2997</v>
      </c>
      <c r="C162" s="3227">
        <v>9620</v>
      </c>
      <c r="D162" s="3227">
        <v>9570</v>
      </c>
      <c r="E162" s="3227">
        <v>12320</v>
      </c>
      <c r="F162" s="3227">
        <v>2010</v>
      </c>
      <c r="G162" s="3227">
        <v>6160</v>
      </c>
    </row>
    <row r="163" spans="1:7" s="3216" customFormat="1" ht="14.25" customHeight="1">
      <c r="A163" s="3227" t="s">
        <v>29</v>
      </c>
      <c r="B163" s="3227" t="s">
        <v>3002</v>
      </c>
      <c r="C163" s="3227">
        <v>9320</v>
      </c>
      <c r="D163" s="3227">
        <v>9270</v>
      </c>
      <c r="E163" s="3227">
        <v>11790</v>
      </c>
      <c r="F163" s="3227">
        <v>1920</v>
      </c>
      <c r="G163" s="3227">
        <v>5960</v>
      </c>
    </row>
    <row r="164" spans="1:7" s="3216" customFormat="1" ht="14.25" customHeight="1">
      <c r="A164" s="3227" t="s">
        <v>29</v>
      </c>
      <c r="B164" s="3227" t="s">
        <v>3007</v>
      </c>
      <c r="C164" s="3227"/>
      <c r="D164" s="3227"/>
      <c r="E164" s="3227"/>
      <c r="F164" s="3227">
        <v>1980</v>
      </c>
      <c r="G164" s="3227"/>
    </row>
    <row r="165" spans="1:7" s="3216" customFormat="1" ht="14.25" customHeight="1">
      <c r="A165" s="3227" t="s">
        <v>29</v>
      </c>
      <c r="B165" s="3227" t="s">
        <v>3077</v>
      </c>
      <c r="C165" s="3227">
        <v>11060</v>
      </c>
      <c r="D165" s="3227">
        <v>11030</v>
      </c>
      <c r="E165" s="3227">
        <v>13850</v>
      </c>
      <c r="F165" s="3227">
        <v>2170</v>
      </c>
      <c r="G165" s="3227">
        <v>7090</v>
      </c>
    </row>
    <row r="166" spans="1:7" s="3216" customFormat="1" ht="14.25" customHeight="1">
      <c r="A166" s="3227" t="s">
        <v>29</v>
      </c>
      <c r="B166" s="3227" t="s">
        <v>3017</v>
      </c>
      <c r="C166" s="3227">
        <v>11050</v>
      </c>
      <c r="D166" s="3227">
        <v>11010</v>
      </c>
      <c r="E166" s="3227">
        <v>13920</v>
      </c>
      <c r="F166" s="3227">
        <v>2140</v>
      </c>
      <c r="G166" s="3227">
        <v>7080</v>
      </c>
    </row>
    <row r="167" spans="1:7" s="3216" customFormat="1" ht="14.25" customHeight="1">
      <c r="A167" s="3227" t="s">
        <v>29</v>
      </c>
      <c r="B167" s="3227" t="s">
        <v>3021</v>
      </c>
      <c r="C167" s="3227">
        <v>10930</v>
      </c>
      <c r="D167" s="3227">
        <v>10890</v>
      </c>
      <c r="E167" s="3227">
        <v>13790</v>
      </c>
      <c r="F167" s="3227">
        <v>2010</v>
      </c>
      <c r="G167" s="3227">
        <v>7000</v>
      </c>
    </row>
    <row r="168" spans="1:7" s="3216" customFormat="1" ht="14.25" customHeight="1">
      <c r="A168" s="3227" t="s">
        <v>29</v>
      </c>
      <c r="B168" s="3227" t="s">
        <v>3026</v>
      </c>
      <c r="C168" s="3227">
        <v>9420</v>
      </c>
      <c r="D168" s="3227">
        <v>9380</v>
      </c>
      <c r="E168" s="3227">
        <v>11970</v>
      </c>
      <c r="F168" s="3227"/>
      <c r="G168" s="3227">
        <v>6040</v>
      </c>
    </row>
    <row r="169" spans="1:7" s="3216" customFormat="1" ht="14.25" customHeight="1">
      <c r="A169" s="3227" t="s">
        <v>29</v>
      </c>
      <c r="B169" s="3227" t="s">
        <v>3078</v>
      </c>
      <c r="C169" s="3227"/>
      <c r="D169" s="3227"/>
      <c r="E169" s="3227"/>
      <c r="F169" s="3227">
        <v>2880</v>
      </c>
      <c r="G169" s="3227"/>
    </row>
    <row r="170" spans="1:7" s="3216" customFormat="1" ht="14.25" customHeight="1">
      <c r="A170" s="3227" t="s">
        <v>29</v>
      </c>
      <c r="B170" s="3227" t="s">
        <v>3034</v>
      </c>
      <c r="C170" s="3227"/>
      <c r="D170" s="3227"/>
      <c r="E170" s="3227"/>
      <c r="F170" s="3227">
        <v>2880</v>
      </c>
      <c r="G170" s="3227"/>
    </row>
    <row r="171" spans="1:7" s="3216" customFormat="1" ht="14.25" customHeight="1">
      <c r="A171" s="3227" t="s">
        <v>29</v>
      </c>
      <c r="B171" s="3227" t="s">
        <v>3037</v>
      </c>
      <c r="C171" s="3227"/>
      <c r="D171" s="3227"/>
      <c r="E171" s="3227"/>
      <c r="F171" s="3227">
        <v>2880</v>
      </c>
      <c r="G171" s="3227"/>
    </row>
    <row r="172" spans="1:7" s="3216" customFormat="1" ht="14.25" customHeight="1">
      <c r="A172" s="3227" t="s">
        <v>29</v>
      </c>
      <c r="B172" s="3227" t="s">
        <v>3039</v>
      </c>
      <c r="C172" s="3227"/>
      <c r="D172" s="3227"/>
      <c r="E172" s="3227"/>
      <c r="F172" s="3227">
        <v>2880</v>
      </c>
      <c r="G172" s="3227"/>
    </row>
    <row r="173" spans="1:7" s="3216" customFormat="1" ht="14.25" customHeight="1">
      <c r="A173" s="3227" t="s">
        <v>29</v>
      </c>
      <c r="B173" s="3227" t="s">
        <v>3041</v>
      </c>
      <c r="C173" s="3227"/>
      <c r="D173" s="3227"/>
      <c r="E173" s="3227"/>
      <c r="F173" s="3227">
        <v>2150</v>
      </c>
      <c r="G173" s="3227"/>
    </row>
    <row r="174" spans="1:7" s="3216" customFormat="1" ht="14.25" customHeight="1">
      <c r="A174" s="3227" t="s">
        <v>29</v>
      </c>
      <c r="B174" s="3227" t="s">
        <v>3043</v>
      </c>
      <c r="C174" s="3227"/>
      <c r="D174" s="3227"/>
      <c r="E174" s="3227"/>
      <c r="F174" s="3227">
        <v>2030</v>
      </c>
      <c r="G174" s="3227"/>
    </row>
    <row r="175" spans="1:7" s="3216" customFormat="1" ht="14.25" customHeight="1">
      <c r="A175" s="3227" t="s">
        <v>29</v>
      </c>
      <c r="B175" s="3227" t="s">
        <v>3045</v>
      </c>
      <c r="C175" s="3227"/>
      <c r="D175" s="3227"/>
      <c r="E175" s="3227"/>
      <c r="F175" s="3227">
        <v>2780</v>
      </c>
      <c r="G175" s="3227"/>
    </row>
    <row r="176" spans="1:7" s="3216" customFormat="1" ht="14.25" customHeight="1">
      <c r="A176" s="3227" t="s">
        <v>29</v>
      </c>
      <c r="B176" s="3227" t="s">
        <v>3047</v>
      </c>
      <c r="C176" s="3227"/>
      <c r="D176" s="3227"/>
      <c r="E176" s="3227"/>
      <c r="F176" s="3227">
        <v>2780</v>
      </c>
      <c r="G176" s="3227"/>
    </row>
    <row r="177" spans="1:7" s="3216" customFormat="1" ht="14.25" customHeight="1">
      <c r="A177" s="3227" t="s">
        <v>29</v>
      </c>
      <c r="B177" s="3227" t="s">
        <v>3079</v>
      </c>
      <c r="C177" s="3227"/>
      <c r="D177" s="3227"/>
      <c r="E177" s="3227"/>
      <c r="F177" s="3227">
        <v>2780</v>
      </c>
      <c r="G177" s="3227"/>
    </row>
    <row r="178" spans="1:7" s="3216" customFormat="1" ht="14.25" customHeight="1">
      <c r="A178" s="3227" t="s">
        <v>29</v>
      </c>
      <c r="B178" s="3227" t="s">
        <v>3080</v>
      </c>
      <c r="C178" s="3227"/>
      <c r="D178" s="3227"/>
      <c r="E178" s="3227"/>
      <c r="F178" s="3227">
        <v>2060</v>
      </c>
      <c r="G178" s="3227"/>
    </row>
    <row r="179" spans="1:7" s="3216" customFormat="1" ht="14.25" customHeight="1">
      <c r="A179" s="3227" t="s">
        <v>29</v>
      </c>
      <c r="B179" s="3227" t="s">
        <v>3081</v>
      </c>
      <c r="C179" s="3227"/>
      <c r="D179" s="3227"/>
      <c r="E179" s="3227"/>
      <c r="F179" s="3227">
        <v>2120</v>
      </c>
      <c r="G179" s="3227"/>
    </row>
    <row r="180" spans="1:7" s="3216" customFormat="1" ht="14.25" customHeight="1">
      <c r="A180" s="3227" t="s">
        <v>29</v>
      </c>
      <c r="B180" s="3227" t="s">
        <v>3053</v>
      </c>
      <c r="C180" s="3227"/>
      <c r="D180" s="3227"/>
      <c r="E180" s="3227"/>
      <c r="F180" s="3227">
        <v>2340</v>
      </c>
      <c r="G180" s="3227"/>
    </row>
    <row r="181" spans="1:7" s="3216" customFormat="1" ht="14.25" customHeight="1">
      <c r="A181" s="3227" t="s">
        <v>29</v>
      </c>
      <c r="B181" s="3227" t="s">
        <v>3054</v>
      </c>
      <c r="C181" s="3227"/>
      <c r="D181" s="3227"/>
      <c r="E181" s="3227"/>
      <c r="F181" s="3227">
        <v>2340</v>
      </c>
      <c r="G181" s="3227"/>
    </row>
    <row r="182" spans="1:7" s="3216" customFormat="1" ht="14.25" customHeight="1">
      <c r="A182" s="3227" t="s">
        <v>29</v>
      </c>
      <c r="B182" s="3227" t="s">
        <v>3055</v>
      </c>
      <c r="C182" s="3227"/>
      <c r="D182" s="3227"/>
      <c r="E182" s="3227"/>
      <c r="F182" s="3227">
        <v>2340</v>
      </c>
      <c r="G182" s="3227"/>
    </row>
    <row r="183" spans="1:7" s="3216" customFormat="1" ht="14.25" customHeight="1">
      <c r="A183" s="3227" t="s">
        <v>29</v>
      </c>
      <c r="B183" s="3227" t="s">
        <v>3056</v>
      </c>
      <c r="C183" s="3227"/>
      <c r="D183" s="3227"/>
      <c r="E183" s="3227"/>
      <c r="F183" s="3227">
        <v>2340</v>
      </c>
      <c r="G183" s="3227"/>
    </row>
    <row r="184" spans="1:7" s="3216" customFormat="1" ht="14.25" customHeight="1">
      <c r="A184" s="3227" t="s">
        <v>29</v>
      </c>
      <c r="B184" s="3227" t="s">
        <v>3057</v>
      </c>
      <c r="C184" s="3227"/>
      <c r="D184" s="3227"/>
      <c r="E184" s="3227"/>
      <c r="F184" s="3227">
        <v>2340</v>
      </c>
      <c r="G184" s="3227"/>
    </row>
    <row r="185" spans="1:7" s="3216" customFormat="1" ht="14.25" customHeight="1">
      <c r="A185" s="3227" t="s">
        <v>29</v>
      </c>
      <c r="B185" s="3227" t="s">
        <v>3058</v>
      </c>
      <c r="C185" s="3227"/>
      <c r="D185" s="3227"/>
      <c r="E185" s="3227"/>
      <c r="F185" s="3227">
        <v>2530</v>
      </c>
      <c r="G185" s="3227"/>
    </row>
    <row r="186" spans="1:7" s="3216" customFormat="1" ht="14.25" customHeight="1">
      <c r="A186" s="3227" t="s">
        <v>29</v>
      </c>
      <c r="B186" s="3227" t="s">
        <v>3059</v>
      </c>
      <c r="C186" s="3227"/>
      <c r="D186" s="3227"/>
      <c r="E186" s="3227"/>
      <c r="F186" s="3227">
        <v>2550</v>
      </c>
      <c r="G186" s="3227"/>
    </row>
    <row r="187" spans="1:7" s="3216" customFormat="1" ht="14.25" customHeight="1">
      <c r="A187" s="3227" t="s">
        <v>29</v>
      </c>
      <c r="B187" s="3227" t="s">
        <v>3060</v>
      </c>
      <c r="C187" s="3227"/>
      <c r="D187" s="3227"/>
      <c r="E187" s="3227"/>
      <c r="F187" s="3227">
        <v>2070</v>
      </c>
      <c r="G187" s="3227"/>
    </row>
    <row r="188" spans="1:7" s="3216" customFormat="1" ht="14.25" customHeight="1">
      <c r="A188" s="3227" t="s">
        <v>29</v>
      </c>
      <c r="B188" s="3227" t="s">
        <v>3061</v>
      </c>
      <c r="C188" s="3227"/>
      <c r="D188" s="3227"/>
      <c r="E188" s="3227"/>
      <c r="F188" s="3227">
        <v>2340</v>
      </c>
      <c r="G188" s="3227"/>
    </row>
    <row r="189" spans="1:7" s="3216" customFormat="1" ht="14.25" customHeight="1" thickBot="1">
      <c r="A189" s="3235" t="s">
        <v>29</v>
      </c>
      <c r="B189" s="3238" t="s">
        <v>3062</v>
      </c>
      <c r="C189" s="3238"/>
      <c r="D189" s="3238"/>
      <c r="E189" s="3238"/>
      <c r="F189" s="3238">
        <v>2050</v>
      </c>
      <c r="G189" s="3238"/>
    </row>
    <row r="190" spans="1:7" s="3216" customFormat="1" ht="14.25" customHeight="1">
      <c r="A190" s="3232" t="s">
        <v>304</v>
      </c>
      <c r="B190" s="3223" t="s">
        <v>3082</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3083</v>
      </c>
      <c r="C199" s="3227">
        <v>8690</v>
      </c>
      <c r="D199" s="3227">
        <v>8630</v>
      </c>
      <c r="E199" s="3227">
        <v>11350</v>
      </c>
      <c r="F199" s="3227">
        <v>1600</v>
      </c>
      <c r="G199" s="3240">
        <v>5450</v>
      </c>
    </row>
    <row r="200" spans="1:7" s="3216" customFormat="1" ht="14.25" customHeight="1">
      <c r="A200" s="3227" t="s">
        <v>304</v>
      </c>
      <c r="B200" s="3227" t="s">
        <v>2894</v>
      </c>
      <c r="C200" s="3227"/>
      <c r="D200" s="3227"/>
      <c r="E200" s="3227"/>
      <c r="F200" s="3227">
        <v>1510</v>
      </c>
      <c r="G200" s="3240"/>
    </row>
    <row r="201" spans="1:7" s="3216" customFormat="1" ht="14.25" customHeight="1">
      <c r="A201" s="3227" t="s">
        <v>304</v>
      </c>
      <c r="B201" s="3227" t="s">
        <v>3084</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3085</v>
      </c>
      <c r="C203" s="3227">
        <v>8130</v>
      </c>
      <c r="D203" s="3227">
        <v>8070</v>
      </c>
      <c r="E203" s="3227">
        <v>10820</v>
      </c>
      <c r="F203" s="3227">
        <v>1690</v>
      </c>
      <c r="G203" s="3240">
        <v>5100</v>
      </c>
    </row>
    <row r="204" spans="1:7" s="3216" customFormat="1" ht="14.25" customHeight="1">
      <c r="A204" s="3227" t="s">
        <v>304</v>
      </c>
      <c r="B204" s="3227" t="s">
        <v>2905</v>
      </c>
      <c r="C204" s="3227">
        <v>8350</v>
      </c>
      <c r="D204" s="3227">
        <v>8290</v>
      </c>
      <c r="E204" s="3227">
        <v>11080</v>
      </c>
      <c r="F204" s="3227">
        <v>1450</v>
      </c>
      <c r="G204" s="3240">
        <v>5240</v>
      </c>
    </row>
    <row r="205" spans="1:7" s="3216" customFormat="1" ht="14.25" customHeight="1">
      <c r="A205" s="3227" t="s">
        <v>304</v>
      </c>
      <c r="B205" s="3227" t="s">
        <v>2907</v>
      </c>
      <c r="C205" s="3227">
        <v>7190</v>
      </c>
      <c r="D205" s="3227">
        <v>7130</v>
      </c>
      <c r="E205" s="3227">
        <v>9490</v>
      </c>
      <c r="F205" s="3227">
        <v>1470</v>
      </c>
      <c r="G205" s="3240">
        <v>4510</v>
      </c>
    </row>
    <row r="206" spans="1:7" s="3216" customFormat="1" ht="14.25" customHeight="1">
      <c r="A206" s="3227" t="s">
        <v>304</v>
      </c>
      <c r="B206" s="3227" t="s">
        <v>2910</v>
      </c>
      <c r="C206" s="3227">
        <v>7000</v>
      </c>
      <c r="D206" s="3227">
        <v>6950</v>
      </c>
      <c r="E206" s="3227">
        <v>9170</v>
      </c>
      <c r="F206" s="3227">
        <v>1400</v>
      </c>
      <c r="G206" s="3240">
        <v>4380</v>
      </c>
    </row>
    <row r="207" spans="1:7" s="3216" customFormat="1" ht="14.25" customHeight="1">
      <c r="A207" s="3227" t="s">
        <v>304</v>
      </c>
      <c r="B207" s="3227" t="s">
        <v>2912</v>
      </c>
      <c r="C207" s="3227">
        <v>6950</v>
      </c>
      <c r="D207" s="3227">
        <v>6900</v>
      </c>
      <c r="E207" s="3227">
        <v>9110</v>
      </c>
      <c r="F207" s="3227">
        <v>1790</v>
      </c>
      <c r="G207" s="3240">
        <v>4360</v>
      </c>
    </row>
    <row r="208" spans="1:7" s="3216" customFormat="1" ht="14.25" customHeight="1">
      <c r="A208" s="3227" t="s">
        <v>304</v>
      </c>
      <c r="B208" s="3227" t="s">
        <v>3086</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2922</v>
      </c>
      <c r="C210" s="3227">
        <v>8710</v>
      </c>
      <c r="D210" s="3227">
        <v>8660</v>
      </c>
      <c r="E210" s="3227">
        <v>11440</v>
      </c>
      <c r="F210" s="3227">
        <v>1740</v>
      </c>
      <c r="G210" s="3240">
        <v>5470</v>
      </c>
    </row>
    <row r="211" spans="1:7" s="3216" customFormat="1" ht="14.25" customHeight="1">
      <c r="A211" s="3227" t="s">
        <v>304</v>
      </c>
      <c r="B211" s="3227" t="s">
        <v>3087</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3088</v>
      </c>
      <c r="C214" s="3227">
        <v>8090</v>
      </c>
      <c r="D214" s="3227">
        <v>8030</v>
      </c>
      <c r="E214" s="3227">
        <v>10780</v>
      </c>
      <c r="F214" s="3227">
        <v>1570</v>
      </c>
      <c r="G214" s="3240">
        <v>5070</v>
      </c>
    </row>
    <row r="215" spans="1:7" s="3216" customFormat="1" ht="14.25" customHeight="1">
      <c r="A215" s="3227" t="s">
        <v>304</v>
      </c>
      <c r="B215" s="3227" t="s">
        <v>3089</v>
      </c>
      <c r="C215" s="3227">
        <v>7950</v>
      </c>
      <c r="D215" s="3227">
        <v>7900</v>
      </c>
      <c r="E215" s="3227">
        <v>10560</v>
      </c>
      <c r="F215" s="3227">
        <v>1630</v>
      </c>
      <c r="G215" s="3240">
        <v>4990</v>
      </c>
    </row>
    <row r="216" spans="1:7" s="3216" customFormat="1" ht="14.25" customHeight="1">
      <c r="A216" s="3227" t="s">
        <v>304</v>
      </c>
      <c r="B216" s="3227" t="s">
        <v>3090</v>
      </c>
      <c r="C216" s="3227">
        <v>8490</v>
      </c>
      <c r="D216" s="3227">
        <v>8440</v>
      </c>
      <c r="E216" s="3227">
        <v>11260</v>
      </c>
      <c r="F216" s="3227">
        <v>1690</v>
      </c>
      <c r="G216" s="3240">
        <v>5330</v>
      </c>
    </row>
    <row r="217" spans="1:7" s="3216" customFormat="1" ht="14.25" customHeight="1">
      <c r="A217" s="3227" t="s">
        <v>304</v>
      </c>
      <c r="B217" s="3227" t="s">
        <v>2955</v>
      </c>
      <c r="C217" s="3227">
        <v>8200</v>
      </c>
      <c r="D217" s="3227">
        <v>8150</v>
      </c>
      <c r="E217" s="3227">
        <v>10910</v>
      </c>
      <c r="F217" s="3227">
        <v>1670</v>
      </c>
      <c r="G217" s="3240">
        <v>5150</v>
      </c>
    </row>
    <row r="218" spans="1:7" s="3216" customFormat="1" ht="14.25" customHeight="1">
      <c r="A218" s="3227" t="s">
        <v>304</v>
      </c>
      <c r="B218" s="3227" t="s">
        <v>3091</v>
      </c>
      <c r="C218" s="3227"/>
      <c r="D218" s="3227"/>
      <c r="E218" s="3227"/>
      <c r="F218" s="3227">
        <v>2040</v>
      </c>
      <c r="G218" s="3240"/>
    </row>
    <row r="219" spans="1:7" s="3216" customFormat="1" ht="14.25" customHeight="1">
      <c r="A219" s="3227" t="s">
        <v>304</v>
      </c>
      <c r="B219" s="3227" t="s">
        <v>3092</v>
      </c>
      <c r="C219" s="3227"/>
      <c r="D219" s="3227"/>
      <c r="E219" s="3227"/>
      <c r="F219" s="3227">
        <v>2040</v>
      </c>
      <c r="G219" s="3240"/>
    </row>
    <row r="220" spans="1:7" s="3216" customFormat="1" ht="14.25" customHeight="1">
      <c r="A220" s="3227" t="s">
        <v>304</v>
      </c>
      <c r="B220" s="3227" t="s">
        <v>3093</v>
      </c>
      <c r="C220" s="3227"/>
      <c r="D220" s="3227"/>
      <c r="E220" s="3227"/>
      <c r="F220" s="3227">
        <v>2040</v>
      </c>
      <c r="G220" s="3240"/>
    </row>
    <row r="221" spans="1:7" s="3216" customFormat="1" ht="14.25" customHeight="1">
      <c r="A221" s="3227" t="s">
        <v>304</v>
      </c>
      <c r="B221" s="3227" t="s">
        <v>3094</v>
      </c>
      <c r="C221" s="3227"/>
      <c r="D221" s="3227"/>
      <c r="E221" s="3227"/>
      <c r="F221" s="3227">
        <v>2040</v>
      </c>
      <c r="G221" s="3240"/>
    </row>
    <row r="222" spans="1:7" s="3216" customFormat="1" ht="14.25" customHeight="1">
      <c r="A222" s="3227" t="s">
        <v>304</v>
      </c>
      <c r="B222" s="3227" t="s">
        <v>3095</v>
      </c>
      <c r="C222" s="3227"/>
      <c r="D222" s="3227"/>
      <c r="E222" s="3227"/>
      <c r="F222" s="3227">
        <v>2040</v>
      </c>
      <c r="G222" s="3240"/>
    </row>
    <row r="223" spans="1:7" s="3216" customFormat="1" ht="14.25" customHeight="1">
      <c r="A223" s="3227" t="s">
        <v>304</v>
      </c>
      <c r="B223" s="3227" t="s">
        <v>3096</v>
      </c>
      <c r="C223" s="3227"/>
      <c r="D223" s="3227"/>
      <c r="E223" s="3227"/>
      <c r="F223" s="3227">
        <v>1930</v>
      </c>
      <c r="G223" s="3240"/>
    </row>
    <row r="224" spans="1:7" s="3216" customFormat="1" ht="14.25" customHeight="1">
      <c r="A224" s="3227" t="s">
        <v>304</v>
      </c>
      <c r="B224" s="3227" t="s">
        <v>3097</v>
      </c>
      <c r="C224" s="3227"/>
      <c r="D224" s="3227"/>
      <c r="E224" s="3227"/>
      <c r="F224" s="3227">
        <v>1930</v>
      </c>
      <c r="G224" s="3240"/>
    </row>
    <row r="225" spans="1:7" s="3216" customFormat="1" ht="14.25" customHeight="1">
      <c r="A225" s="3227" t="s">
        <v>304</v>
      </c>
      <c r="B225" s="3227" t="s">
        <v>3098</v>
      </c>
      <c r="C225" s="3227"/>
      <c r="D225" s="3227"/>
      <c r="E225" s="3227"/>
      <c r="F225" s="3227">
        <v>1930</v>
      </c>
      <c r="G225" s="3240"/>
    </row>
    <row r="226" spans="1:7" s="3216" customFormat="1" ht="14.25" customHeight="1">
      <c r="A226" s="3227" t="s">
        <v>304</v>
      </c>
      <c r="B226" s="3227" t="s">
        <v>3099</v>
      </c>
      <c r="C226" s="3227"/>
      <c r="D226" s="3227"/>
      <c r="E226" s="3227"/>
      <c r="F226" s="3227">
        <v>1700</v>
      </c>
      <c r="G226" s="3240"/>
    </row>
    <row r="227" spans="1:7" s="3216" customFormat="1" ht="14.25" customHeight="1">
      <c r="A227" s="3227" t="s">
        <v>304</v>
      </c>
      <c r="B227" s="3227" t="s">
        <v>3100</v>
      </c>
      <c r="C227" s="3227"/>
      <c r="D227" s="3227"/>
      <c r="E227" s="3227"/>
      <c r="F227" s="3227">
        <v>1520</v>
      </c>
      <c r="G227" s="3240"/>
    </row>
    <row r="228" spans="1:7" s="3216" customFormat="1" ht="14.25" customHeight="1">
      <c r="A228" s="3227" t="s">
        <v>304</v>
      </c>
      <c r="B228" s="3227" t="s">
        <v>3101</v>
      </c>
      <c r="C228" s="3227"/>
      <c r="D228" s="3227"/>
      <c r="E228" s="3227"/>
      <c r="F228" s="3227">
        <v>1520</v>
      </c>
      <c r="G228" s="3240"/>
    </row>
    <row r="229" spans="1:7" s="3216" customFormat="1" ht="14.25" customHeight="1">
      <c r="A229" s="3227" t="s">
        <v>304</v>
      </c>
      <c r="B229" s="3227" t="s">
        <v>3018</v>
      </c>
      <c r="C229" s="3227"/>
      <c r="D229" s="3227"/>
      <c r="E229" s="3227"/>
      <c r="F229" s="3227">
        <v>1520</v>
      </c>
      <c r="G229" s="3240"/>
    </row>
    <row r="230" spans="1:7" s="3216" customFormat="1" ht="14.25" customHeight="1">
      <c r="A230" s="3227" t="s">
        <v>304</v>
      </c>
      <c r="B230" s="3227" t="s">
        <v>3102</v>
      </c>
      <c r="C230" s="3227"/>
      <c r="D230" s="3227"/>
      <c r="E230" s="3227"/>
      <c r="F230" s="3227">
        <v>1820</v>
      </c>
      <c r="G230" s="3240"/>
    </row>
    <row r="231" spans="1:7" s="3216" customFormat="1" ht="14.25" customHeight="1">
      <c r="A231" s="3227" t="s">
        <v>304</v>
      </c>
      <c r="B231" s="3227" t="s">
        <v>3103</v>
      </c>
      <c r="C231" s="3227"/>
      <c r="D231" s="3227"/>
      <c r="E231" s="3227"/>
      <c r="F231" s="3227">
        <v>1760</v>
      </c>
      <c r="G231" s="3240"/>
    </row>
    <row r="232" spans="1:7" s="3216" customFormat="1" ht="14.25" customHeight="1">
      <c r="A232" s="3227" t="s">
        <v>304</v>
      </c>
      <c r="B232" s="3227" t="s">
        <v>3104</v>
      </c>
      <c r="C232" s="3227"/>
      <c r="D232" s="3227"/>
      <c r="E232" s="3227"/>
      <c r="F232" s="3227">
        <v>1840</v>
      </c>
      <c r="G232" s="3240"/>
    </row>
    <row r="233" spans="1:7" s="3216" customFormat="1" ht="14.25" customHeight="1" thickBot="1">
      <c r="A233" s="3241" t="s">
        <v>304</v>
      </c>
      <c r="B233" s="3234" t="s">
        <v>3035</v>
      </c>
      <c r="C233" s="3234"/>
      <c r="D233" s="3234"/>
      <c r="E233" s="3234"/>
      <c r="F233" s="3234">
        <v>1770</v>
      </c>
      <c r="G233" s="3242"/>
    </row>
    <row r="234" spans="1:7" s="3216" customFormat="1" ht="14.25" customHeight="1">
      <c r="A234" s="3232" t="s">
        <v>305</v>
      </c>
      <c r="B234" s="3223" t="s">
        <v>3105</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2876</v>
      </c>
      <c r="C238" s="3227">
        <v>6920</v>
      </c>
      <c r="D238" s="3227">
        <v>6890</v>
      </c>
      <c r="E238" s="3227">
        <v>8640</v>
      </c>
      <c r="F238" s="3227">
        <v>1310</v>
      </c>
      <c r="G238" s="3227">
        <v>4230</v>
      </c>
    </row>
    <row r="239" spans="1:7" s="3216" customFormat="1" ht="14.25" customHeight="1">
      <c r="A239" s="3227" t="s">
        <v>305</v>
      </c>
      <c r="B239" s="3227" t="s">
        <v>3106</v>
      </c>
      <c r="C239" s="3227">
        <v>6780</v>
      </c>
      <c r="D239" s="3227">
        <v>6750</v>
      </c>
      <c r="E239" s="3227">
        <v>8440</v>
      </c>
      <c r="F239" s="3227">
        <v>1160</v>
      </c>
      <c r="G239" s="3227">
        <v>4140</v>
      </c>
    </row>
    <row r="240" spans="1:7" s="3216" customFormat="1" ht="14.25" customHeight="1">
      <c r="A240" s="3227" t="s">
        <v>305</v>
      </c>
      <c r="B240" s="3227" t="s">
        <v>3107</v>
      </c>
      <c r="C240" s="3227">
        <v>5420</v>
      </c>
      <c r="D240" s="3227">
        <v>5380</v>
      </c>
      <c r="E240" s="3227">
        <v>6640</v>
      </c>
      <c r="F240" s="3227">
        <v>1020</v>
      </c>
      <c r="G240" s="3227">
        <v>3300</v>
      </c>
    </row>
    <row r="241" spans="1:7" s="3216" customFormat="1" ht="14.25" customHeight="1">
      <c r="A241" s="3227" t="s">
        <v>305</v>
      </c>
      <c r="B241" s="3227" t="s">
        <v>3108</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3109</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3110</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3111</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3112</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3113</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2938</v>
      </c>
      <c r="C258" s="3227">
        <v>6190</v>
      </c>
      <c r="D258" s="3227">
        <v>6160</v>
      </c>
      <c r="E258" s="3227">
        <v>7680</v>
      </c>
      <c r="F258" s="3227">
        <v>1170</v>
      </c>
      <c r="G258" s="3227">
        <v>3780</v>
      </c>
    </row>
    <row r="259" spans="1:7" s="3216" customFormat="1" ht="14.25" customHeight="1">
      <c r="A259" s="3227" t="s">
        <v>305</v>
      </c>
      <c r="B259" s="3227" t="s">
        <v>3114</v>
      </c>
      <c r="C259" s="3227">
        <v>7610</v>
      </c>
      <c r="D259" s="3227">
        <v>7570</v>
      </c>
      <c r="E259" s="3227">
        <v>9350</v>
      </c>
      <c r="F259" s="3227">
        <v>1350</v>
      </c>
      <c r="G259" s="3227">
        <v>4650</v>
      </c>
    </row>
    <row r="260" spans="1:7" s="3216" customFormat="1" ht="14.25" customHeight="1">
      <c r="A260" s="3227" t="s">
        <v>305</v>
      </c>
      <c r="B260" s="3227" t="s">
        <v>3115</v>
      </c>
      <c r="C260" s="3227">
        <v>6920</v>
      </c>
      <c r="D260" s="3227">
        <v>6880</v>
      </c>
      <c r="E260" s="3227">
        <v>8380</v>
      </c>
      <c r="F260" s="3227">
        <v>1160</v>
      </c>
      <c r="G260" s="3227">
        <v>4220</v>
      </c>
    </row>
    <row r="261" spans="1:7" s="3216" customFormat="1" ht="14.25" customHeight="1">
      <c r="A261" s="3227" t="s">
        <v>305</v>
      </c>
      <c r="B261" s="3227" t="s">
        <v>3116</v>
      </c>
      <c r="C261" s="3227">
        <v>6850</v>
      </c>
      <c r="D261" s="3227">
        <v>6810</v>
      </c>
      <c r="E261" s="3227">
        <v>8290</v>
      </c>
      <c r="F261" s="3227">
        <v>1130</v>
      </c>
      <c r="G261" s="3227">
        <v>4180</v>
      </c>
    </row>
    <row r="262" spans="1:7" s="3216" customFormat="1" ht="14.25" customHeight="1">
      <c r="A262" s="3227" t="s">
        <v>305</v>
      </c>
      <c r="B262" s="3227" t="s">
        <v>3117</v>
      </c>
      <c r="C262" s="3227">
        <v>5860</v>
      </c>
      <c r="D262" s="3227">
        <v>5820</v>
      </c>
      <c r="E262" s="3227">
        <v>7640</v>
      </c>
      <c r="F262" s="3227">
        <v>1070</v>
      </c>
      <c r="G262" s="3227">
        <v>3570</v>
      </c>
    </row>
    <row r="263" spans="1:7" s="3216" customFormat="1" ht="14.25" customHeight="1">
      <c r="A263" s="3227" t="s">
        <v>305</v>
      </c>
      <c r="B263" s="3227" t="s">
        <v>3118</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3119</v>
      </c>
      <c r="C265" s="3227"/>
      <c r="D265" s="3227"/>
      <c r="E265" s="3227"/>
      <c r="F265" s="3227">
        <v>1500</v>
      </c>
      <c r="G265" s="3227"/>
    </row>
    <row r="266" spans="1:7" s="3216" customFormat="1" ht="14.25" customHeight="1">
      <c r="A266" s="3227" t="s">
        <v>305</v>
      </c>
      <c r="B266" s="3227" t="s">
        <v>3120</v>
      </c>
      <c r="C266" s="3227"/>
      <c r="D266" s="3227"/>
      <c r="E266" s="3227"/>
      <c r="F266" s="3227">
        <v>1500</v>
      </c>
      <c r="G266" s="3227"/>
    </row>
    <row r="267" spans="1:7" s="3216" customFormat="1" ht="14.25" customHeight="1">
      <c r="A267" s="3227" t="s">
        <v>305</v>
      </c>
      <c r="B267" s="3227" t="s">
        <v>3121</v>
      </c>
      <c r="C267" s="3227"/>
      <c r="D267" s="3227"/>
      <c r="E267" s="3227"/>
      <c r="F267" s="3227">
        <v>1500</v>
      </c>
      <c r="G267" s="3227"/>
    </row>
    <row r="268" spans="1:7" s="3216" customFormat="1" ht="14.25" customHeight="1">
      <c r="A268" s="3227" t="s">
        <v>305</v>
      </c>
      <c r="B268" s="3227" t="s">
        <v>3122</v>
      </c>
      <c r="C268" s="3227"/>
      <c r="D268" s="3227"/>
      <c r="E268" s="3227"/>
      <c r="F268" s="3227">
        <v>1290</v>
      </c>
      <c r="G268" s="3227"/>
    </row>
    <row r="269" spans="1:7" s="3216" customFormat="1" ht="14.25" customHeight="1">
      <c r="A269" s="3227" t="s">
        <v>305</v>
      </c>
      <c r="B269" s="3227" t="s">
        <v>3123</v>
      </c>
      <c r="C269" s="3227"/>
      <c r="D269" s="3227"/>
      <c r="E269" s="3227"/>
      <c r="F269" s="3227">
        <v>1150</v>
      </c>
      <c r="G269" s="3227"/>
    </row>
    <row r="270" spans="1:7" s="3216" customFormat="1" ht="14.25" customHeight="1">
      <c r="A270" s="3227" t="s">
        <v>305</v>
      </c>
      <c r="B270" s="3227" t="s">
        <v>3124</v>
      </c>
      <c r="C270" s="3227"/>
      <c r="D270" s="3227"/>
      <c r="E270" s="3227"/>
      <c r="F270" s="3227">
        <v>1380</v>
      </c>
      <c r="G270" s="3227"/>
    </row>
    <row r="271" spans="1:7" s="3216" customFormat="1" ht="14.25" customHeight="1">
      <c r="A271" s="3227" t="s">
        <v>305</v>
      </c>
      <c r="B271" s="3227" t="s">
        <v>3125</v>
      </c>
      <c r="C271" s="3227"/>
      <c r="D271" s="3227"/>
      <c r="E271" s="3227"/>
      <c r="F271" s="3227">
        <v>1460</v>
      </c>
      <c r="G271" s="3227"/>
    </row>
    <row r="272" spans="1:7" s="3216" customFormat="1" ht="14.25" customHeight="1">
      <c r="A272" s="3227" t="s">
        <v>305</v>
      </c>
      <c r="B272" s="3227" t="s">
        <v>3126</v>
      </c>
      <c r="C272" s="3227"/>
      <c r="D272" s="3227"/>
      <c r="E272" s="3227"/>
      <c r="F272" s="3227">
        <v>1460</v>
      </c>
      <c r="G272" s="3227"/>
    </row>
    <row r="273" spans="1:7" s="3216" customFormat="1" ht="14.25" customHeight="1">
      <c r="A273" s="3227" t="s">
        <v>305</v>
      </c>
      <c r="B273" s="3227" t="s">
        <v>3019</v>
      </c>
      <c r="C273" s="3227"/>
      <c r="D273" s="3227"/>
      <c r="E273" s="3227"/>
      <c r="F273" s="3227">
        <v>1490</v>
      </c>
      <c r="G273" s="3227"/>
    </row>
    <row r="274" spans="1:7" s="3216" customFormat="1" ht="14.25" customHeight="1">
      <c r="A274" s="3227" t="s">
        <v>305</v>
      </c>
      <c r="B274" s="3227" t="s">
        <v>3127</v>
      </c>
      <c r="C274" s="3227"/>
      <c r="D274" s="3227"/>
      <c r="E274" s="3227"/>
      <c r="F274" s="3227">
        <v>1490</v>
      </c>
      <c r="G274" s="3227"/>
    </row>
    <row r="275" spans="1:7" s="3216" customFormat="1" ht="14.25" customHeight="1">
      <c r="A275" s="3227" t="s">
        <v>305</v>
      </c>
      <c r="B275" s="3227" t="s">
        <v>3128</v>
      </c>
      <c r="C275" s="3227"/>
      <c r="D275" s="3227"/>
      <c r="E275" s="3227"/>
      <c r="F275" s="3227">
        <v>1220</v>
      </c>
      <c r="G275" s="3227"/>
    </row>
    <row r="276" spans="1:7" s="3216" customFormat="1" ht="14.25" customHeight="1" thickBot="1">
      <c r="A276" s="3235" t="s">
        <v>305</v>
      </c>
      <c r="B276" s="3237" t="s">
        <v>3129</v>
      </c>
      <c r="C276" s="3238"/>
      <c r="D276" s="3238"/>
      <c r="E276" s="3238"/>
      <c r="F276" s="3238">
        <v>1380</v>
      </c>
      <c r="G276" s="3238"/>
    </row>
    <row r="277" spans="1:7" s="3216" customFormat="1" ht="14.25" customHeight="1">
      <c r="A277" s="3232" t="s">
        <v>306</v>
      </c>
      <c r="B277" s="3223" t="s">
        <v>3130</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3131</v>
      </c>
      <c r="C279" s="3227">
        <v>4760</v>
      </c>
      <c r="D279" s="3227">
        <v>4720</v>
      </c>
      <c r="E279" s="3227">
        <v>5540</v>
      </c>
      <c r="F279" s="3227">
        <v>810</v>
      </c>
      <c r="G279" s="3240">
        <v>2850</v>
      </c>
    </row>
    <row r="280" spans="1:7" s="3216" customFormat="1" ht="14.25" customHeight="1">
      <c r="A280" s="3227" t="s">
        <v>306</v>
      </c>
      <c r="B280" s="3227" t="s">
        <v>3132</v>
      </c>
      <c r="C280" s="3227">
        <v>4010</v>
      </c>
      <c r="D280" s="3227">
        <v>3950</v>
      </c>
      <c r="E280" s="3227">
        <v>4710</v>
      </c>
      <c r="F280" s="3227">
        <v>800</v>
      </c>
      <c r="G280" s="3240">
        <v>2390</v>
      </c>
    </row>
    <row r="281" spans="1:7" s="3216" customFormat="1" ht="14.25" customHeight="1">
      <c r="A281" s="3227" t="s">
        <v>306</v>
      </c>
      <c r="B281" s="3227" t="s">
        <v>3133</v>
      </c>
      <c r="C281" s="3227">
        <v>4480</v>
      </c>
      <c r="D281" s="3227">
        <v>4420</v>
      </c>
      <c r="E281" s="3227">
        <v>5230</v>
      </c>
      <c r="F281" s="3227">
        <v>870</v>
      </c>
      <c r="G281" s="3240">
        <v>2660</v>
      </c>
    </row>
    <row r="282" spans="1:7" s="3216" customFormat="1" ht="14.25" customHeight="1">
      <c r="A282" s="3227" t="s">
        <v>306</v>
      </c>
      <c r="B282" s="3227" t="s">
        <v>3134</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3135</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3136</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2911</v>
      </c>
      <c r="C293" s="3227">
        <v>5320</v>
      </c>
      <c r="D293" s="3227">
        <v>5270</v>
      </c>
      <c r="E293" s="3227">
        <v>6160</v>
      </c>
      <c r="F293" s="3227">
        <v>990</v>
      </c>
      <c r="G293" s="3240">
        <v>3170</v>
      </c>
    </row>
    <row r="294" spans="1:7" s="3216" customFormat="1" ht="14.25" customHeight="1">
      <c r="A294" s="3227" t="s">
        <v>306</v>
      </c>
      <c r="B294" s="3227" t="s">
        <v>3137</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2930</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3138</v>
      </c>
      <c r="C302" s="3227">
        <v>5520</v>
      </c>
      <c r="D302" s="3227">
        <v>5470</v>
      </c>
      <c r="E302" s="3227">
        <v>6410</v>
      </c>
      <c r="F302" s="3227">
        <v>950</v>
      </c>
      <c r="G302" s="3240">
        <v>3300</v>
      </c>
    </row>
    <row r="303" spans="1:7" s="3216" customFormat="1" ht="14.25" customHeight="1">
      <c r="A303" s="3227" t="s">
        <v>306</v>
      </c>
      <c r="B303" s="3227" t="s">
        <v>2950</v>
      </c>
      <c r="C303" s="3227">
        <v>5630</v>
      </c>
      <c r="D303" s="3227">
        <v>5590</v>
      </c>
      <c r="E303" s="3227">
        <v>6550</v>
      </c>
      <c r="F303" s="3227">
        <v>1010</v>
      </c>
      <c r="G303" s="3240">
        <v>3370</v>
      </c>
    </row>
    <row r="304" spans="1:7" s="3216" customFormat="1" ht="14.25" customHeight="1">
      <c r="A304" s="3227" t="s">
        <v>306</v>
      </c>
      <c r="B304" s="3227" t="s">
        <v>2957</v>
      </c>
      <c r="C304" s="3227">
        <v>5680</v>
      </c>
      <c r="D304" s="3227">
        <v>5620</v>
      </c>
      <c r="E304" s="3227">
        <v>6620</v>
      </c>
      <c r="F304" s="3227">
        <v>1050</v>
      </c>
      <c r="G304" s="3240">
        <v>3390</v>
      </c>
    </row>
    <row r="305" spans="1:7" s="3216" customFormat="1" ht="14.25" customHeight="1">
      <c r="A305" s="3227" t="s">
        <v>306</v>
      </c>
      <c r="B305" s="3227" t="s">
        <v>2963</v>
      </c>
      <c r="C305" s="3227">
        <v>5590</v>
      </c>
      <c r="D305" s="3227">
        <v>5530</v>
      </c>
      <c r="E305" s="3227">
        <v>6460</v>
      </c>
      <c r="F305" s="3227">
        <v>900</v>
      </c>
      <c r="G305" s="3240">
        <v>3340</v>
      </c>
    </row>
    <row r="306" spans="1:7" s="3216" customFormat="1" ht="14.25" customHeight="1">
      <c r="A306" s="3227" t="s">
        <v>306</v>
      </c>
      <c r="B306" s="3227" t="s">
        <v>3139</v>
      </c>
      <c r="C306" s="3227">
        <v>5560</v>
      </c>
      <c r="D306" s="3227">
        <v>5510</v>
      </c>
      <c r="E306" s="3227">
        <v>6440</v>
      </c>
      <c r="F306" s="3227">
        <v>900</v>
      </c>
      <c r="G306" s="3240">
        <v>3320</v>
      </c>
    </row>
    <row r="307" spans="1:7" s="3216" customFormat="1" ht="14.25" customHeight="1">
      <c r="A307" s="3227" t="s">
        <v>306</v>
      </c>
      <c r="B307" s="3227" t="s">
        <v>2975</v>
      </c>
      <c r="C307" s="3227">
        <v>5650</v>
      </c>
      <c r="D307" s="3227">
        <v>5600</v>
      </c>
      <c r="E307" s="3227">
        <v>6590</v>
      </c>
      <c r="F307" s="3227">
        <v>930</v>
      </c>
      <c r="G307" s="3240">
        <v>3380</v>
      </c>
    </row>
    <row r="308" spans="1:7" s="3216" customFormat="1" ht="14.25" customHeight="1">
      <c r="A308" s="3227" t="s">
        <v>306</v>
      </c>
      <c r="B308" s="3227" t="s">
        <v>3140</v>
      </c>
      <c r="C308" s="3227">
        <v>5620</v>
      </c>
      <c r="D308" s="3227">
        <v>5580</v>
      </c>
      <c r="E308" s="3227">
        <v>6540</v>
      </c>
      <c r="F308" s="3227">
        <v>910</v>
      </c>
      <c r="G308" s="3240">
        <v>3370</v>
      </c>
    </row>
    <row r="309" spans="1:7" s="3216" customFormat="1" ht="14.25" customHeight="1">
      <c r="A309" s="3227" t="s">
        <v>306</v>
      </c>
      <c r="B309" s="3227" t="s">
        <v>3141</v>
      </c>
      <c r="C309" s="3227">
        <v>5060</v>
      </c>
      <c r="D309" s="3227">
        <v>5020</v>
      </c>
      <c r="E309" s="3227">
        <v>6370</v>
      </c>
      <c r="F309" s="3227">
        <v>800</v>
      </c>
      <c r="G309" s="3240">
        <v>3020</v>
      </c>
    </row>
    <row r="310" spans="1:7" s="3216" customFormat="1" ht="14.25" customHeight="1">
      <c r="A310" s="3227" t="s">
        <v>306</v>
      </c>
      <c r="B310" s="3227" t="s">
        <v>2990</v>
      </c>
      <c r="C310" s="3227">
        <v>5150</v>
      </c>
      <c r="D310" s="3227">
        <v>5110</v>
      </c>
      <c r="E310" s="3227">
        <v>6500</v>
      </c>
      <c r="F310" s="3227">
        <v>880</v>
      </c>
      <c r="G310" s="3240">
        <v>3080</v>
      </c>
    </row>
    <row r="311" spans="1:7" s="3216" customFormat="1" ht="14.25" customHeight="1">
      <c r="A311" s="3227" t="s">
        <v>306</v>
      </c>
      <c r="B311" s="3227" t="s">
        <v>3142</v>
      </c>
      <c r="C311" s="3227">
        <v>4750</v>
      </c>
      <c r="D311" s="3227">
        <v>4710</v>
      </c>
      <c r="E311" s="3227">
        <v>5510</v>
      </c>
      <c r="F311" s="3227">
        <v>880</v>
      </c>
      <c r="G311" s="3240">
        <v>2840</v>
      </c>
    </row>
    <row r="312" spans="1:7" s="3216" customFormat="1" ht="14.25" customHeight="1">
      <c r="A312" s="3227" t="s">
        <v>306</v>
      </c>
      <c r="B312" s="3227" t="s">
        <v>3000</v>
      </c>
      <c r="C312" s="3227">
        <v>4690</v>
      </c>
      <c r="D312" s="3227">
        <v>4640</v>
      </c>
      <c r="E312" s="3227">
        <v>5420</v>
      </c>
      <c r="F312" s="3227">
        <v>800</v>
      </c>
      <c r="G312" s="3240">
        <v>2800</v>
      </c>
    </row>
    <row r="313" spans="1:7" s="3216" customFormat="1" ht="14.25" customHeight="1">
      <c r="A313" s="3227" t="s">
        <v>306</v>
      </c>
      <c r="B313" s="3227" t="s">
        <v>3005</v>
      </c>
      <c r="C313" s="3227">
        <v>4810</v>
      </c>
      <c r="D313" s="3227">
        <v>4760</v>
      </c>
      <c r="E313" s="3227">
        <v>5550</v>
      </c>
      <c r="F313" s="3227">
        <v>920</v>
      </c>
      <c r="G313" s="3240">
        <v>2870</v>
      </c>
    </row>
    <row r="314" spans="1:7" s="3216" customFormat="1" ht="14.25" customHeight="1">
      <c r="A314" s="3227" t="s">
        <v>306</v>
      </c>
      <c r="B314" s="3227" t="s">
        <v>3143</v>
      </c>
      <c r="C314" s="3227"/>
      <c r="D314" s="3227"/>
      <c r="E314" s="3227"/>
      <c r="F314" s="3227">
        <v>1020</v>
      </c>
      <c r="G314" s="3240"/>
    </row>
    <row r="315" spans="1:7" s="3216" customFormat="1" ht="14.25" customHeight="1">
      <c r="A315" s="3227" t="s">
        <v>306</v>
      </c>
      <c r="B315" s="3227" t="s">
        <v>3144</v>
      </c>
      <c r="C315" s="3227"/>
      <c r="D315" s="3227"/>
      <c r="E315" s="3227"/>
      <c r="F315" s="3227">
        <v>1050</v>
      </c>
      <c r="G315" s="3240"/>
    </row>
    <row r="316" spans="1:7" s="3216" customFormat="1" ht="14.25" customHeight="1">
      <c r="A316" s="3227" t="s">
        <v>306</v>
      </c>
      <c r="B316" s="3227" t="s">
        <v>3020</v>
      </c>
      <c r="C316" s="3227"/>
      <c r="D316" s="3227"/>
      <c r="E316" s="3227"/>
      <c r="F316" s="3227">
        <v>900</v>
      </c>
      <c r="G316" s="3240"/>
    </row>
    <row r="317" spans="1:7" s="3216" customFormat="1" ht="14.25" customHeight="1">
      <c r="A317" s="3227" t="s">
        <v>306</v>
      </c>
      <c r="B317" s="3227" t="s">
        <v>3145</v>
      </c>
      <c r="C317" s="3227"/>
      <c r="D317" s="3227"/>
      <c r="E317" s="3227"/>
      <c r="F317" s="3227">
        <v>920</v>
      </c>
      <c r="G317" s="3240"/>
    </row>
    <row r="318" spans="1:7" s="3216" customFormat="1" ht="14.25" customHeight="1">
      <c r="A318" s="3227" t="s">
        <v>306</v>
      </c>
      <c r="B318" s="3227" t="s">
        <v>3146</v>
      </c>
      <c r="C318" s="3227"/>
      <c r="D318" s="3227"/>
      <c r="E318" s="3227"/>
      <c r="F318" s="3227">
        <v>1080</v>
      </c>
      <c r="G318" s="3240"/>
    </row>
    <row r="319" spans="1:7" s="3216" customFormat="1" ht="14.25" customHeight="1">
      <c r="A319" s="3227" t="s">
        <v>306</v>
      </c>
      <c r="B319" s="3227" t="s">
        <v>3033</v>
      </c>
      <c r="C319" s="3227"/>
      <c r="D319" s="3227"/>
      <c r="E319" s="3227"/>
      <c r="F319" s="3227">
        <v>1020</v>
      </c>
      <c r="G319" s="3240"/>
    </row>
    <row r="320" spans="1:7" s="3216" customFormat="1" ht="14.25" customHeight="1">
      <c r="A320" s="3227" t="s">
        <v>306</v>
      </c>
      <c r="B320" s="3227" t="s">
        <v>3036</v>
      </c>
      <c r="C320" s="3227"/>
      <c r="D320" s="3227"/>
      <c r="E320" s="3227"/>
      <c r="F320" s="3227">
        <v>1050</v>
      </c>
      <c r="G320" s="3240"/>
    </row>
    <row r="321" spans="1:7" s="3216" customFormat="1" ht="14.25" customHeight="1">
      <c r="A321" s="3227" t="s">
        <v>306</v>
      </c>
      <c r="B321" s="3227" t="s">
        <v>3038</v>
      </c>
      <c r="C321" s="3227"/>
      <c r="D321" s="3227"/>
      <c r="E321" s="3227"/>
      <c r="F321" s="3227">
        <v>960</v>
      </c>
      <c r="G321" s="3240"/>
    </row>
    <row r="322" spans="1:7" s="3216" customFormat="1" ht="14.25" customHeight="1">
      <c r="A322" s="3227" t="s">
        <v>306</v>
      </c>
      <c r="B322" s="3227" t="s">
        <v>3040</v>
      </c>
      <c r="C322" s="3227"/>
      <c r="D322" s="3227"/>
      <c r="E322" s="3227"/>
      <c r="F322" s="3227">
        <v>960</v>
      </c>
      <c r="G322" s="3240"/>
    </row>
    <row r="323" spans="1:7" s="3216" customFormat="1" ht="14.25" customHeight="1">
      <c r="A323" s="3227" t="s">
        <v>306</v>
      </c>
      <c r="B323" s="3227" t="s">
        <v>3042</v>
      </c>
      <c r="C323" s="3227"/>
      <c r="D323" s="3227"/>
      <c r="E323" s="3227"/>
      <c r="F323" s="3227">
        <v>880</v>
      </c>
      <c r="G323" s="3240"/>
    </row>
    <row r="324" spans="1:7" s="3216" customFormat="1" ht="14.25" customHeight="1">
      <c r="A324" s="3227" t="s">
        <v>306</v>
      </c>
      <c r="B324" s="3227" t="s">
        <v>3044</v>
      </c>
      <c r="C324" s="3227"/>
      <c r="D324" s="3227"/>
      <c r="E324" s="3227"/>
      <c r="F324" s="3227">
        <v>930</v>
      </c>
      <c r="G324" s="3240"/>
    </row>
    <row r="325" spans="1:7" s="3216" customFormat="1" ht="14.25" customHeight="1">
      <c r="A325" s="3227" t="s">
        <v>306</v>
      </c>
      <c r="B325" s="3228" t="s">
        <v>3046</v>
      </c>
      <c r="C325" s="3227"/>
      <c r="D325" s="3227"/>
      <c r="E325" s="3227"/>
      <c r="F325" s="3227">
        <v>900</v>
      </c>
      <c r="G325" s="3240"/>
    </row>
    <row r="326" spans="1:7" s="3216" customFormat="1" ht="14.25" customHeight="1" thickBot="1">
      <c r="A326" s="3241" t="s">
        <v>306</v>
      </c>
      <c r="B326" s="3234" t="s">
        <v>3048</v>
      </c>
      <c r="C326" s="3234"/>
      <c r="D326" s="3234"/>
      <c r="E326" s="3234"/>
      <c r="F326" s="3234">
        <v>790</v>
      </c>
      <c r="G326" s="3242"/>
    </row>
    <row r="327" spans="1:7" s="3216" customFormat="1" ht="14.25" customHeight="1">
      <c r="A327" s="3232" t="s">
        <v>307</v>
      </c>
      <c r="B327" s="3223" t="s">
        <v>3147</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3148</v>
      </c>
      <c r="C329" s="3227">
        <v>2730</v>
      </c>
      <c r="D329" s="3227">
        <v>2690</v>
      </c>
      <c r="E329" s="3227">
        <v>3100</v>
      </c>
      <c r="F329" s="3227">
        <v>660</v>
      </c>
      <c r="G329" s="3227">
        <v>1610</v>
      </c>
    </row>
    <row r="330" spans="1:7" s="3216" customFormat="1" ht="14.25" customHeight="1">
      <c r="A330" s="3227" t="s">
        <v>307</v>
      </c>
      <c r="B330" s="3227" t="s">
        <v>3149</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2882</v>
      </c>
      <c r="C332" s="3227">
        <v>3520</v>
      </c>
      <c r="D332" s="3227">
        <v>3480</v>
      </c>
      <c r="E332" s="3227">
        <v>3830</v>
      </c>
      <c r="F332" s="3227">
        <v>720</v>
      </c>
      <c r="G332" s="3227">
        <v>2090</v>
      </c>
    </row>
    <row r="333" spans="1:7" s="3216" customFormat="1" ht="14.25" customHeight="1">
      <c r="A333" s="3227" t="s">
        <v>307</v>
      </c>
      <c r="B333" s="3227" t="s">
        <v>3150</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2892</v>
      </c>
      <c r="C336" s="3227">
        <v>3570</v>
      </c>
      <c r="D336" s="3227">
        <v>3530</v>
      </c>
      <c r="E336" s="3227">
        <v>3880</v>
      </c>
      <c r="F336" s="3227">
        <v>770</v>
      </c>
      <c r="G336" s="3227">
        <v>2110</v>
      </c>
    </row>
    <row r="337" spans="1:10" s="3216" customFormat="1" ht="14.25" customHeight="1">
      <c r="A337" s="3227" t="s">
        <v>307</v>
      </c>
      <c r="B337" s="3227" t="s">
        <v>3151</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3152</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3153</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2917</v>
      </c>
      <c r="C345" s="3227">
        <v>3190</v>
      </c>
      <c r="D345" s="3227">
        <v>3140</v>
      </c>
      <c r="E345" s="3227">
        <v>3450</v>
      </c>
      <c r="F345" s="3227">
        <v>720</v>
      </c>
      <c r="G345" s="3227">
        <v>1880</v>
      </c>
      <c r="J345" s="3216"/>
    </row>
    <row r="346" spans="1:10">
      <c r="A346" s="3227" t="s">
        <v>307</v>
      </c>
      <c r="B346" s="3227" t="s">
        <v>3154</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2926</v>
      </c>
      <c r="C348" s="3227">
        <v>4000</v>
      </c>
      <c r="D348" s="3227">
        <v>3950</v>
      </c>
      <c r="E348" s="3227">
        <v>4430</v>
      </c>
      <c r="F348" s="3227">
        <v>760</v>
      </c>
      <c r="G348" s="3227">
        <v>2360</v>
      </c>
      <c r="J348" s="3216"/>
    </row>
    <row r="349" spans="1:10">
      <c r="A349" s="3227" t="s">
        <v>307</v>
      </c>
      <c r="B349" s="3227" t="s">
        <v>2931</v>
      </c>
      <c r="C349" s="3227">
        <v>3820</v>
      </c>
      <c r="D349" s="3227">
        <v>3780</v>
      </c>
      <c r="E349" s="3227">
        <v>4170</v>
      </c>
      <c r="F349" s="3227">
        <v>710</v>
      </c>
      <c r="G349" s="3227">
        <v>2260</v>
      </c>
      <c r="J349" s="3216"/>
    </row>
    <row r="350" spans="1:10">
      <c r="A350" s="3227" t="s">
        <v>307</v>
      </c>
      <c r="B350" s="3227" t="s">
        <v>3155</v>
      </c>
      <c r="C350" s="3227">
        <v>3760</v>
      </c>
      <c r="D350" s="3227">
        <v>3730</v>
      </c>
      <c r="E350" s="3227">
        <v>4100</v>
      </c>
      <c r="F350" s="3227">
        <v>800</v>
      </c>
      <c r="G350" s="3227">
        <v>2230</v>
      </c>
      <c r="J350" s="3216"/>
    </row>
    <row r="351" spans="1:10">
      <c r="A351" s="3227" t="s">
        <v>307</v>
      </c>
      <c r="B351" s="3227" t="s">
        <v>2939</v>
      </c>
      <c r="C351" s="3227">
        <v>3610</v>
      </c>
      <c r="D351" s="3227">
        <v>3580</v>
      </c>
      <c r="E351" s="3227">
        <v>3930</v>
      </c>
      <c r="F351" s="3227">
        <v>700</v>
      </c>
      <c r="G351" s="3227">
        <v>2140</v>
      </c>
      <c r="J351" s="3216"/>
    </row>
    <row r="352" spans="1:10">
      <c r="A352" s="3227" t="s">
        <v>307</v>
      </c>
      <c r="B352" s="3227" t="s">
        <v>2944</v>
      </c>
      <c r="C352" s="3227">
        <v>3670</v>
      </c>
      <c r="D352" s="3227">
        <v>3630</v>
      </c>
      <c r="E352" s="3227">
        <v>4000</v>
      </c>
      <c r="F352" s="3227">
        <v>750</v>
      </c>
      <c r="G352" s="3227">
        <v>2180</v>
      </c>
    </row>
    <row r="353" spans="1:7" s="3220" customFormat="1">
      <c r="A353" s="3227" t="s">
        <v>307</v>
      </c>
      <c r="B353" s="3227" t="s">
        <v>3156</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2964</v>
      </c>
      <c r="C355" s="3227">
        <v>3650</v>
      </c>
      <c r="D355" s="3227">
        <v>3610</v>
      </c>
      <c r="E355" s="3227">
        <v>4200</v>
      </c>
      <c r="F355" s="3227">
        <v>640</v>
      </c>
      <c r="G355" s="3227">
        <v>2160</v>
      </c>
    </row>
    <row r="356" spans="1:7" s="3220" customFormat="1">
      <c r="A356" s="3227" t="s">
        <v>307</v>
      </c>
      <c r="B356" s="3227" t="s">
        <v>2971</v>
      </c>
      <c r="C356" s="3227">
        <v>3260</v>
      </c>
      <c r="D356" s="3227">
        <v>3230</v>
      </c>
      <c r="E356" s="3227">
        <v>3740</v>
      </c>
      <c r="F356" s="3227">
        <v>600</v>
      </c>
      <c r="G356" s="3227">
        <v>1930</v>
      </c>
    </row>
    <row r="357" spans="1:7" s="3220" customFormat="1" ht="12" thickBot="1">
      <c r="A357" s="3235" t="s">
        <v>307</v>
      </c>
      <c r="B357" s="3238" t="s">
        <v>3157</v>
      </c>
      <c r="C357" s="3238">
        <v>3690</v>
      </c>
      <c r="D357" s="3238">
        <v>3650</v>
      </c>
      <c r="E357" s="3238">
        <v>4020</v>
      </c>
      <c r="F357" s="3238">
        <v>700</v>
      </c>
      <c r="G357" s="3238">
        <v>2190</v>
      </c>
    </row>
    <row r="358" spans="1:7" s="3220" customFormat="1">
      <c r="A358" s="3232" t="s">
        <v>3158</v>
      </c>
      <c r="B358" s="3223" t="s">
        <v>3159</v>
      </c>
      <c r="C358" s="3223">
        <v>2080</v>
      </c>
      <c r="D358" s="3223">
        <v>2040</v>
      </c>
      <c r="E358" s="3223">
        <v>2010</v>
      </c>
      <c r="F358" s="3223">
        <v>530</v>
      </c>
      <c r="G358" s="3239">
        <v>1230</v>
      </c>
    </row>
    <row r="359" spans="1:7" s="3220" customFormat="1">
      <c r="A359" s="3227" t="s">
        <v>3158</v>
      </c>
      <c r="B359" s="3227" t="s">
        <v>3160</v>
      </c>
      <c r="C359" s="3227">
        <v>1850</v>
      </c>
      <c r="D359" s="3227">
        <v>1820</v>
      </c>
      <c r="E359" s="3227">
        <v>1780</v>
      </c>
      <c r="F359" s="3227">
        <v>520</v>
      </c>
      <c r="G359" s="3240">
        <v>1100</v>
      </c>
    </row>
    <row r="360" spans="1:7" s="3220" customFormat="1">
      <c r="A360" s="3227" t="s">
        <v>3158</v>
      </c>
      <c r="B360" s="3227" t="s">
        <v>3161</v>
      </c>
      <c r="C360" s="3227">
        <v>2020</v>
      </c>
      <c r="D360" s="3227">
        <v>1990</v>
      </c>
      <c r="E360" s="3227">
        <v>1950</v>
      </c>
      <c r="F360" s="3227">
        <v>500</v>
      </c>
      <c r="G360" s="3240">
        <v>1200</v>
      </c>
    </row>
    <row r="361" spans="1:7" s="3220" customFormat="1">
      <c r="A361" s="3227" t="s">
        <v>3158</v>
      </c>
      <c r="B361" s="3227" t="s">
        <v>153</v>
      </c>
      <c r="C361" s="3227">
        <v>2260</v>
      </c>
      <c r="D361" s="3227">
        <v>2220</v>
      </c>
      <c r="E361" s="3227">
        <v>2180</v>
      </c>
      <c r="F361" s="3227">
        <v>580</v>
      </c>
      <c r="G361" s="3240">
        <v>1340</v>
      </c>
    </row>
    <row r="362" spans="1:7" s="3220" customFormat="1">
      <c r="A362" s="3227" t="s">
        <v>3158</v>
      </c>
      <c r="B362" s="3227" t="s">
        <v>3162</v>
      </c>
      <c r="C362" s="3227">
        <v>2650</v>
      </c>
      <c r="D362" s="3227">
        <v>2610</v>
      </c>
      <c r="E362" s="3227">
        <v>2570</v>
      </c>
      <c r="F362" s="3227">
        <v>630</v>
      </c>
      <c r="G362" s="3240">
        <v>1570</v>
      </c>
    </row>
    <row r="363" spans="1:7" s="3220" customFormat="1">
      <c r="A363" s="3227" t="s">
        <v>3158</v>
      </c>
      <c r="B363" s="3227" t="s">
        <v>2883</v>
      </c>
      <c r="C363" s="3227">
        <v>2390</v>
      </c>
      <c r="D363" s="3227">
        <v>2360</v>
      </c>
      <c r="E363" s="3227">
        <v>2320</v>
      </c>
      <c r="F363" s="3227">
        <v>600</v>
      </c>
      <c r="G363" s="3240">
        <v>1420</v>
      </c>
    </row>
    <row r="364" spans="1:7" s="3220" customFormat="1">
      <c r="A364" s="3227" t="s">
        <v>3158</v>
      </c>
      <c r="B364" s="3227" t="s">
        <v>3163</v>
      </c>
      <c r="C364" s="3227">
        <v>2050</v>
      </c>
      <c r="D364" s="3227">
        <v>2030</v>
      </c>
      <c r="E364" s="3227">
        <v>1990</v>
      </c>
      <c r="F364" s="3227">
        <v>550</v>
      </c>
      <c r="G364" s="3240">
        <v>1220</v>
      </c>
    </row>
    <row r="365" spans="1:7" s="3220" customFormat="1">
      <c r="A365" s="3227" t="s">
        <v>3158</v>
      </c>
      <c r="B365" s="3227" t="s">
        <v>200</v>
      </c>
      <c r="C365" s="3227">
        <v>2140</v>
      </c>
      <c r="D365" s="3227">
        <v>2100</v>
      </c>
      <c r="E365" s="3227">
        <v>2060</v>
      </c>
      <c r="F365" s="3227">
        <v>540</v>
      </c>
      <c r="G365" s="3240">
        <v>1270</v>
      </c>
    </row>
    <row r="366" spans="1:7" s="3220" customFormat="1">
      <c r="A366" s="3227" t="s">
        <v>3158</v>
      </c>
      <c r="B366" s="3227" t="s">
        <v>2890</v>
      </c>
      <c r="C366" s="3227">
        <v>2410</v>
      </c>
      <c r="D366" s="3227">
        <v>2370</v>
      </c>
      <c r="E366" s="3227">
        <v>2330</v>
      </c>
      <c r="F366" s="3227">
        <v>570</v>
      </c>
      <c r="G366" s="3240">
        <v>1440</v>
      </c>
    </row>
    <row r="367" spans="1:7" s="3220" customFormat="1">
      <c r="A367" s="3227" t="s">
        <v>3158</v>
      </c>
      <c r="B367" s="3227" t="s">
        <v>3164</v>
      </c>
      <c r="C367" s="3227">
        <v>2300</v>
      </c>
      <c r="D367" s="3227">
        <v>2260</v>
      </c>
      <c r="E367" s="3227">
        <v>2220</v>
      </c>
      <c r="F367" s="3227">
        <v>560</v>
      </c>
      <c r="G367" s="3240">
        <v>1370</v>
      </c>
    </row>
    <row r="368" spans="1:7" s="3220" customFormat="1">
      <c r="A368" s="3227" t="s">
        <v>3158</v>
      </c>
      <c r="B368" s="3227" t="s">
        <v>3165</v>
      </c>
      <c r="C368" s="3227">
        <v>2430</v>
      </c>
      <c r="D368" s="3227">
        <v>2390</v>
      </c>
      <c r="E368" s="3227">
        <v>2350</v>
      </c>
      <c r="F368" s="3227">
        <v>570</v>
      </c>
      <c r="G368" s="3240">
        <v>1450</v>
      </c>
    </row>
    <row r="369" spans="1:7" s="3220" customFormat="1">
      <c r="A369" s="3227" t="s">
        <v>3158</v>
      </c>
      <c r="B369" s="3227" t="s">
        <v>214</v>
      </c>
      <c r="C369" s="3227">
        <v>2320</v>
      </c>
      <c r="D369" s="3227">
        <v>2290</v>
      </c>
      <c r="E369" s="3227">
        <v>2250</v>
      </c>
      <c r="F369" s="3227">
        <v>550</v>
      </c>
      <c r="G369" s="3240">
        <v>1380</v>
      </c>
    </row>
    <row r="370" spans="1:7" s="3220" customFormat="1">
      <c r="A370" s="3227" t="s">
        <v>3158</v>
      </c>
      <c r="B370" s="3227" t="s">
        <v>221</v>
      </c>
      <c r="C370" s="3227">
        <v>2190</v>
      </c>
      <c r="D370" s="3227">
        <v>2170</v>
      </c>
      <c r="E370" s="3227">
        <v>2130</v>
      </c>
      <c r="F370" s="3227">
        <v>530</v>
      </c>
      <c r="G370" s="3240">
        <v>1310</v>
      </c>
    </row>
    <row r="371" spans="1:7" s="3220" customFormat="1">
      <c r="A371" s="3227" t="s">
        <v>3158</v>
      </c>
      <c r="B371" s="3227" t="s">
        <v>229</v>
      </c>
      <c r="C371" s="3227">
        <v>2460</v>
      </c>
      <c r="D371" s="3227">
        <v>2420</v>
      </c>
      <c r="E371" s="3227">
        <v>2370</v>
      </c>
      <c r="F371" s="3227">
        <v>560</v>
      </c>
      <c r="G371" s="3240">
        <v>1470</v>
      </c>
    </row>
    <row r="372" spans="1:7" s="3220" customFormat="1">
      <c r="A372" s="3227" t="s">
        <v>3158</v>
      </c>
      <c r="B372" s="3227" t="s">
        <v>3166</v>
      </c>
      <c r="C372" s="3227">
        <v>2250</v>
      </c>
      <c r="D372" s="3227">
        <v>2210</v>
      </c>
      <c r="E372" s="3227">
        <v>2180</v>
      </c>
      <c r="F372" s="3227">
        <v>550</v>
      </c>
      <c r="G372" s="3240">
        <v>1340</v>
      </c>
    </row>
    <row r="373" spans="1:7" s="3220" customFormat="1">
      <c r="A373" s="3227" t="s">
        <v>3158</v>
      </c>
      <c r="B373" s="3227" t="s">
        <v>258</v>
      </c>
      <c r="C373" s="3227">
        <v>2210</v>
      </c>
      <c r="D373" s="3227">
        <v>2190</v>
      </c>
      <c r="E373" s="3227">
        <v>2150</v>
      </c>
      <c r="F373" s="3227">
        <v>530</v>
      </c>
      <c r="G373" s="3240">
        <v>1320</v>
      </c>
    </row>
    <row r="374" spans="1:7" s="3220" customFormat="1">
      <c r="A374" s="3227" t="s">
        <v>3158</v>
      </c>
      <c r="B374" s="3227" t="s">
        <v>266</v>
      </c>
      <c r="C374" s="3227">
        <v>2320</v>
      </c>
      <c r="D374" s="3227">
        <v>2280</v>
      </c>
      <c r="E374" s="3227">
        <v>2230</v>
      </c>
      <c r="F374" s="3227">
        <v>580</v>
      </c>
      <c r="G374" s="3240">
        <v>1380</v>
      </c>
    </row>
    <row r="375" spans="1:7" s="3220" customFormat="1">
      <c r="A375" s="3227" t="s">
        <v>3158</v>
      </c>
      <c r="B375" s="3227" t="s">
        <v>3167</v>
      </c>
      <c r="C375" s="3227">
        <v>2090</v>
      </c>
      <c r="D375" s="3227">
        <v>2050</v>
      </c>
      <c r="E375" s="3227">
        <v>2020</v>
      </c>
      <c r="F375" s="3227">
        <v>520</v>
      </c>
      <c r="G375" s="3240">
        <v>1240</v>
      </c>
    </row>
    <row r="376" spans="1:7" s="3220" customFormat="1">
      <c r="A376" s="3227" t="s">
        <v>3158</v>
      </c>
      <c r="B376" s="3227" t="s">
        <v>277</v>
      </c>
      <c r="C376" s="3227">
        <v>2010</v>
      </c>
      <c r="D376" s="3227">
        <v>1980</v>
      </c>
      <c r="E376" s="3227">
        <v>1940</v>
      </c>
      <c r="F376" s="3227">
        <v>540</v>
      </c>
      <c r="G376" s="3240">
        <v>1190</v>
      </c>
    </row>
    <row r="377" spans="1:7" s="3220" customFormat="1" ht="12" thickBot="1">
      <c r="A377" s="3235" t="s">
        <v>3158</v>
      </c>
      <c r="B377" s="3238" t="s">
        <v>2920</v>
      </c>
      <c r="C377" s="3238">
        <v>1930</v>
      </c>
      <c r="D377" s="3238">
        <v>1890</v>
      </c>
      <c r="E377" s="3238">
        <v>1860</v>
      </c>
      <c r="F377" s="3238">
        <v>530</v>
      </c>
      <c r="G377" s="3243">
        <v>1150</v>
      </c>
    </row>
    <row r="378" spans="1:7" s="3220" customFormat="1">
      <c r="A378" s="3244" t="s">
        <v>3168</v>
      </c>
      <c r="B378" s="3223" t="s">
        <v>3169</v>
      </c>
      <c r="C378" s="3223">
        <v>1520</v>
      </c>
      <c r="D378" s="3223">
        <v>1490</v>
      </c>
      <c r="E378" s="3223">
        <v>1460</v>
      </c>
      <c r="F378" s="3223">
        <v>460</v>
      </c>
      <c r="G378" s="3239">
        <v>940</v>
      </c>
    </row>
    <row r="379" spans="1:7" s="3220" customFormat="1">
      <c r="A379" s="3245" t="s">
        <v>3168</v>
      </c>
      <c r="B379" s="3227" t="s">
        <v>3170</v>
      </c>
      <c r="C379" s="3227">
        <v>1500</v>
      </c>
      <c r="D379" s="3227">
        <v>1470</v>
      </c>
      <c r="E379" s="3227">
        <v>1430</v>
      </c>
      <c r="F379" s="3227">
        <v>460</v>
      </c>
      <c r="G379" s="3240">
        <v>920</v>
      </c>
    </row>
    <row r="380" spans="1:7" s="3220" customFormat="1">
      <c r="A380" s="3245" t="s">
        <v>3168</v>
      </c>
      <c r="B380" s="3227" t="s">
        <v>3171</v>
      </c>
      <c r="C380" s="3227">
        <v>1620</v>
      </c>
      <c r="D380" s="3227">
        <v>1590</v>
      </c>
      <c r="E380" s="3227">
        <v>1560</v>
      </c>
      <c r="F380" s="3227">
        <v>480</v>
      </c>
      <c r="G380" s="3240">
        <v>1000</v>
      </c>
    </row>
    <row r="381" spans="1:7" s="3220" customFormat="1">
      <c r="A381" s="3245" t="s">
        <v>3168</v>
      </c>
      <c r="B381" s="3227" t="s">
        <v>3172</v>
      </c>
      <c r="C381" s="3227">
        <v>1460</v>
      </c>
      <c r="D381" s="3227">
        <v>1430</v>
      </c>
      <c r="E381" s="3227">
        <v>1390</v>
      </c>
      <c r="F381" s="3227">
        <v>450</v>
      </c>
      <c r="G381" s="3240">
        <v>900</v>
      </c>
    </row>
    <row r="382" spans="1:7" s="3220" customFormat="1">
      <c r="A382" s="3245" t="s">
        <v>3168</v>
      </c>
      <c r="B382" s="3227" t="s">
        <v>3173</v>
      </c>
      <c r="C382" s="3227">
        <v>1310</v>
      </c>
      <c r="D382" s="3227">
        <v>1280</v>
      </c>
      <c r="E382" s="3227">
        <v>1250</v>
      </c>
      <c r="F382" s="3227">
        <v>440</v>
      </c>
      <c r="G382" s="3240">
        <v>800</v>
      </c>
    </row>
    <row r="383" spans="1:7" s="3220" customFormat="1">
      <c r="A383" s="3245" t="s">
        <v>3168</v>
      </c>
      <c r="B383" s="3227" t="s">
        <v>3174</v>
      </c>
      <c r="C383" s="3227">
        <v>1260</v>
      </c>
      <c r="D383" s="3227">
        <v>1230</v>
      </c>
      <c r="E383" s="3227">
        <v>1200</v>
      </c>
      <c r="F383" s="3227">
        <v>420</v>
      </c>
      <c r="G383" s="3240">
        <v>770</v>
      </c>
    </row>
    <row r="384" spans="1:7" s="3220" customFormat="1" ht="12" thickBot="1">
      <c r="A384" s="3246" t="s">
        <v>3168</v>
      </c>
      <c r="B384" s="3234" t="s">
        <v>3175</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3" t="s">
        <v>3176</v>
      </c>
      <c r="B1" s="3793"/>
    </row>
    <row r="2" spans="1:7" ht="14.25" thickBot="1">
      <c r="A2" s="3249"/>
      <c r="B2" s="3249"/>
    </row>
    <row r="3" spans="1:7" ht="14.25" thickBot="1">
      <c r="A3" s="3249"/>
      <c r="B3" s="3249"/>
      <c r="C3" s="3250" t="s">
        <v>2806</v>
      </c>
      <c r="D3" s="3250" t="s">
        <v>2862</v>
      </c>
      <c r="E3" s="3250" t="s">
        <v>2808</v>
      </c>
      <c r="F3" s="3250" t="s">
        <v>2863</v>
      </c>
      <c r="G3" s="3250" t="s">
        <v>2626</v>
      </c>
    </row>
    <row r="4" spans="1:7" ht="14.25" thickBot="1">
      <c r="A4" s="3251" t="s">
        <v>2861</v>
      </c>
      <c r="B4" s="3252" t="s">
        <v>2867</v>
      </c>
      <c r="C4" s="3250"/>
      <c r="D4" s="3250"/>
      <c r="E4" s="3250"/>
      <c r="F4" s="3250"/>
      <c r="G4" s="3250"/>
    </row>
    <row r="5" spans="1:7">
      <c r="A5" s="3253" t="s">
        <v>2835</v>
      </c>
      <c r="B5" s="3254" t="s">
        <v>2849</v>
      </c>
      <c r="C5" s="3255">
        <v>9.8000000000000004E-2</v>
      </c>
      <c r="D5" s="3255">
        <v>8.6999999999999994E-2</v>
      </c>
      <c r="E5" s="3255">
        <v>8.6999999999999994E-2</v>
      </c>
      <c r="F5" s="3255">
        <v>9.8000000000000004E-2</v>
      </c>
      <c r="G5" s="3256">
        <v>9.5000000000000001E-2</v>
      </c>
    </row>
    <row r="6" spans="1:7">
      <c r="A6" s="3257" t="s">
        <v>144</v>
      </c>
      <c r="B6" s="3258" t="s">
        <v>2864</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2850</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2900</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2918</v>
      </c>
      <c r="C29" s="3267"/>
      <c r="D29" s="3263">
        <v>5.1999999999999998E-2</v>
      </c>
      <c r="E29" s="3263">
        <v>7.0000000000000007E-2</v>
      </c>
      <c r="F29" s="3267"/>
      <c r="G29" s="3265">
        <v>7.0999999999999994E-2</v>
      </c>
    </row>
    <row r="30" spans="1:7">
      <c r="A30" s="3268" t="s">
        <v>296</v>
      </c>
      <c r="B30" s="3254" t="s">
        <v>2851</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2837</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2921</v>
      </c>
      <c r="C50" s="3259">
        <v>9.8000000000000004E-2</v>
      </c>
      <c r="D50" s="3259">
        <v>7.2999999999999995E-2</v>
      </c>
      <c r="E50" s="3259">
        <v>7.0999999999999994E-2</v>
      </c>
      <c r="F50" s="3270"/>
      <c r="G50" s="3260">
        <v>7.2999999999999995E-2</v>
      </c>
    </row>
    <row r="51" spans="1:7">
      <c r="A51" s="3269" t="s">
        <v>296</v>
      </c>
      <c r="B51" s="3258" t="s">
        <v>2923</v>
      </c>
      <c r="C51" s="3259">
        <v>9.9000000000000005E-2</v>
      </c>
      <c r="D51" s="3259">
        <v>8.5000000000000006E-2</v>
      </c>
      <c r="E51" s="3259">
        <v>6.3E-2</v>
      </c>
      <c r="F51" s="3270"/>
      <c r="G51" s="3260">
        <v>9.6000000000000002E-2</v>
      </c>
    </row>
    <row r="52" spans="1:7">
      <c r="A52" s="3269" t="s">
        <v>296</v>
      </c>
      <c r="B52" s="3258" t="s">
        <v>2927</v>
      </c>
      <c r="C52" s="3259">
        <v>7.3999999999999996E-2</v>
      </c>
      <c r="D52" s="3259">
        <v>9.6000000000000002E-2</v>
      </c>
      <c r="E52" s="3259">
        <v>0.05</v>
      </c>
      <c r="F52" s="3270"/>
      <c r="G52" s="3260">
        <v>9.8000000000000004E-2</v>
      </c>
    </row>
    <row r="53" spans="1:7">
      <c r="A53" s="3269" t="s">
        <v>296</v>
      </c>
      <c r="B53" s="3258" t="s">
        <v>2932</v>
      </c>
      <c r="C53" s="3259">
        <v>8.5999999999999993E-2</v>
      </c>
      <c r="D53" s="3270"/>
      <c r="E53" s="3259">
        <v>9.1999999999999998E-2</v>
      </c>
      <c r="F53" s="3270"/>
      <c r="G53" s="3271"/>
    </row>
    <row r="54" spans="1:7" ht="14.25" thickBot="1">
      <c r="A54" s="3272" t="s">
        <v>296</v>
      </c>
      <c r="B54" s="3262" t="s">
        <v>2935</v>
      </c>
      <c r="C54" s="3263">
        <v>9.6000000000000002E-2</v>
      </c>
      <c r="D54" s="3264"/>
      <c r="E54" s="3273"/>
      <c r="F54" s="3264"/>
      <c r="G54" s="3274"/>
    </row>
    <row r="55" spans="1:7">
      <c r="A55" s="3268" t="s">
        <v>110</v>
      </c>
      <c r="B55" s="3254" t="s">
        <v>2852</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2933</v>
      </c>
      <c r="C78" s="3259">
        <v>0.1</v>
      </c>
      <c r="D78" s="3259">
        <v>8.5000000000000006E-2</v>
      </c>
      <c r="E78" s="3259">
        <v>9.6000000000000002E-2</v>
      </c>
      <c r="F78" s="3270"/>
      <c r="G78" s="3260">
        <v>9.6000000000000002E-2</v>
      </c>
    </row>
    <row r="79" spans="1:7">
      <c r="A79" s="3269" t="s">
        <v>110</v>
      </c>
      <c r="B79" s="3258" t="s">
        <v>2936</v>
      </c>
      <c r="C79" s="3259">
        <v>0.05</v>
      </c>
      <c r="D79" s="3259">
        <v>9.6000000000000002E-2</v>
      </c>
      <c r="E79" s="3259">
        <v>9.5000000000000001E-2</v>
      </c>
      <c r="F79" s="3270"/>
      <c r="G79" s="3260">
        <v>9.8000000000000004E-2</v>
      </c>
    </row>
    <row r="80" spans="1:7">
      <c r="A80" s="3269" t="s">
        <v>110</v>
      </c>
      <c r="B80" s="3258" t="s">
        <v>2940</v>
      </c>
      <c r="C80" s="3259">
        <v>8.5999999999999993E-2</v>
      </c>
      <c r="D80" s="3275"/>
      <c r="E80" s="3259">
        <v>0.1</v>
      </c>
      <c r="F80" s="3270"/>
      <c r="G80" s="3271"/>
    </row>
    <row r="81" spans="1:7">
      <c r="A81" s="3269" t="s">
        <v>110</v>
      </c>
      <c r="B81" s="3258" t="s">
        <v>2945</v>
      </c>
      <c r="C81" s="3259">
        <v>9.6000000000000002E-2</v>
      </c>
      <c r="D81" s="3270"/>
      <c r="E81" s="3259">
        <v>9.8000000000000004E-2</v>
      </c>
      <c r="F81" s="3270"/>
      <c r="G81" s="3271"/>
    </row>
    <row r="82" spans="1:7">
      <c r="A82" s="3269" t="s">
        <v>110</v>
      </c>
      <c r="B82" s="3258" t="s">
        <v>2952</v>
      </c>
      <c r="C82" s="3275"/>
      <c r="D82" s="3270"/>
      <c r="E82" s="3259">
        <v>7.6999999999999999E-2</v>
      </c>
      <c r="F82" s="3270"/>
      <c r="G82" s="3271"/>
    </row>
    <row r="83" spans="1:7">
      <c r="A83" s="3269" t="s">
        <v>110</v>
      </c>
      <c r="B83" s="3258" t="s">
        <v>2958</v>
      </c>
      <c r="C83" s="3270"/>
      <c r="D83" s="3270"/>
      <c r="E83" s="3270"/>
      <c r="F83" s="3259">
        <v>0.1</v>
      </c>
      <c r="G83" s="3276"/>
    </row>
    <row r="84" spans="1:7">
      <c r="A84" s="3269" t="s">
        <v>110</v>
      </c>
      <c r="B84" s="3258" t="s">
        <v>2965</v>
      </c>
      <c r="C84" s="3270"/>
      <c r="D84" s="3270"/>
      <c r="E84" s="3270"/>
      <c r="F84" s="3259">
        <v>0.1</v>
      </c>
      <c r="G84" s="3276"/>
    </row>
    <row r="85" spans="1:7">
      <c r="A85" s="3269" t="s">
        <v>110</v>
      </c>
      <c r="B85" s="3258" t="s">
        <v>2972</v>
      </c>
      <c r="C85" s="3270"/>
      <c r="D85" s="3270"/>
      <c r="E85" s="3270"/>
      <c r="F85" s="3259">
        <v>0.1</v>
      </c>
      <c r="G85" s="3276"/>
    </row>
    <row r="86" spans="1:7" ht="14.25" thickBot="1">
      <c r="A86" s="3272" t="s">
        <v>110</v>
      </c>
      <c r="B86" s="3262" t="s">
        <v>2977</v>
      </c>
      <c r="C86" s="3263">
        <v>9.8000000000000004E-2</v>
      </c>
      <c r="D86" s="3263">
        <v>9.8000000000000004E-2</v>
      </c>
      <c r="E86" s="3263">
        <v>9.6000000000000002E-2</v>
      </c>
      <c r="F86" s="3273"/>
      <c r="G86" s="3265">
        <v>0.1</v>
      </c>
    </row>
    <row r="87" spans="1:7">
      <c r="A87" s="3268" t="s">
        <v>303</v>
      </c>
      <c r="B87" s="3254" t="s">
        <v>2853</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2946</v>
      </c>
      <c r="C113" s="3259">
        <v>0.1</v>
      </c>
      <c r="D113" s="3259">
        <v>0.1</v>
      </c>
      <c r="E113" s="3270"/>
      <c r="F113" s="3270"/>
      <c r="G113" s="3260">
        <v>0.1</v>
      </c>
    </row>
    <row r="114" spans="1:7">
      <c r="A114" s="3269" t="s">
        <v>303</v>
      </c>
      <c r="B114" s="3258" t="s">
        <v>2953</v>
      </c>
      <c r="C114" s="3259">
        <v>9.7000000000000003E-2</v>
      </c>
      <c r="D114" s="3259">
        <v>9.7000000000000003E-2</v>
      </c>
      <c r="E114" s="3270"/>
      <c r="F114" s="3270"/>
      <c r="G114" s="3260">
        <v>9.9000000000000005E-2</v>
      </c>
    </row>
    <row r="115" spans="1:7">
      <c r="A115" s="3269" t="s">
        <v>303</v>
      </c>
      <c r="B115" s="3258" t="s">
        <v>2959</v>
      </c>
      <c r="C115" s="3259">
        <v>0.1</v>
      </c>
      <c r="D115" s="3259">
        <v>0.1</v>
      </c>
      <c r="E115" s="3270"/>
      <c r="F115" s="3270"/>
      <c r="G115" s="3260">
        <v>0.1</v>
      </c>
    </row>
    <row r="116" spans="1:7">
      <c r="A116" s="3269" t="s">
        <v>303</v>
      </c>
      <c r="B116" s="3258" t="s">
        <v>2966</v>
      </c>
      <c r="C116" s="3259">
        <v>0.1</v>
      </c>
      <c r="D116" s="3259">
        <v>0.1</v>
      </c>
      <c r="E116" s="3270"/>
      <c r="F116" s="3270"/>
      <c r="G116" s="3260">
        <v>0.1</v>
      </c>
    </row>
    <row r="117" spans="1:7">
      <c r="A117" s="3269" t="s">
        <v>303</v>
      </c>
      <c r="B117" s="3258" t="s">
        <v>2973</v>
      </c>
      <c r="C117" s="3259">
        <v>9.7000000000000003E-2</v>
      </c>
      <c r="D117" s="3259">
        <v>9.7000000000000003E-2</v>
      </c>
      <c r="E117" s="3270"/>
      <c r="F117" s="3270"/>
      <c r="G117" s="3260">
        <v>9.7000000000000003E-2</v>
      </c>
    </row>
    <row r="118" spans="1:7">
      <c r="A118" s="3269" t="s">
        <v>303</v>
      </c>
      <c r="B118" s="3258" t="s">
        <v>2978</v>
      </c>
      <c r="C118" s="3259">
        <v>0.1</v>
      </c>
      <c r="D118" s="3259">
        <v>0.1</v>
      </c>
      <c r="E118" s="3270"/>
      <c r="F118" s="3270"/>
      <c r="G118" s="3260">
        <v>0.1</v>
      </c>
    </row>
    <row r="119" spans="1:7">
      <c r="A119" s="3269" t="s">
        <v>303</v>
      </c>
      <c r="B119" s="3258" t="s">
        <v>2982</v>
      </c>
      <c r="C119" s="3259">
        <v>5.0999999999999997E-2</v>
      </c>
      <c r="D119" s="3259">
        <v>5.1999999999999998E-2</v>
      </c>
      <c r="E119" s="3270"/>
      <c r="F119" s="3275"/>
      <c r="G119" s="3260">
        <v>0.06</v>
      </c>
    </row>
    <row r="120" spans="1:7">
      <c r="A120" s="3269" t="s">
        <v>303</v>
      </c>
      <c r="B120" s="3258" t="s">
        <v>2986</v>
      </c>
      <c r="C120" s="3270"/>
      <c r="D120" s="3270"/>
      <c r="E120" s="3270"/>
      <c r="F120" s="3259">
        <v>0.1</v>
      </c>
      <c r="G120" s="3276"/>
    </row>
    <row r="121" spans="1:7">
      <c r="A121" s="3269" t="s">
        <v>303</v>
      </c>
      <c r="B121" s="3258" t="s">
        <v>2991</v>
      </c>
      <c r="C121" s="3270"/>
      <c r="D121" s="3270"/>
      <c r="E121" s="3270"/>
      <c r="F121" s="3259">
        <v>0.1</v>
      </c>
      <c r="G121" s="3276"/>
    </row>
    <row r="122" spans="1:7">
      <c r="A122" s="3269" t="s">
        <v>303</v>
      </c>
      <c r="B122" s="3258" t="s">
        <v>2996</v>
      </c>
      <c r="C122" s="3259">
        <v>0.1</v>
      </c>
      <c r="D122" s="3259">
        <v>0.1</v>
      </c>
      <c r="E122" s="3259">
        <v>9.8000000000000004E-2</v>
      </c>
      <c r="F122" s="3259">
        <v>0.1</v>
      </c>
      <c r="G122" s="3260">
        <v>0.1</v>
      </c>
    </row>
    <row r="123" spans="1:7">
      <c r="A123" s="3269" t="s">
        <v>303</v>
      </c>
      <c r="B123" s="3258" t="s">
        <v>3001</v>
      </c>
      <c r="C123" s="3259">
        <v>0.1</v>
      </c>
      <c r="D123" s="3259">
        <v>0.1</v>
      </c>
      <c r="E123" s="3259">
        <v>9.8000000000000004E-2</v>
      </c>
      <c r="F123" s="3259">
        <v>0.1</v>
      </c>
      <c r="G123" s="3260">
        <v>0.1</v>
      </c>
    </row>
    <row r="124" spans="1:7">
      <c r="A124" s="3269" t="s">
        <v>303</v>
      </c>
      <c r="B124" s="3258" t="s">
        <v>3006</v>
      </c>
      <c r="C124" s="3259">
        <v>0.1</v>
      </c>
      <c r="D124" s="3259">
        <v>0.1</v>
      </c>
      <c r="E124" s="3259">
        <v>9.8000000000000004E-2</v>
      </c>
      <c r="F124" s="3275"/>
      <c r="G124" s="3260">
        <v>0.1</v>
      </c>
    </row>
    <row r="125" spans="1:7">
      <c r="A125" s="3269" t="s">
        <v>303</v>
      </c>
      <c r="B125" s="3258" t="s">
        <v>3011</v>
      </c>
      <c r="C125" s="3259">
        <v>9.8000000000000004E-2</v>
      </c>
      <c r="D125" s="3259">
        <v>9.8000000000000004E-2</v>
      </c>
      <c r="E125" s="3259">
        <v>9.6000000000000002E-2</v>
      </c>
      <c r="F125" s="3275"/>
      <c r="G125" s="3260">
        <v>0.1</v>
      </c>
    </row>
    <row r="126" spans="1:7" ht="14.25" thickBot="1">
      <c r="A126" s="3272" t="s">
        <v>303</v>
      </c>
      <c r="B126" s="3262" t="s">
        <v>3177</v>
      </c>
      <c r="C126" s="3263">
        <v>0.1</v>
      </c>
      <c r="D126" s="3263">
        <v>0.1</v>
      </c>
      <c r="E126" s="3263">
        <v>9.8000000000000004E-2</v>
      </c>
      <c r="F126" s="3263">
        <v>0.1</v>
      </c>
      <c r="G126" s="3265">
        <v>0.1</v>
      </c>
    </row>
    <row r="127" spans="1:7">
      <c r="A127" s="3268" t="s">
        <v>29</v>
      </c>
      <c r="B127" s="3254" t="s">
        <v>2854</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2924</v>
      </c>
      <c r="C148" s="3259">
        <v>0.13</v>
      </c>
      <c r="D148" s="3259">
        <v>0.13</v>
      </c>
      <c r="E148" s="3259">
        <v>0.13</v>
      </c>
      <c r="F148" s="3270"/>
      <c r="G148" s="3260">
        <v>0.13</v>
      </c>
    </row>
    <row r="149" spans="1:7">
      <c r="A149" s="3269" t="s">
        <v>29</v>
      </c>
      <c r="B149" s="3258" t="s">
        <v>2928</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2947</v>
      </c>
      <c r="C153" s="3259">
        <v>0.13</v>
      </c>
      <c r="D153" s="3259">
        <v>0.13</v>
      </c>
      <c r="E153" s="3259">
        <v>0.13</v>
      </c>
      <c r="F153" s="3259">
        <v>0.13</v>
      </c>
      <c r="G153" s="3260">
        <v>0.13</v>
      </c>
    </row>
    <row r="154" spans="1:7">
      <c r="A154" s="3269" t="s">
        <v>29</v>
      </c>
      <c r="B154" s="3258" t="s">
        <v>2954</v>
      </c>
      <c r="C154" s="3259">
        <v>0.121</v>
      </c>
      <c r="D154" s="3259">
        <v>0.121</v>
      </c>
      <c r="E154" s="3259">
        <v>0.105</v>
      </c>
      <c r="F154" s="3259">
        <v>0.121</v>
      </c>
      <c r="G154" s="3260">
        <v>0.123</v>
      </c>
    </row>
    <row r="155" spans="1:7">
      <c r="A155" s="3269" t="s">
        <v>29</v>
      </c>
      <c r="B155" s="3258" t="s">
        <v>2960</v>
      </c>
      <c r="C155" s="3259">
        <v>0.1</v>
      </c>
      <c r="D155" s="3259">
        <v>0.1</v>
      </c>
      <c r="E155" s="3259">
        <v>0.1</v>
      </c>
      <c r="F155" s="3259">
        <v>0.1</v>
      </c>
      <c r="G155" s="3260">
        <v>0.1</v>
      </c>
    </row>
    <row r="156" spans="1:7">
      <c r="A156" s="3269" t="s">
        <v>29</v>
      </c>
      <c r="B156" s="3258" t="s">
        <v>2967</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2987</v>
      </c>
      <c r="C160" s="3259">
        <v>0.13</v>
      </c>
      <c r="D160" s="3259">
        <v>0.13</v>
      </c>
      <c r="E160" s="3259">
        <v>0.124</v>
      </c>
      <c r="F160" s="3259">
        <v>0.126</v>
      </c>
      <c r="G160" s="3260">
        <v>0.13</v>
      </c>
    </row>
    <row r="161" spans="1:7">
      <c r="A161" s="3269" t="s">
        <v>29</v>
      </c>
      <c r="B161" s="3258" t="s">
        <v>2992</v>
      </c>
      <c r="C161" s="3259">
        <v>0.13</v>
      </c>
      <c r="D161" s="3259">
        <v>0.13</v>
      </c>
      <c r="E161" s="3259">
        <v>0.124</v>
      </c>
      <c r="F161" s="3259">
        <v>0.127</v>
      </c>
      <c r="G161" s="3260">
        <v>0.13</v>
      </c>
    </row>
    <row r="162" spans="1:7">
      <c r="A162" s="3269" t="s">
        <v>29</v>
      </c>
      <c r="B162" s="3258" t="s">
        <v>2997</v>
      </c>
      <c r="C162" s="3259">
        <v>0.1</v>
      </c>
      <c r="D162" s="3259">
        <v>0.1</v>
      </c>
      <c r="E162" s="3259">
        <v>0.1</v>
      </c>
      <c r="F162" s="3259">
        <v>0.121</v>
      </c>
      <c r="G162" s="3260">
        <v>0.105</v>
      </c>
    </row>
    <row r="163" spans="1:7">
      <c r="A163" s="3269" t="s">
        <v>29</v>
      </c>
      <c r="B163" s="3258" t="s">
        <v>3002</v>
      </c>
      <c r="C163" s="3259">
        <v>0.1</v>
      </c>
      <c r="D163" s="3259">
        <v>0.1</v>
      </c>
      <c r="E163" s="3259">
        <v>0.1</v>
      </c>
      <c r="F163" s="3259">
        <v>0.1</v>
      </c>
      <c r="G163" s="3260">
        <v>0.1</v>
      </c>
    </row>
    <row r="164" spans="1:7">
      <c r="A164" s="3269" t="s">
        <v>29</v>
      </c>
      <c r="B164" s="3258" t="s">
        <v>3007</v>
      </c>
      <c r="C164" s="3275"/>
      <c r="D164" s="3275"/>
      <c r="E164" s="3275"/>
      <c r="F164" s="3259">
        <v>0.1</v>
      </c>
      <c r="G164" s="3271"/>
    </row>
    <row r="165" spans="1:7">
      <c r="A165" s="3269" t="s">
        <v>29</v>
      </c>
      <c r="B165" s="3258" t="s">
        <v>3178</v>
      </c>
      <c r="C165" s="3259">
        <v>0.126</v>
      </c>
      <c r="D165" s="3259">
        <v>0.126</v>
      </c>
      <c r="E165" s="3259">
        <v>0.11899999999999999</v>
      </c>
      <c r="F165" s="3259">
        <v>0.13</v>
      </c>
      <c r="G165" s="3260">
        <v>0.128</v>
      </c>
    </row>
    <row r="166" spans="1:7">
      <c r="A166" s="3269" t="s">
        <v>29</v>
      </c>
      <c r="B166" s="3258" t="s">
        <v>3017</v>
      </c>
      <c r="C166" s="3259">
        <v>0.129</v>
      </c>
      <c r="D166" s="3259">
        <v>0.129</v>
      </c>
      <c r="E166" s="3259">
        <v>0.123</v>
      </c>
      <c r="F166" s="3259">
        <v>0.128</v>
      </c>
      <c r="G166" s="3260">
        <v>0.13</v>
      </c>
    </row>
    <row r="167" spans="1:7">
      <c r="A167" s="3269" t="s">
        <v>29</v>
      </c>
      <c r="B167" s="3258" t="s">
        <v>3021</v>
      </c>
      <c r="C167" s="3259">
        <v>0.125</v>
      </c>
      <c r="D167" s="3259">
        <v>0.125</v>
      </c>
      <c r="E167" s="3259">
        <v>0.11700000000000001</v>
      </c>
      <c r="F167" s="3259">
        <v>0.13</v>
      </c>
      <c r="G167" s="3260">
        <v>0.126</v>
      </c>
    </row>
    <row r="168" spans="1:7">
      <c r="A168" s="3269" t="s">
        <v>29</v>
      </c>
      <c r="B168" s="3258" t="s">
        <v>3026</v>
      </c>
      <c r="C168" s="3259">
        <v>0.128</v>
      </c>
      <c r="D168" s="3259">
        <v>0.128</v>
      </c>
      <c r="E168" s="3259">
        <v>0.123</v>
      </c>
      <c r="F168" s="3270"/>
      <c r="G168" s="3260">
        <v>0.13</v>
      </c>
    </row>
    <row r="169" spans="1:7">
      <c r="A169" s="3269" t="s">
        <v>29</v>
      </c>
      <c r="B169" s="3258" t="s">
        <v>3179</v>
      </c>
      <c r="C169" s="3275"/>
      <c r="D169" s="3275"/>
      <c r="E169" s="3275"/>
      <c r="F169" s="3259">
        <v>0.05</v>
      </c>
      <c r="G169" s="3271"/>
    </row>
    <row r="170" spans="1:7">
      <c r="A170" s="3269" t="s">
        <v>29</v>
      </c>
      <c r="B170" s="3258" t="s">
        <v>3180</v>
      </c>
      <c r="C170" s="3275"/>
      <c r="D170" s="3275"/>
      <c r="E170" s="3275"/>
      <c r="F170" s="3259">
        <v>0.05</v>
      </c>
      <c r="G170" s="3271"/>
    </row>
    <row r="171" spans="1:7">
      <c r="A171" s="3269" t="s">
        <v>29</v>
      </c>
      <c r="B171" s="3258" t="s">
        <v>3181</v>
      </c>
      <c r="C171" s="3275"/>
      <c r="D171" s="3275"/>
      <c r="E171" s="3275"/>
      <c r="F171" s="3259">
        <v>0.05</v>
      </c>
      <c r="G171" s="3276"/>
    </row>
    <row r="172" spans="1:7">
      <c r="A172" s="3269" t="s">
        <v>29</v>
      </c>
      <c r="B172" s="3258" t="s">
        <v>3182</v>
      </c>
      <c r="C172" s="3275"/>
      <c r="D172" s="3275"/>
      <c r="E172" s="3275"/>
      <c r="F172" s="3259">
        <v>0.05</v>
      </c>
      <c r="G172" s="3276"/>
    </row>
    <row r="173" spans="1:7">
      <c r="A173" s="3269" t="s">
        <v>29</v>
      </c>
      <c r="B173" s="3258" t="s">
        <v>3183</v>
      </c>
      <c r="C173" s="3275"/>
      <c r="D173" s="3275"/>
      <c r="E173" s="3275"/>
      <c r="F173" s="3259">
        <v>0.05</v>
      </c>
      <c r="G173" s="3271"/>
    </row>
    <row r="174" spans="1:7">
      <c r="A174" s="3269" t="s">
        <v>29</v>
      </c>
      <c r="B174" s="3258" t="s">
        <v>3184</v>
      </c>
      <c r="C174" s="3275"/>
      <c r="D174" s="3275"/>
      <c r="E174" s="3275"/>
      <c r="F174" s="3259">
        <v>0.05</v>
      </c>
      <c r="G174" s="3271"/>
    </row>
    <row r="175" spans="1:7">
      <c r="A175" s="3269" t="s">
        <v>29</v>
      </c>
      <c r="B175" s="3258" t="s">
        <v>3185</v>
      </c>
      <c r="C175" s="3275"/>
      <c r="D175" s="3275"/>
      <c r="E175" s="3275"/>
      <c r="F175" s="3259">
        <v>0.05</v>
      </c>
      <c r="G175" s="3271"/>
    </row>
    <row r="176" spans="1:7">
      <c r="A176" s="3269" t="s">
        <v>29</v>
      </c>
      <c r="B176" s="3258" t="s">
        <v>3186</v>
      </c>
      <c r="C176" s="3275"/>
      <c r="D176" s="3275"/>
      <c r="E176" s="3275"/>
      <c r="F176" s="3259">
        <v>0.05</v>
      </c>
      <c r="G176" s="3271"/>
    </row>
    <row r="177" spans="1:7">
      <c r="A177" s="3269" t="s">
        <v>29</v>
      </c>
      <c r="B177" s="3258" t="s">
        <v>3187</v>
      </c>
      <c r="C177" s="3270"/>
      <c r="D177" s="3270"/>
      <c r="E177" s="3270"/>
      <c r="F177" s="3259">
        <v>0.05</v>
      </c>
      <c r="G177" s="3276"/>
    </row>
    <row r="178" spans="1:7">
      <c r="A178" s="3269" t="s">
        <v>29</v>
      </c>
      <c r="B178" s="3258" t="s">
        <v>3188</v>
      </c>
      <c r="C178" s="3270"/>
      <c r="D178" s="3270"/>
      <c r="E178" s="3270"/>
      <c r="F178" s="3259">
        <v>0.05</v>
      </c>
      <c r="G178" s="3276"/>
    </row>
    <row r="179" spans="1:7">
      <c r="A179" s="3269" t="s">
        <v>29</v>
      </c>
      <c r="B179" s="3258" t="s">
        <v>3189</v>
      </c>
      <c r="C179" s="3270"/>
      <c r="D179" s="3270"/>
      <c r="E179" s="3270"/>
      <c r="F179" s="3259">
        <v>0.05</v>
      </c>
      <c r="G179" s="3276"/>
    </row>
    <row r="180" spans="1:7">
      <c r="A180" s="3269" t="s">
        <v>29</v>
      </c>
      <c r="B180" s="3258" t="s">
        <v>3190</v>
      </c>
      <c r="C180" s="3270"/>
      <c r="D180" s="3270"/>
      <c r="E180" s="3270"/>
      <c r="F180" s="3259">
        <v>0.05</v>
      </c>
      <c r="G180" s="3276"/>
    </row>
    <row r="181" spans="1:7">
      <c r="A181" s="3269" t="s">
        <v>29</v>
      </c>
      <c r="B181" s="3258" t="s">
        <v>3191</v>
      </c>
      <c r="C181" s="3270"/>
      <c r="D181" s="3270"/>
      <c r="E181" s="3270"/>
      <c r="F181" s="3259">
        <v>0.05</v>
      </c>
      <c r="G181" s="3276"/>
    </row>
    <row r="182" spans="1:7">
      <c r="A182" s="3269" t="s">
        <v>29</v>
      </c>
      <c r="B182" s="3258" t="s">
        <v>3192</v>
      </c>
      <c r="C182" s="3270"/>
      <c r="D182" s="3270"/>
      <c r="E182" s="3270"/>
      <c r="F182" s="3259">
        <v>0.05</v>
      </c>
      <c r="G182" s="3276"/>
    </row>
    <row r="183" spans="1:7">
      <c r="A183" s="3269" t="s">
        <v>29</v>
      </c>
      <c r="B183" s="3258" t="s">
        <v>3193</v>
      </c>
      <c r="C183" s="3270"/>
      <c r="D183" s="3270"/>
      <c r="E183" s="3270"/>
      <c r="F183" s="3259">
        <v>0.05</v>
      </c>
      <c r="G183" s="3276"/>
    </row>
    <row r="184" spans="1:7">
      <c r="A184" s="3269" t="s">
        <v>29</v>
      </c>
      <c r="B184" s="3258" t="s">
        <v>3194</v>
      </c>
      <c r="C184" s="3270"/>
      <c r="D184" s="3270"/>
      <c r="E184" s="3270"/>
      <c r="F184" s="3259">
        <v>0.05</v>
      </c>
      <c r="G184" s="3276"/>
    </row>
    <row r="185" spans="1:7">
      <c r="A185" s="3269" t="s">
        <v>29</v>
      </c>
      <c r="B185" s="3258" t="s">
        <v>3195</v>
      </c>
      <c r="C185" s="3270"/>
      <c r="D185" s="3270"/>
      <c r="E185" s="3270"/>
      <c r="F185" s="3259">
        <v>0.05</v>
      </c>
      <c r="G185" s="3276"/>
    </row>
    <row r="186" spans="1:7">
      <c r="A186" s="3269" t="s">
        <v>29</v>
      </c>
      <c r="B186" s="3258" t="s">
        <v>3196</v>
      </c>
      <c r="C186" s="3270"/>
      <c r="D186" s="3270"/>
      <c r="E186" s="3270"/>
      <c r="F186" s="3259">
        <v>0.05</v>
      </c>
      <c r="G186" s="3276"/>
    </row>
    <row r="187" spans="1:7">
      <c r="A187" s="3269" t="s">
        <v>29</v>
      </c>
      <c r="B187" s="3258" t="s">
        <v>3197</v>
      </c>
      <c r="C187" s="3270"/>
      <c r="D187" s="3270"/>
      <c r="E187" s="3270"/>
      <c r="F187" s="3259">
        <v>0.05</v>
      </c>
      <c r="G187" s="3276"/>
    </row>
    <row r="188" spans="1:7">
      <c r="A188" s="3269" t="s">
        <v>29</v>
      </c>
      <c r="B188" s="3258" t="s">
        <v>3198</v>
      </c>
      <c r="C188" s="3270"/>
      <c r="D188" s="3270"/>
      <c r="E188" s="3270"/>
      <c r="F188" s="3259">
        <v>0.05</v>
      </c>
      <c r="G188" s="3276"/>
    </row>
    <row r="189" spans="1:7" ht="14.25" thickBot="1">
      <c r="A189" s="3272" t="s">
        <v>29</v>
      </c>
      <c r="B189" s="3262" t="s">
        <v>3199</v>
      </c>
      <c r="C189" s="3264"/>
      <c r="D189" s="3264"/>
      <c r="E189" s="3264"/>
      <c r="F189" s="3263">
        <v>0.05</v>
      </c>
      <c r="G189" s="3277"/>
    </row>
    <row r="190" spans="1:7">
      <c r="A190" s="3268" t="s">
        <v>304</v>
      </c>
      <c r="B190" s="3254" t="s">
        <v>2855</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2891</v>
      </c>
      <c r="C199" s="3259">
        <v>0.13</v>
      </c>
      <c r="D199" s="3259">
        <v>0.13</v>
      </c>
      <c r="E199" s="3259">
        <v>0.13</v>
      </c>
      <c r="F199" s="3259">
        <v>0.13</v>
      </c>
      <c r="G199" s="3260">
        <v>0.13</v>
      </c>
    </row>
    <row r="200" spans="1:7">
      <c r="A200" s="3269" t="s">
        <v>304</v>
      </c>
      <c r="B200" s="3258" t="s">
        <v>2894</v>
      </c>
      <c r="C200" s="3275"/>
      <c r="D200" s="3275"/>
      <c r="E200" s="3275"/>
      <c r="F200" s="3259">
        <v>0.13</v>
      </c>
      <c r="G200" s="3271"/>
    </row>
    <row r="201" spans="1:7">
      <c r="A201" s="3269" t="s">
        <v>304</v>
      </c>
      <c r="B201" s="3258" t="s">
        <v>2899</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2902</v>
      </c>
      <c r="C203" s="3259">
        <v>0.129</v>
      </c>
      <c r="D203" s="3259">
        <v>0.129</v>
      </c>
      <c r="E203" s="3259">
        <v>0.13</v>
      </c>
      <c r="F203" s="3259">
        <v>0.13</v>
      </c>
      <c r="G203" s="3260">
        <v>0.13</v>
      </c>
    </row>
    <row r="204" spans="1:7">
      <c r="A204" s="3269" t="s">
        <v>304</v>
      </c>
      <c r="B204" s="3258" t="s">
        <v>2905</v>
      </c>
      <c r="C204" s="3259">
        <v>0.129</v>
      </c>
      <c r="D204" s="3259">
        <v>0.129</v>
      </c>
      <c r="E204" s="3259">
        <v>0.123</v>
      </c>
      <c r="F204" s="3259">
        <v>0.13</v>
      </c>
      <c r="G204" s="3260">
        <v>0.13</v>
      </c>
    </row>
    <row r="205" spans="1:7">
      <c r="A205" s="3269" t="s">
        <v>304</v>
      </c>
      <c r="B205" s="3258" t="s">
        <v>2907</v>
      </c>
      <c r="C205" s="3259">
        <v>0.13</v>
      </c>
      <c r="D205" s="3259">
        <v>0.13</v>
      </c>
      <c r="E205" s="3259">
        <v>0.13</v>
      </c>
      <c r="F205" s="3259">
        <v>0.13</v>
      </c>
      <c r="G205" s="3260">
        <v>0.13</v>
      </c>
    </row>
    <row r="206" spans="1:7">
      <c r="A206" s="3269" t="s">
        <v>304</v>
      </c>
      <c r="B206" s="3258" t="s">
        <v>2910</v>
      </c>
      <c r="C206" s="3259">
        <v>0.13</v>
      </c>
      <c r="D206" s="3259">
        <v>0.13</v>
      </c>
      <c r="E206" s="3259">
        <v>0.13</v>
      </c>
      <c r="F206" s="3259">
        <v>0.128</v>
      </c>
      <c r="G206" s="3260">
        <v>0.13</v>
      </c>
    </row>
    <row r="207" spans="1:7">
      <c r="A207" s="3269" t="s">
        <v>304</v>
      </c>
      <c r="B207" s="3258" t="s">
        <v>2912</v>
      </c>
      <c r="C207" s="3259">
        <v>0.13</v>
      </c>
      <c r="D207" s="3259">
        <v>0.13</v>
      </c>
      <c r="E207" s="3259">
        <v>0.13</v>
      </c>
      <c r="F207" s="3259">
        <v>0.13</v>
      </c>
      <c r="G207" s="3260">
        <v>0.13</v>
      </c>
    </row>
    <row r="208" spans="1:7">
      <c r="A208" s="3269" t="s">
        <v>304</v>
      </c>
      <c r="B208" s="3258" t="s">
        <v>2915</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2922</v>
      </c>
      <c r="C210" s="3259">
        <v>0.121</v>
      </c>
      <c r="D210" s="3259">
        <v>0.121</v>
      </c>
      <c r="E210" s="3259">
        <v>0.125</v>
      </c>
      <c r="F210" s="3259">
        <v>0.13</v>
      </c>
      <c r="G210" s="3260">
        <v>0.123</v>
      </c>
    </row>
    <row r="211" spans="1:7">
      <c r="A211" s="3269" t="s">
        <v>304</v>
      </c>
      <c r="B211" s="3258" t="s">
        <v>2925</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2937</v>
      </c>
      <c r="C214" s="3259">
        <v>0.128</v>
      </c>
      <c r="D214" s="3259">
        <v>0.128</v>
      </c>
      <c r="E214" s="3259">
        <v>0.13</v>
      </c>
      <c r="F214" s="3259">
        <v>0.13</v>
      </c>
      <c r="G214" s="3260">
        <v>0.13</v>
      </c>
    </row>
    <row r="215" spans="1:7">
      <c r="A215" s="3269" t="s">
        <v>304</v>
      </c>
      <c r="B215" s="3258" t="s">
        <v>2941</v>
      </c>
      <c r="C215" s="3259">
        <v>0.13</v>
      </c>
      <c r="D215" s="3259">
        <v>0.13</v>
      </c>
      <c r="E215" s="3259">
        <v>0.13</v>
      </c>
      <c r="F215" s="3259">
        <v>0.129</v>
      </c>
      <c r="G215" s="3260">
        <v>0.13</v>
      </c>
    </row>
    <row r="216" spans="1:7">
      <c r="A216" s="3269" t="s">
        <v>304</v>
      </c>
      <c r="B216" s="3258" t="s">
        <v>2948</v>
      </c>
      <c r="C216" s="3259">
        <v>0.13</v>
      </c>
      <c r="D216" s="3259">
        <v>0.13</v>
      </c>
      <c r="E216" s="3259">
        <v>0.13</v>
      </c>
      <c r="F216" s="3259">
        <v>0.13</v>
      </c>
      <c r="G216" s="3260">
        <v>0.13</v>
      </c>
    </row>
    <row r="217" spans="1:7">
      <c r="A217" s="3269" t="s">
        <v>304</v>
      </c>
      <c r="B217" s="3258" t="s">
        <v>2955</v>
      </c>
      <c r="C217" s="3259">
        <v>0.129</v>
      </c>
      <c r="D217" s="3259">
        <v>0.129</v>
      </c>
      <c r="E217" s="3259">
        <v>0.13</v>
      </c>
      <c r="F217" s="3259">
        <v>0.13</v>
      </c>
      <c r="G217" s="3260">
        <v>0.13</v>
      </c>
    </row>
    <row r="218" spans="1:7">
      <c r="A218" s="3269" t="s">
        <v>304</v>
      </c>
      <c r="B218" s="3258" t="s">
        <v>2961</v>
      </c>
      <c r="C218" s="3270"/>
      <c r="D218" s="3270"/>
      <c r="E218" s="3270"/>
      <c r="F218" s="3259">
        <v>0.05</v>
      </c>
      <c r="G218" s="3276"/>
    </row>
    <row r="219" spans="1:7">
      <c r="A219" s="3269" t="s">
        <v>304</v>
      </c>
      <c r="B219" s="3258" t="s">
        <v>2968</v>
      </c>
      <c r="C219" s="3270"/>
      <c r="D219" s="3270"/>
      <c r="E219" s="3270"/>
      <c r="F219" s="3259">
        <v>0.05</v>
      </c>
      <c r="G219" s="3276"/>
    </row>
    <row r="220" spans="1:7">
      <c r="A220" s="3269" t="s">
        <v>304</v>
      </c>
      <c r="B220" s="3258" t="s">
        <v>2974</v>
      </c>
      <c r="C220" s="3270"/>
      <c r="D220" s="3270"/>
      <c r="E220" s="3270"/>
      <c r="F220" s="3259">
        <v>0.05</v>
      </c>
      <c r="G220" s="3276"/>
    </row>
    <row r="221" spans="1:7">
      <c r="A221" s="3269" t="s">
        <v>304</v>
      </c>
      <c r="B221" s="3258" t="s">
        <v>2979</v>
      </c>
      <c r="C221" s="3270"/>
      <c r="D221" s="3270"/>
      <c r="E221" s="3270"/>
      <c r="F221" s="3259">
        <v>0.05</v>
      </c>
      <c r="G221" s="3276"/>
    </row>
    <row r="222" spans="1:7">
      <c r="A222" s="3269" t="s">
        <v>304</v>
      </c>
      <c r="B222" s="3258" t="s">
        <v>2983</v>
      </c>
      <c r="C222" s="3270"/>
      <c r="D222" s="3270"/>
      <c r="E222" s="3270"/>
      <c r="F222" s="3259">
        <v>0.05</v>
      </c>
      <c r="G222" s="3276"/>
    </row>
    <row r="223" spans="1:7">
      <c r="A223" s="3269" t="s">
        <v>304</v>
      </c>
      <c r="B223" s="3258" t="s">
        <v>2988</v>
      </c>
      <c r="C223" s="3270"/>
      <c r="D223" s="3270"/>
      <c r="E223" s="3270"/>
      <c r="F223" s="3259">
        <v>0.05</v>
      </c>
      <c r="G223" s="3276"/>
    </row>
    <row r="224" spans="1:7">
      <c r="A224" s="3269" t="s">
        <v>304</v>
      </c>
      <c r="B224" s="3258" t="s">
        <v>2993</v>
      </c>
      <c r="C224" s="3270"/>
      <c r="D224" s="3270"/>
      <c r="E224" s="3270"/>
      <c r="F224" s="3259">
        <v>0.05</v>
      </c>
      <c r="G224" s="3276"/>
    </row>
    <row r="225" spans="1:7">
      <c r="A225" s="3269" t="s">
        <v>304</v>
      </c>
      <c r="B225" s="3258" t="s">
        <v>2998</v>
      </c>
      <c r="C225" s="3270"/>
      <c r="D225" s="3270"/>
      <c r="E225" s="3270"/>
      <c r="F225" s="3259">
        <v>0.05</v>
      </c>
      <c r="G225" s="3276"/>
    </row>
    <row r="226" spans="1:7">
      <c r="A226" s="3269" t="s">
        <v>304</v>
      </c>
      <c r="B226" s="3258" t="s">
        <v>3200</v>
      </c>
      <c r="C226" s="3270"/>
      <c r="D226" s="3270"/>
      <c r="E226" s="3270"/>
      <c r="F226" s="3259">
        <v>0.05</v>
      </c>
      <c r="G226" s="3276"/>
    </row>
    <row r="227" spans="1:7">
      <c r="A227" s="3269" t="s">
        <v>304</v>
      </c>
      <c r="B227" s="3258" t="s">
        <v>3201</v>
      </c>
      <c r="C227" s="3270"/>
      <c r="D227" s="3270"/>
      <c r="E227" s="3270"/>
      <c r="F227" s="3259">
        <v>0.05</v>
      </c>
      <c r="G227" s="3276"/>
    </row>
    <row r="228" spans="1:7">
      <c r="A228" s="3269" t="s">
        <v>304</v>
      </c>
      <c r="B228" s="3258" t="s">
        <v>3202</v>
      </c>
      <c r="C228" s="3270"/>
      <c r="D228" s="3270"/>
      <c r="E228" s="3270"/>
      <c r="F228" s="3259">
        <v>0.05</v>
      </c>
      <c r="G228" s="3276"/>
    </row>
    <row r="229" spans="1:7">
      <c r="A229" s="3269" t="s">
        <v>304</v>
      </c>
      <c r="B229" s="3258" t="s">
        <v>3203</v>
      </c>
      <c r="C229" s="3270"/>
      <c r="D229" s="3270"/>
      <c r="E229" s="3270"/>
      <c r="F229" s="3259">
        <v>0.05</v>
      </c>
      <c r="G229" s="3276"/>
    </row>
    <row r="230" spans="1:7">
      <c r="A230" s="3269" t="s">
        <v>304</v>
      </c>
      <c r="B230" s="3258" t="s">
        <v>3204</v>
      </c>
      <c r="C230" s="3270"/>
      <c r="D230" s="3270"/>
      <c r="E230" s="3270"/>
      <c r="F230" s="3259">
        <v>0.05</v>
      </c>
      <c r="G230" s="3276"/>
    </row>
    <row r="231" spans="1:7">
      <c r="A231" s="3269" t="s">
        <v>304</v>
      </c>
      <c r="B231" s="3258" t="s">
        <v>3205</v>
      </c>
      <c r="C231" s="3270"/>
      <c r="D231" s="3270"/>
      <c r="E231" s="3270"/>
      <c r="F231" s="3259">
        <v>0.05</v>
      </c>
      <c r="G231" s="3276"/>
    </row>
    <row r="232" spans="1:7">
      <c r="A232" s="3269" t="s">
        <v>304</v>
      </c>
      <c r="B232" s="3258" t="s">
        <v>3206</v>
      </c>
      <c r="C232" s="3270"/>
      <c r="D232" s="3270"/>
      <c r="E232" s="3270"/>
      <c r="F232" s="3259">
        <v>0.05</v>
      </c>
      <c r="G232" s="3276"/>
    </row>
    <row r="233" spans="1:7" ht="14.25" thickBot="1">
      <c r="A233" s="3272" t="s">
        <v>304</v>
      </c>
      <c r="B233" s="3262" t="s">
        <v>3207</v>
      </c>
      <c r="C233" s="3264"/>
      <c r="D233" s="3264"/>
      <c r="E233" s="3264"/>
      <c r="F233" s="3263">
        <v>0.05</v>
      </c>
      <c r="G233" s="3277"/>
    </row>
    <row r="234" spans="1:7">
      <c r="A234" s="3268" t="s">
        <v>305</v>
      </c>
      <c r="B234" s="3254" t="s">
        <v>2856</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2876</v>
      </c>
      <c r="C238" s="3259">
        <v>0.14899999999999999</v>
      </c>
      <c r="D238" s="3259">
        <v>0.14899999999999999</v>
      </c>
      <c r="E238" s="3259">
        <v>0.15</v>
      </c>
      <c r="F238" s="3259">
        <v>0.15</v>
      </c>
      <c r="G238" s="3260">
        <v>0.15</v>
      </c>
    </row>
    <row r="239" spans="1:7">
      <c r="A239" s="3269" t="s">
        <v>305</v>
      </c>
      <c r="B239" s="3258" t="s">
        <v>2880</v>
      </c>
      <c r="C239" s="3259">
        <v>0.15</v>
      </c>
      <c r="D239" s="3259">
        <v>0.15</v>
      </c>
      <c r="E239" s="3259">
        <v>0.15</v>
      </c>
      <c r="F239" s="3259">
        <v>0.15</v>
      </c>
      <c r="G239" s="3260">
        <v>0.15</v>
      </c>
    </row>
    <row r="240" spans="1:7">
      <c r="A240" s="3269" t="s">
        <v>305</v>
      </c>
      <c r="B240" s="3258" t="s">
        <v>2885</v>
      </c>
      <c r="C240" s="3259">
        <v>0.15</v>
      </c>
      <c r="D240" s="3259">
        <v>0.15</v>
      </c>
      <c r="E240" s="3259">
        <v>0.15</v>
      </c>
      <c r="F240" s="3259">
        <v>0.15</v>
      </c>
      <c r="G240" s="3260">
        <v>0.15</v>
      </c>
    </row>
    <row r="241" spans="1:7">
      <c r="A241" s="3269" t="s">
        <v>305</v>
      </c>
      <c r="B241" s="3258" t="s">
        <v>2889</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2895</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2903</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2908</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2916</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2929</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2938</v>
      </c>
      <c r="C258" s="3259">
        <v>0.14299999999999999</v>
      </c>
      <c r="D258" s="3259">
        <v>0.14299999999999999</v>
      </c>
      <c r="E258" s="3259">
        <v>0.15</v>
      </c>
      <c r="F258" s="3259">
        <v>0.14799999999999999</v>
      </c>
      <c r="G258" s="3260">
        <v>0.14599999999999999</v>
      </c>
    </row>
    <row r="259" spans="1:7">
      <c r="A259" s="3269" t="s">
        <v>305</v>
      </c>
      <c r="B259" s="3258" t="s">
        <v>2942</v>
      </c>
      <c r="C259" s="3259">
        <v>0.14399999999999999</v>
      </c>
      <c r="D259" s="3259">
        <v>0.14399999999999999</v>
      </c>
      <c r="E259" s="3259">
        <v>0.14899999999999999</v>
      </c>
      <c r="F259" s="3259">
        <v>0.14699999999999999</v>
      </c>
      <c r="G259" s="3260">
        <v>0.14599999999999999</v>
      </c>
    </row>
    <row r="260" spans="1:7">
      <c r="A260" s="3269" t="s">
        <v>305</v>
      </c>
      <c r="B260" s="3258" t="s">
        <v>2949</v>
      </c>
      <c r="C260" s="3259">
        <v>0.109</v>
      </c>
      <c r="D260" s="3259">
        <v>0.111</v>
      </c>
      <c r="E260" s="3259">
        <v>0.13100000000000001</v>
      </c>
      <c r="F260" s="3259">
        <v>0.126</v>
      </c>
      <c r="G260" s="3260">
        <v>0.11899999999999999</v>
      </c>
    </row>
    <row r="261" spans="1:7">
      <c r="A261" s="3269" t="s">
        <v>305</v>
      </c>
      <c r="B261" s="3258" t="s">
        <v>2956</v>
      </c>
      <c r="C261" s="3259">
        <v>0.1</v>
      </c>
      <c r="D261" s="3259">
        <v>0.1</v>
      </c>
      <c r="E261" s="3259">
        <v>0.11799999999999999</v>
      </c>
      <c r="F261" s="3259">
        <v>0.108</v>
      </c>
      <c r="G261" s="3260">
        <v>0.107</v>
      </c>
    </row>
    <row r="262" spans="1:7">
      <c r="A262" s="3269" t="s">
        <v>305</v>
      </c>
      <c r="B262" s="3258" t="s">
        <v>2962</v>
      </c>
      <c r="C262" s="3259">
        <v>0.1</v>
      </c>
      <c r="D262" s="3259">
        <v>0.1</v>
      </c>
      <c r="E262" s="3259">
        <v>0.1</v>
      </c>
      <c r="F262" s="3259">
        <v>0.14099999999999999</v>
      </c>
      <c r="G262" s="3260">
        <v>0.1</v>
      </c>
    </row>
    <row r="263" spans="1:7">
      <c r="A263" s="3269" t="s">
        <v>305</v>
      </c>
      <c r="B263" s="3258" t="s">
        <v>2969</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2980</v>
      </c>
      <c r="C265" s="3270"/>
      <c r="D265" s="3270"/>
      <c r="E265" s="3270"/>
      <c r="F265" s="3259">
        <v>0.05</v>
      </c>
      <c r="G265" s="3276"/>
    </row>
    <row r="266" spans="1:7">
      <c r="A266" s="3269" t="s">
        <v>305</v>
      </c>
      <c r="B266" s="3258" t="s">
        <v>2984</v>
      </c>
      <c r="C266" s="3270"/>
      <c r="D266" s="3270"/>
      <c r="E266" s="3270"/>
      <c r="F266" s="3259">
        <v>0.05</v>
      </c>
      <c r="G266" s="3276"/>
    </row>
    <row r="267" spans="1:7">
      <c r="A267" s="3269" t="s">
        <v>305</v>
      </c>
      <c r="B267" s="3258" t="s">
        <v>2989</v>
      </c>
      <c r="C267" s="3270"/>
      <c r="D267" s="3270"/>
      <c r="E267" s="3270"/>
      <c r="F267" s="3259">
        <v>0.05</v>
      </c>
      <c r="G267" s="3276"/>
    </row>
    <row r="268" spans="1:7">
      <c r="A268" s="3269" t="s">
        <v>305</v>
      </c>
      <c r="B268" s="3258" t="s">
        <v>2994</v>
      </c>
      <c r="C268" s="3270"/>
      <c r="D268" s="3270"/>
      <c r="E268" s="3270"/>
      <c r="F268" s="3259">
        <v>0.05</v>
      </c>
      <c r="G268" s="3276"/>
    </row>
    <row r="269" spans="1:7">
      <c r="A269" s="3269" t="s">
        <v>305</v>
      </c>
      <c r="B269" s="3258" t="s">
        <v>2999</v>
      </c>
      <c r="C269" s="3270"/>
      <c r="D269" s="3270"/>
      <c r="E269" s="3270"/>
      <c r="F269" s="3259">
        <v>0.05</v>
      </c>
      <c r="G269" s="3276"/>
    </row>
    <row r="270" spans="1:7">
      <c r="A270" s="3269" t="s">
        <v>305</v>
      </c>
      <c r="B270" s="3258" t="s">
        <v>3004</v>
      </c>
      <c r="C270" s="3270"/>
      <c r="D270" s="3270"/>
      <c r="E270" s="3270"/>
      <c r="F270" s="3259">
        <v>0.05</v>
      </c>
      <c r="G270" s="3276"/>
    </row>
    <row r="271" spans="1:7">
      <c r="A271" s="3269" t="s">
        <v>305</v>
      </c>
      <c r="B271" s="3258" t="s">
        <v>3208</v>
      </c>
      <c r="C271" s="3270"/>
      <c r="D271" s="3270"/>
      <c r="E271" s="3270"/>
      <c r="F271" s="3259">
        <v>0.05</v>
      </c>
      <c r="G271" s="3276"/>
    </row>
    <row r="272" spans="1:7">
      <c r="A272" s="3269" t="s">
        <v>305</v>
      </c>
      <c r="B272" s="3258" t="s">
        <v>3209</v>
      </c>
      <c r="C272" s="3270"/>
      <c r="D272" s="3270"/>
      <c r="E272" s="3270"/>
      <c r="F272" s="3259">
        <v>0.05</v>
      </c>
      <c r="G272" s="3276"/>
    </row>
    <row r="273" spans="1:7">
      <c r="A273" s="3269" t="s">
        <v>305</v>
      </c>
      <c r="B273" s="3258" t="s">
        <v>3210</v>
      </c>
      <c r="C273" s="3270"/>
      <c r="D273" s="3270"/>
      <c r="E273" s="3270"/>
      <c r="F273" s="3259">
        <v>0.05</v>
      </c>
      <c r="G273" s="3276"/>
    </row>
    <row r="274" spans="1:7">
      <c r="A274" s="3269" t="s">
        <v>305</v>
      </c>
      <c r="B274" s="3258" t="s">
        <v>3211</v>
      </c>
      <c r="C274" s="3270"/>
      <c r="D274" s="3270"/>
      <c r="E274" s="3270"/>
      <c r="F274" s="3259">
        <v>0.05</v>
      </c>
      <c r="G274" s="3276"/>
    </row>
    <row r="275" spans="1:7">
      <c r="A275" s="3269" t="s">
        <v>305</v>
      </c>
      <c r="B275" s="3258" t="s">
        <v>3212</v>
      </c>
      <c r="C275" s="3270"/>
      <c r="D275" s="3270"/>
      <c r="E275" s="3270"/>
      <c r="F275" s="3259">
        <v>0.05</v>
      </c>
      <c r="G275" s="3276"/>
    </row>
    <row r="276" spans="1:7" ht="14.25" thickBot="1">
      <c r="A276" s="3272" t="s">
        <v>305</v>
      </c>
      <c r="B276" s="3262" t="s">
        <v>3213</v>
      </c>
      <c r="C276" s="3264"/>
      <c r="D276" s="3264"/>
      <c r="E276" s="3264"/>
      <c r="F276" s="3263">
        <v>0.05</v>
      </c>
      <c r="G276" s="3277"/>
    </row>
    <row r="277" spans="1:7">
      <c r="A277" s="3268" t="s">
        <v>306</v>
      </c>
      <c r="B277" s="3254" t="s">
        <v>2857</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2869</v>
      </c>
      <c r="C279" s="3259">
        <v>0.15</v>
      </c>
      <c r="D279" s="3259">
        <v>0.15</v>
      </c>
      <c r="E279" s="3259">
        <v>0.15</v>
      </c>
      <c r="F279" s="3259">
        <v>0.15</v>
      </c>
      <c r="G279" s="3260">
        <v>0.15</v>
      </c>
    </row>
    <row r="280" spans="1:7">
      <c r="A280" s="3269" t="s">
        <v>306</v>
      </c>
      <c r="B280" s="3258" t="s">
        <v>2873</v>
      </c>
      <c r="C280" s="3259">
        <v>0.15</v>
      </c>
      <c r="D280" s="3259">
        <v>0.15</v>
      </c>
      <c r="E280" s="3259">
        <v>0.15</v>
      </c>
      <c r="F280" s="3259">
        <v>0.15</v>
      </c>
      <c r="G280" s="3260">
        <v>0.15</v>
      </c>
    </row>
    <row r="281" spans="1:7">
      <c r="A281" s="3269" t="s">
        <v>306</v>
      </c>
      <c r="B281" s="3258" t="s">
        <v>2877</v>
      </c>
      <c r="C281" s="3259">
        <v>0.15</v>
      </c>
      <c r="D281" s="3259">
        <v>0.15</v>
      </c>
      <c r="E281" s="3259">
        <v>0.15</v>
      </c>
      <c r="F281" s="3259">
        <v>0.15</v>
      </c>
      <c r="G281" s="3260">
        <v>0.15</v>
      </c>
    </row>
    <row r="282" spans="1:7">
      <c r="A282" s="3269" t="s">
        <v>306</v>
      </c>
      <c r="B282" s="3258" t="s">
        <v>2881</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2896</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2901</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2911</v>
      </c>
      <c r="C293" s="3259">
        <v>0.15</v>
      </c>
      <c r="D293" s="3259">
        <v>0.15</v>
      </c>
      <c r="E293" s="3259">
        <v>0.15</v>
      </c>
      <c r="F293" s="3259">
        <v>0.14499999999999999</v>
      </c>
      <c r="G293" s="3260">
        <v>0.15</v>
      </c>
    </row>
    <row r="294" spans="1:7">
      <c r="A294" s="3269" t="s">
        <v>306</v>
      </c>
      <c r="B294" s="3258" t="s">
        <v>2913</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2930</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2943</v>
      </c>
      <c r="C302" s="3259">
        <v>0.15</v>
      </c>
      <c r="D302" s="3259">
        <v>0.15</v>
      </c>
      <c r="E302" s="3259">
        <v>0.15</v>
      </c>
      <c r="F302" s="3259">
        <v>0.14699999999999999</v>
      </c>
      <c r="G302" s="3260">
        <v>0.15</v>
      </c>
    </row>
    <row r="303" spans="1:7">
      <c r="A303" s="3269" t="s">
        <v>306</v>
      </c>
      <c r="B303" s="3258" t="s">
        <v>2950</v>
      </c>
      <c r="C303" s="3259">
        <v>0.15</v>
      </c>
      <c r="D303" s="3259">
        <v>0.15</v>
      </c>
      <c r="E303" s="3259">
        <v>0.15</v>
      </c>
      <c r="F303" s="3259">
        <v>0.14199999999999999</v>
      </c>
      <c r="G303" s="3260">
        <v>0.15</v>
      </c>
    </row>
    <row r="304" spans="1:7">
      <c r="A304" s="3269" t="s">
        <v>306</v>
      </c>
      <c r="B304" s="3258" t="s">
        <v>2957</v>
      </c>
      <c r="C304" s="3259">
        <v>0.15</v>
      </c>
      <c r="D304" s="3259">
        <v>0.15</v>
      </c>
      <c r="E304" s="3259">
        <v>0.15</v>
      </c>
      <c r="F304" s="3259">
        <v>0.14499999999999999</v>
      </c>
      <c r="G304" s="3260">
        <v>0.15</v>
      </c>
    </row>
    <row r="305" spans="1:7">
      <c r="A305" s="3269" t="s">
        <v>306</v>
      </c>
      <c r="B305" s="3258" t="s">
        <v>2963</v>
      </c>
      <c r="C305" s="3259">
        <v>0.15</v>
      </c>
      <c r="D305" s="3259">
        <v>0.15</v>
      </c>
      <c r="E305" s="3259">
        <v>0.15</v>
      </c>
      <c r="F305" s="3259">
        <v>0.111</v>
      </c>
      <c r="G305" s="3260">
        <v>0.15</v>
      </c>
    </row>
    <row r="306" spans="1:7">
      <c r="A306" s="3269" t="s">
        <v>306</v>
      </c>
      <c r="B306" s="3258" t="s">
        <v>2970</v>
      </c>
      <c r="C306" s="3259">
        <v>0.15</v>
      </c>
      <c r="D306" s="3259">
        <v>0.15</v>
      </c>
      <c r="E306" s="3259">
        <v>0.15</v>
      </c>
      <c r="F306" s="3259">
        <v>0.126</v>
      </c>
      <c r="G306" s="3260">
        <v>0.15</v>
      </c>
    </row>
    <row r="307" spans="1:7">
      <c r="A307" s="3269" t="s">
        <v>306</v>
      </c>
      <c r="B307" s="3258" t="s">
        <v>2975</v>
      </c>
      <c r="C307" s="3259">
        <v>0.15</v>
      </c>
      <c r="D307" s="3259">
        <v>0.15</v>
      </c>
      <c r="E307" s="3259">
        <v>0.15</v>
      </c>
      <c r="F307" s="3259">
        <v>0.12</v>
      </c>
      <c r="G307" s="3260">
        <v>0.15</v>
      </c>
    </row>
    <row r="308" spans="1:7">
      <c r="A308" s="3269" t="s">
        <v>306</v>
      </c>
      <c r="B308" s="3258" t="s">
        <v>2981</v>
      </c>
      <c r="C308" s="3259">
        <v>0.15</v>
      </c>
      <c r="D308" s="3259">
        <v>0.15</v>
      </c>
      <c r="E308" s="3259">
        <v>0.15</v>
      </c>
      <c r="F308" s="3259">
        <v>0.13</v>
      </c>
      <c r="G308" s="3260">
        <v>0.15</v>
      </c>
    </row>
    <row r="309" spans="1:7">
      <c r="A309" s="3269" t="s">
        <v>306</v>
      </c>
      <c r="B309" s="3258" t="s">
        <v>2985</v>
      </c>
      <c r="C309" s="3259">
        <v>0.15</v>
      </c>
      <c r="D309" s="3259">
        <v>0.15</v>
      </c>
      <c r="E309" s="3259">
        <v>0.15</v>
      </c>
      <c r="F309" s="3259">
        <v>0.14099999999999999</v>
      </c>
      <c r="G309" s="3260">
        <v>0.15</v>
      </c>
    </row>
    <row r="310" spans="1:7">
      <c r="A310" s="3269" t="s">
        <v>306</v>
      </c>
      <c r="B310" s="3258" t="s">
        <v>2990</v>
      </c>
      <c r="C310" s="3259">
        <v>0.15</v>
      </c>
      <c r="D310" s="3259">
        <v>0.15</v>
      </c>
      <c r="E310" s="3259">
        <v>0.15</v>
      </c>
      <c r="F310" s="3259">
        <v>0.15</v>
      </c>
      <c r="G310" s="3260">
        <v>0.15</v>
      </c>
    </row>
    <row r="311" spans="1:7">
      <c r="A311" s="3269" t="s">
        <v>306</v>
      </c>
      <c r="B311" s="3258" t="s">
        <v>2995</v>
      </c>
      <c r="C311" s="3259">
        <v>0.13200000000000001</v>
      </c>
      <c r="D311" s="3259">
        <v>0.13300000000000001</v>
      </c>
      <c r="E311" s="3259">
        <v>0.14499999999999999</v>
      </c>
      <c r="F311" s="3259">
        <v>0.14199999999999999</v>
      </c>
      <c r="G311" s="3260">
        <v>0.14000000000000001</v>
      </c>
    </row>
    <row r="312" spans="1:7">
      <c r="A312" s="3269" t="s">
        <v>306</v>
      </c>
      <c r="B312" s="3258" t="s">
        <v>3000</v>
      </c>
      <c r="C312" s="3259">
        <v>0.13800000000000001</v>
      </c>
      <c r="D312" s="3259">
        <v>0.14000000000000001</v>
      </c>
      <c r="E312" s="3259">
        <v>0.14599999999999999</v>
      </c>
      <c r="F312" s="3259">
        <v>0.14899999999999999</v>
      </c>
      <c r="G312" s="3260">
        <v>0.14199999999999999</v>
      </c>
    </row>
    <row r="313" spans="1:7">
      <c r="A313" s="3269" t="s">
        <v>306</v>
      </c>
      <c r="B313" s="3258" t="s">
        <v>3005</v>
      </c>
      <c r="C313" s="3259">
        <v>0.125</v>
      </c>
      <c r="D313" s="3259">
        <v>0.127</v>
      </c>
      <c r="E313" s="3259">
        <v>0.14399999999999999</v>
      </c>
      <c r="F313" s="3259">
        <v>0.115</v>
      </c>
      <c r="G313" s="3260">
        <v>0.13600000000000001</v>
      </c>
    </row>
    <row r="314" spans="1:7">
      <c r="A314" s="3269" t="s">
        <v>306</v>
      </c>
      <c r="B314" s="3258" t="s">
        <v>3214</v>
      </c>
      <c r="C314" s="3275"/>
      <c r="D314" s="3275"/>
      <c r="E314" s="3275"/>
      <c r="F314" s="3259">
        <v>0.05</v>
      </c>
      <c r="G314" s="3276"/>
    </row>
    <row r="315" spans="1:7">
      <c r="A315" s="3269" t="s">
        <v>306</v>
      </c>
      <c r="B315" s="3258" t="s">
        <v>3215</v>
      </c>
      <c r="C315" s="3275"/>
      <c r="D315" s="3275"/>
      <c r="E315" s="3275"/>
      <c r="F315" s="3259">
        <v>0.05</v>
      </c>
      <c r="G315" s="3276"/>
    </row>
    <row r="316" spans="1:7">
      <c r="A316" s="3269" t="s">
        <v>306</v>
      </c>
      <c r="B316" s="3258" t="s">
        <v>3216</v>
      </c>
      <c r="C316" s="3270"/>
      <c r="D316" s="3270"/>
      <c r="E316" s="3270"/>
      <c r="F316" s="3259">
        <v>0.05</v>
      </c>
      <c r="G316" s="3276"/>
    </row>
    <row r="317" spans="1:7">
      <c r="A317" s="3269" t="s">
        <v>306</v>
      </c>
      <c r="B317" s="3258" t="s">
        <v>3217</v>
      </c>
      <c r="C317" s="3270"/>
      <c r="D317" s="3270"/>
      <c r="E317" s="3270"/>
      <c r="F317" s="3259">
        <v>0.05</v>
      </c>
      <c r="G317" s="3276"/>
    </row>
    <row r="318" spans="1:7">
      <c r="A318" s="3269" t="s">
        <v>306</v>
      </c>
      <c r="B318" s="3258" t="s">
        <v>3218</v>
      </c>
      <c r="C318" s="3270"/>
      <c r="D318" s="3270"/>
      <c r="E318" s="3270"/>
      <c r="F318" s="3259">
        <v>0.05</v>
      </c>
      <c r="G318" s="3276"/>
    </row>
    <row r="319" spans="1:7">
      <c r="A319" s="3269" t="s">
        <v>306</v>
      </c>
      <c r="B319" s="3258" t="s">
        <v>3219</v>
      </c>
      <c r="C319" s="3270"/>
      <c r="D319" s="3270"/>
      <c r="E319" s="3270"/>
      <c r="F319" s="3259">
        <v>0.05</v>
      </c>
      <c r="G319" s="3276"/>
    </row>
    <row r="320" spans="1:7">
      <c r="A320" s="3269" t="s">
        <v>306</v>
      </c>
      <c r="B320" s="3258" t="s">
        <v>3220</v>
      </c>
      <c r="C320" s="3270"/>
      <c r="D320" s="3270"/>
      <c r="E320" s="3270"/>
      <c r="F320" s="3259">
        <v>0.05</v>
      </c>
      <c r="G320" s="3276"/>
    </row>
    <row r="321" spans="1:7">
      <c r="A321" s="3269" t="s">
        <v>306</v>
      </c>
      <c r="B321" s="3258" t="s">
        <v>3221</v>
      </c>
      <c r="C321" s="3270"/>
      <c r="D321" s="3270"/>
      <c r="E321" s="3270"/>
      <c r="F321" s="3259">
        <v>0.05</v>
      </c>
      <c r="G321" s="3276"/>
    </row>
    <row r="322" spans="1:7">
      <c r="A322" s="3269" t="s">
        <v>306</v>
      </c>
      <c r="B322" s="3258" t="s">
        <v>3222</v>
      </c>
      <c r="C322" s="3270"/>
      <c r="D322" s="3270"/>
      <c r="E322" s="3270"/>
      <c r="F322" s="3259">
        <v>0.05</v>
      </c>
      <c r="G322" s="3276"/>
    </row>
    <row r="323" spans="1:7">
      <c r="A323" s="3269" t="s">
        <v>306</v>
      </c>
      <c r="B323" s="3258" t="s">
        <v>3223</v>
      </c>
      <c r="C323" s="3270"/>
      <c r="D323" s="3270"/>
      <c r="E323" s="3270"/>
      <c r="F323" s="3259">
        <v>0.05</v>
      </c>
      <c r="G323" s="3276"/>
    </row>
    <row r="324" spans="1:7">
      <c r="A324" s="3269" t="s">
        <v>306</v>
      </c>
      <c r="B324" s="3258" t="s">
        <v>3224</v>
      </c>
      <c r="C324" s="3270"/>
      <c r="D324" s="3270"/>
      <c r="E324" s="3270"/>
      <c r="F324" s="3259">
        <v>0.05</v>
      </c>
      <c r="G324" s="3276"/>
    </row>
    <row r="325" spans="1:7">
      <c r="A325" s="3269" t="s">
        <v>306</v>
      </c>
      <c r="B325" s="3258" t="s">
        <v>3225</v>
      </c>
      <c r="C325" s="3270"/>
      <c r="D325" s="3270"/>
      <c r="E325" s="3270"/>
      <c r="F325" s="3259">
        <v>0.05</v>
      </c>
      <c r="G325" s="3276"/>
    </row>
    <row r="326" spans="1:7" ht="14.25" thickBot="1">
      <c r="A326" s="3272" t="s">
        <v>306</v>
      </c>
      <c r="B326" s="3262" t="s">
        <v>3226</v>
      </c>
      <c r="C326" s="3264"/>
      <c r="D326" s="3264"/>
      <c r="E326" s="3264"/>
      <c r="F326" s="3263">
        <v>0.05</v>
      </c>
      <c r="G326" s="3277"/>
    </row>
    <row r="327" spans="1:7">
      <c r="A327" s="3268" t="s">
        <v>307</v>
      </c>
      <c r="B327" s="3254" t="s">
        <v>2858</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2870</v>
      </c>
      <c r="C329" s="3259">
        <v>0.15</v>
      </c>
      <c r="D329" s="3259">
        <v>0.15</v>
      </c>
      <c r="E329" s="3259">
        <v>0.15</v>
      </c>
      <c r="F329" s="3259">
        <v>0.15</v>
      </c>
      <c r="G329" s="3260">
        <v>0.15</v>
      </c>
    </row>
    <row r="330" spans="1:7">
      <c r="A330" s="3269" t="s">
        <v>307</v>
      </c>
      <c r="B330" s="3258" t="s">
        <v>2874</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2882</v>
      </c>
      <c r="C332" s="3259">
        <v>0.15</v>
      </c>
      <c r="D332" s="3259">
        <v>0.15</v>
      </c>
      <c r="E332" s="3259">
        <v>0.15</v>
      </c>
      <c r="F332" s="3259">
        <v>0.15</v>
      </c>
      <c r="G332" s="3260">
        <v>0.15</v>
      </c>
    </row>
    <row r="333" spans="1:7">
      <c r="A333" s="3269" t="s">
        <v>307</v>
      </c>
      <c r="B333" s="3258" t="s">
        <v>2886</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2892</v>
      </c>
      <c r="C336" s="3259">
        <v>0.15</v>
      </c>
      <c r="D336" s="3259">
        <v>0.15</v>
      </c>
      <c r="E336" s="3259">
        <v>0.15</v>
      </c>
      <c r="F336" s="3259">
        <v>0.14199999999999999</v>
      </c>
      <c r="G336" s="3260">
        <v>0.15</v>
      </c>
    </row>
    <row r="337" spans="1:7">
      <c r="A337" s="3269" t="s">
        <v>307</v>
      </c>
      <c r="B337" s="3258" t="s">
        <v>2897</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2904</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2909</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2917</v>
      </c>
      <c r="C345" s="3259">
        <v>0.15</v>
      </c>
      <c r="D345" s="3259">
        <v>0.15</v>
      </c>
      <c r="E345" s="3259">
        <v>0.15</v>
      </c>
      <c r="F345" s="3259">
        <v>0.13800000000000001</v>
      </c>
      <c r="G345" s="3260">
        <v>0.15</v>
      </c>
    </row>
    <row r="346" spans="1:7">
      <c r="A346" s="3269" t="s">
        <v>307</v>
      </c>
      <c r="B346" s="3258" t="s">
        <v>2919</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2926</v>
      </c>
      <c r="C348" s="3259">
        <v>0.15</v>
      </c>
      <c r="D348" s="3259">
        <v>0.15</v>
      </c>
      <c r="E348" s="3259">
        <v>0.15</v>
      </c>
      <c r="F348" s="3259">
        <v>0.14399999999999999</v>
      </c>
      <c r="G348" s="3260">
        <v>0.15</v>
      </c>
    </row>
    <row r="349" spans="1:7">
      <c r="A349" s="3269" t="s">
        <v>307</v>
      </c>
      <c r="B349" s="3258" t="s">
        <v>2931</v>
      </c>
      <c r="C349" s="3259">
        <v>0.15</v>
      </c>
      <c r="D349" s="3259">
        <v>0.15</v>
      </c>
      <c r="E349" s="3259">
        <v>0.15</v>
      </c>
      <c r="F349" s="3259">
        <v>0.15</v>
      </c>
      <c r="G349" s="3260">
        <v>0.15</v>
      </c>
    </row>
    <row r="350" spans="1:7">
      <c r="A350" s="3269" t="s">
        <v>307</v>
      </c>
      <c r="B350" s="3258" t="s">
        <v>2934</v>
      </c>
      <c r="C350" s="3259">
        <v>0.15</v>
      </c>
      <c r="D350" s="3259">
        <v>0.15</v>
      </c>
      <c r="E350" s="3259">
        <v>0.15</v>
      </c>
      <c r="F350" s="3259">
        <v>0.14699999999999999</v>
      </c>
      <c r="G350" s="3260">
        <v>0.15</v>
      </c>
    </row>
    <row r="351" spans="1:7">
      <c r="A351" s="3269" t="s">
        <v>307</v>
      </c>
      <c r="B351" s="3258" t="s">
        <v>2939</v>
      </c>
      <c r="C351" s="3259">
        <v>0.15</v>
      </c>
      <c r="D351" s="3259">
        <v>0.15</v>
      </c>
      <c r="E351" s="3259">
        <v>0.15</v>
      </c>
      <c r="F351" s="3259">
        <v>0.13</v>
      </c>
      <c r="G351" s="3260">
        <v>0.15</v>
      </c>
    </row>
    <row r="352" spans="1:7">
      <c r="A352" s="3269" t="s">
        <v>307</v>
      </c>
      <c r="B352" s="3258" t="s">
        <v>2944</v>
      </c>
      <c r="C352" s="3259">
        <v>0.15</v>
      </c>
      <c r="D352" s="3259">
        <v>0.15</v>
      </c>
      <c r="E352" s="3259">
        <v>0.15</v>
      </c>
      <c r="F352" s="3259">
        <v>0.14599999999999999</v>
      </c>
      <c r="G352" s="3260">
        <v>0.15</v>
      </c>
    </row>
    <row r="353" spans="1:7">
      <c r="A353" s="3269" t="s">
        <v>307</v>
      </c>
      <c r="B353" s="3258" t="s">
        <v>2951</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2964</v>
      </c>
      <c r="C355" s="3259">
        <v>0.15</v>
      </c>
      <c r="D355" s="3259">
        <v>0.15</v>
      </c>
      <c r="E355" s="3259">
        <v>0.15</v>
      </c>
      <c r="F355" s="3259">
        <v>0.15</v>
      </c>
      <c r="G355" s="3260">
        <v>0.15</v>
      </c>
    </row>
    <row r="356" spans="1:7">
      <c r="A356" s="3269" t="s">
        <v>307</v>
      </c>
      <c r="B356" s="3258" t="s">
        <v>2971</v>
      </c>
      <c r="C356" s="3259">
        <v>0.15</v>
      </c>
      <c r="D356" s="3259">
        <v>0.15</v>
      </c>
      <c r="E356" s="3259">
        <v>0.15</v>
      </c>
      <c r="F356" s="3259">
        <v>0.15</v>
      </c>
      <c r="G356" s="3260">
        <v>0.15</v>
      </c>
    </row>
    <row r="357" spans="1:7" ht="14.25" thickBot="1">
      <c r="A357" s="3272" t="s">
        <v>307</v>
      </c>
      <c r="B357" s="3262" t="s">
        <v>2976</v>
      </c>
      <c r="C357" s="3263">
        <v>0.126</v>
      </c>
      <c r="D357" s="3263">
        <v>0.127</v>
      </c>
      <c r="E357" s="3263">
        <v>0.14299999999999999</v>
      </c>
      <c r="F357" s="3263">
        <v>0.125</v>
      </c>
      <c r="G357" s="3265">
        <v>0.129</v>
      </c>
    </row>
    <row r="358" spans="1:7">
      <c r="A358" s="3268" t="s">
        <v>2845</v>
      </c>
      <c r="B358" s="3254" t="s">
        <v>2859</v>
      </c>
      <c r="C358" s="3255">
        <v>0.15</v>
      </c>
      <c r="D358" s="3255">
        <v>0.15</v>
      </c>
      <c r="E358" s="3255">
        <v>0.15</v>
      </c>
      <c r="F358" s="3255">
        <v>0.15</v>
      </c>
      <c r="G358" s="3256">
        <v>0.15</v>
      </c>
    </row>
    <row r="359" spans="1:7">
      <c r="A359" s="3269" t="s">
        <v>2845</v>
      </c>
      <c r="B359" s="3258" t="s">
        <v>2865</v>
      </c>
      <c r="C359" s="3259">
        <v>0.1</v>
      </c>
      <c r="D359" s="3259">
        <v>0.1</v>
      </c>
      <c r="E359" s="3259">
        <v>0.1</v>
      </c>
      <c r="F359" s="3259">
        <v>0.1</v>
      </c>
      <c r="G359" s="3260">
        <v>0.1</v>
      </c>
    </row>
    <row r="360" spans="1:7">
      <c r="A360" s="3269" t="s">
        <v>2845</v>
      </c>
      <c r="B360" s="3258" t="s">
        <v>2871</v>
      </c>
      <c r="C360" s="3259">
        <v>0.15</v>
      </c>
      <c r="D360" s="3259">
        <v>0.15</v>
      </c>
      <c r="E360" s="3259">
        <v>0.15</v>
      </c>
      <c r="F360" s="3259">
        <v>0.14899999999999999</v>
      </c>
      <c r="G360" s="3260">
        <v>0.15</v>
      </c>
    </row>
    <row r="361" spans="1:7">
      <c r="A361" s="3269" t="s">
        <v>2845</v>
      </c>
      <c r="B361" s="3258" t="s">
        <v>153</v>
      </c>
      <c r="C361" s="3259">
        <v>0.15</v>
      </c>
      <c r="D361" s="3259">
        <v>0.15</v>
      </c>
      <c r="E361" s="3259">
        <v>0.15</v>
      </c>
      <c r="F361" s="3259">
        <v>0.115</v>
      </c>
      <c r="G361" s="3260">
        <v>0.15</v>
      </c>
    </row>
    <row r="362" spans="1:7">
      <c r="A362" s="3269" t="s">
        <v>2845</v>
      </c>
      <c r="B362" s="3258" t="s">
        <v>2878</v>
      </c>
      <c r="C362" s="3259">
        <v>0.15</v>
      </c>
      <c r="D362" s="3259">
        <v>0.15</v>
      </c>
      <c r="E362" s="3259">
        <v>0.15</v>
      </c>
      <c r="F362" s="3259">
        <v>0.106</v>
      </c>
      <c r="G362" s="3260">
        <v>0.15</v>
      </c>
    </row>
    <row r="363" spans="1:7">
      <c r="A363" s="3269" t="s">
        <v>2845</v>
      </c>
      <c r="B363" s="3258" t="s">
        <v>2883</v>
      </c>
      <c r="C363" s="3259">
        <v>0.15</v>
      </c>
      <c r="D363" s="3259">
        <v>0.15</v>
      </c>
      <c r="E363" s="3259">
        <v>0.15</v>
      </c>
      <c r="F363" s="3259">
        <v>0.14699999999999999</v>
      </c>
      <c r="G363" s="3260">
        <v>0.15</v>
      </c>
    </row>
    <row r="364" spans="1:7">
      <c r="A364" s="3269" t="s">
        <v>2845</v>
      </c>
      <c r="B364" s="3258" t="s">
        <v>2887</v>
      </c>
      <c r="C364" s="3259">
        <v>0.15</v>
      </c>
      <c r="D364" s="3259">
        <v>0.15</v>
      </c>
      <c r="E364" s="3259">
        <v>0.15</v>
      </c>
      <c r="F364" s="3259">
        <v>0.14799999999999999</v>
      </c>
      <c r="G364" s="3260">
        <v>0.15</v>
      </c>
    </row>
    <row r="365" spans="1:7">
      <c r="A365" s="3269" t="s">
        <v>2845</v>
      </c>
      <c r="B365" s="3258" t="s">
        <v>200</v>
      </c>
      <c r="C365" s="3259">
        <v>0.15</v>
      </c>
      <c r="D365" s="3259">
        <v>0.15</v>
      </c>
      <c r="E365" s="3259">
        <v>0.15</v>
      </c>
      <c r="F365" s="3259">
        <v>0.15</v>
      </c>
      <c r="G365" s="3260">
        <v>0.15</v>
      </c>
    </row>
    <row r="366" spans="1:7">
      <c r="A366" s="3269" t="s">
        <v>2845</v>
      </c>
      <c r="B366" s="3258" t="s">
        <v>2890</v>
      </c>
      <c r="C366" s="3259">
        <v>0.15</v>
      </c>
      <c r="D366" s="3259">
        <v>0.15</v>
      </c>
      <c r="E366" s="3259">
        <v>0.15</v>
      </c>
      <c r="F366" s="3259">
        <v>0.15</v>
      </c>
      <c r="G366" s="3260">
        <v>0.15</v>
      </c>
    </row>
    <row r="367" spans="1:7">
      <c r="A367" s="3269" t="s">
        <v>2845</v>
      </c>
      <c r="B367" s="3258" t="s">
        <v>2893</v>
      </c>
      <c r="C367" s="3259">
        <v>0.15</v>
      </c>
      <c r="D367" s="3259">
        <v>0.15</v>
      </c>
      <c r="E367" s="3259">
        <v>0.15</v>
      </c>
      <c r="F367" s="3259">
        <v>0.14699999999999999</v>
      </c>
      <c r="G367" s="3260">
        <v>0.15</v>
      </c>
    </row>
    <row r="368" spans="1:7">
      <c r="A368" s="3269" t="s">
        <v>2845</v>
      </c>
      <c r="B368" s="3258" t="s">
        <v>2898</v>
      </c>
      <c r="C368" s="3259">
        <v>0.15</v>
      </c>
      <c r="D368" s="3259">
        <v>0.15</v>
      </c>
      <c r="E368" s="3259">
        <v>0.15</v>
      </c>
      <c r="F368" s="3259">
        <v>0.13600000000000001</v>
      </c>
      <c r="G368" s="3260">
        <v>0.15</v>
      </c>
    </row>
    <row r="369" spans="1:7">
      <c r="A369" s="3269" t="s">
        <v>2845</v>
      </c>
      <c r="B369" s="3258" t="s">
        <v>214</v>
      </c>
      <c r="C369" s="3259">
        <v>0.15</v>
      </c>
      <c r="D369" s="3259">
        <v>0.15</v>
      </c>
      <c r="E369" s="3259">
        <v>0.15</v>
      </c>
      <c r="F369" s="3259">
        <v>0.14399999999999999</v>
      </c>
      <c r="G369" s="3260">
        <v>0.15</v>
      </c>
    </row>
    <row r="370" spans="1:7">
      <c r="A370" s="3269" t="s">
        <v>2845</v>
      </c>
      <c r="B370" s="3258" t="s">
        <v>221</v>
      </c>
      <c r="C370" s="3259">
        <v>0.15</v>
      </c>
      <c r="D370" s="3259">
        <v>0.15</v>
      </c>
      <c r="E370" s="3259">
        <v>0.15</v>
      </c>
      <c r="F370" s="3259">
        <v>0.14599999999999999</v>
      </c>
      <c r="G370" s="3260">
        <v>0.15</v>
      </c>
    </row>
    <row r="371" spans="1:7">
      <c r="A371" s="3269" t="s">
        <v>2845</v>
      </c>
      <c r="B371" s="3258" t="s">
        <v>229</v>
      </c>
      <c r="C371" s="3259">
        <v>0.15</v>
      </c>
      <c r="D371" s="3259">
        <v>0.15</v>
      </c>
      <c r="E371" s="3259">
        <v>0.15</v>
      </c>
      <c r="F371" s="3259">
        <v>0.12</v>
      </c>
      <c r="G371" s="3260">
        <v>0.15</v>
      </c>
    </row>
    <row r="372" spans="1:7">
      <c r="A372" s="3269" t="s">
        <v>2845</v>
      </c>
      <c r="B372" s="3258" t="s">
        <v>2906</v>
      </c>
      <c r="C372" s="3259">
        <v>0.15</v>
      </c>
      <c r="D372" s="3259">
        <v>0.15</v>
      </c>
      <c r="E372" s="3259">
        <v>0.15</v>
      </c>
      <c r="F372" s="3259">
        <v>0.14299999999999999</v>
      </c>
      <c r="G372" s="3260">
        <v>0.15</v>
      </c>
    </row>
    <row r="373" spans="1:7">
      <c r="A373" s="3269" t="s">
        <v>2845</v>
      </c>
      <c r="B373" s="3258" t="s">
        <v>258</v>
      </c>
      <c r="C373" s="3259">
        <v>0.15</v>
      </c>
      <c r="D373" s="3259">
        <v>0.15</v>
      </c>
      <c r="E373" s="3259">
        <v>0.15</v>
      </c>
      <c r="F373" s="3259">
        <v>0.14599999999999999</v>
      </c>
      <c r="G373" s="3260">
        <v>0.15</v>
      </c>
    </row>
    <row r="374" spans="1:7">
      <c r="A374" s="3269" t="s">
        <v>2845</v>
      </c>
      <c r="B374" s="3258" t="s">
        <v>266</v>
      </c>
      <c r="C374" s="3259">
        <v>0.15</v>
      </c>
      <c r="D374" s="3259">
        <v>0.15</v>
      </c>
      <c r="E374" s="3259">
        <v>0.15</v>
      </c>
      <c r="F374" s="3259">
        <v>0.14399999999999999</v>
      </c>
      <c r="G374" s="3260">
        <v>0.15</v>
      </c>
    </row>
    <row r="375" spans="1:7">
      <c r="A375" s="3269" t="s">
        <v>2845</v>
      </c>
      <c r="B375" s="3258" t="s">
        <v>2914</v>
      </c>
      <c r="C375" s="3259">
        <v>0.15</v>
      </c>
      <c r="D375" s="3259">
        <v>0.15</v>
      </c>
      <c r="E375" s="3259">
        <v>0.15</v>
      </c>
      <c r="F375" s="3259">
        <v>0.13</v>
      </c>
      <c r="G375" s="3260">
        <v>0.15</v>
      </c>
    </row>
    <row r="376" spans="1:7">
      <c r="A376" s="3269" t="s">
        <v>2845</v>
      </c>
      <c r="B376" s="3258" t="s">
        <v>277</v>
      </c>
      <c r="C376" s="3259">
        <v>0.15</v>
      </c>
      <c r="D376" s="3259">
        <v>0.15</v>
      </c>
      <c r="E376" s="3259">
        <v>0.15</v>
      </c>
      <c r="F376" s="3259">
        <v>0.14199999999999999</v>
      </c>
      <c r="G376" s="3260">
        <v>0.15</v>
      </c>
    </row>
    <row r="377" spans="1:7" ht="14.25" thickBot="1">
      <c r="A377" s="3272" t="s">
        <v>2845</v>
      </c>
      <c r="B377" s="3262" t="s">
        <v>2920</v>
      </c>
      <c r="C377" s="3263">
        <v>0.15</v>
      </c>
      <c r="D377" s="3263">
        <v>0.15</v>
      </c>
      <c r="E377" s="3263">
        <v>0.15</v>
      </c>
      <c r="F377" s="3263">
        <v>0.14000000000000001</v>
      </c>
      <c r="G377" s="3265">
        <v>0.15</v>
      </c>
    </row>
    <row r="378" spans="1:7">
      <c r="A378" s="3268" t="s">
        <v>2846</v>
      </c>
      <c r="B378" s="3254" t="s">
        <v>2860</v>
      </c>
      <c r="C378" s="3255">
        <v>0.15</v>
      </c>
      <c r="D378" s="3255">
        <v>0.15</v>
      </c>
      <c r="E378" s="3255">
        <v>0.15</v>
      </c>
      <c r="F378" s="3255">
        <v>0.107</v>
      </c>
      <c r="G378" s="3256">
        <v>0.15</v>
      </c>
    </row>
    <row r="379" spans="1:7">
      <c r="A379" s="3269" t="s">
        <v>2846</v>
      </c>
      <c r="B379" s="3258" t="s">
        <v>2866</v>
      </c>
      <c r="C379" s="3259">
        <v>0.15</v>
      </c>
      <c r="D379" s="3259">
        <v>0.15</v>
      </c>
      <c r="E379" s="3259">
        <v>0.15</v>
      </c>
      <c r="F379" s="3259">
        <v>0.115</v>
      </c>
      <c r="G379" s="3260">
        <v>0.14899999999999999</v>
      </c>
    </row>
    <row r="380" spans="1:7">
      <c r="A380" s="3269" t="s">
        <v>2846</v>
      </c>
      <c r="B380" s="3258" t="s">
        <v>2872</v>
      </c>
      <c r="C380" s="3259">
        <v>0.15</v>
      </c>
      <c r="D380" s="3259">
        <v>0.15</v>
      </c>
      <c r="E380" s="3259">
        <v>0.15</v>
      </c>
      <c r="F380" s="3259">
        <v>0.1</v>
      </c>
      <c r="G380" s="3260">
        <v>0.14799999999999999</v>
      </c>
    </row>
    <row r="381" spans="1:7">
      <c r="A381" s="3269" t="s">
        <v>2846</v>
      </c>
      <c r="B381" s="3258" t="s">
        <v>2875</v>
      </c>
      <c r="C381" s="3259">
        <v>0.15</v>
      </c>
      <c r="D381" s="3259">
        <v>0.15</v>
      </c>
      <c r="E381" s="3259">
        <v>0.15</v>
      </c>
      <c r="F381" s="3259">
        <v>0.126</v>
      </c>
      <c r="G381" s="3260">
        <v>0.15</v>
      </c>
    </row>
    <row r="382" spans="1:7">
      <c r="A382" s="3269" t="s">
        <v>2846</v>
      </c>
      <c r="B382" s="3258" t="s">
        <v>2879</v>
      </c>
      <c r="C382" s="3259">
        <v>0.15</v>
      </c>
      <c r="D382" s="3259">
        <v>0.15</v>
      </c>
      <c r="E382" s="3259">
        <v>0.15</v>
      </c>
      <c r="F382" s="3259">
        <v>0.15</v>
      </c>
      <c r="G382" s="3260">
        <v>0.15</v>
      </c>
    </row>
    <row r="383" spans="1:7">
      <c r="A383" s="3269" t="s">
        <v>2846</v>
      </c>
      <c r="B383" s="3258" t="s">
        <v>2884</v>
      </c>
      <c r="C383" s="3259">
        <v>0.15</v>
      </c>
      <c r="D383" s="3259">
        <v>0.15</v>
      </c>
      <c r="E383" s="3259">
        <v>0.15</v>
      </c>
      <c r="F383" s="3259">
        <v>0.14699999999999999</v>
      </c>
      <c r="G383" s="3260">
        <v>0.15</v>
      </c>
    </row>
    <row r="384" spans="1:7" ht="14.25" thickBot="1">
      <c r="A384" s="3279" t="s">
        <v>2846</v>
      </c>
      <c r="B384" s="3280" t="s">
        <v>2888</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4" t="s">
        <v>3227</v>
      </c>
      <c r="B1" s="3794"/>
      <c r="C1" s="3794"/>
      <c r="D1" s="3794"/>
      <c r="E1" s="3794"/>
      <c r="F1" s="3795"/>
    </row>
    <row r="2" spans="1:6">
      <c r="A2" s="3285" t="s">
        <v>3228</v>
      </c>
      <c r="B2" s="3286"/>
      <c r="C2" s="3286"/>
      <c r="D2" s="3286"/>
      <c r="E2" s="3286"/>
      <c r="F2" s="3286"/>
    </row>
    <row r="3" spans="1:6">
      <c r="A3" s="3285" t="s">
        <v>3229</v>
      </c>
      <c r="B3" s="3286"/>
      <c r="C3" s="3286"/>
      <c r="D3" s="3286"/>
      <c r="E3" s="3286"/>
      <c r="F3" s="3287" t="s">
        <v>3230</v>
      </c>
    </row>
    <row r="4" spans="1:6">
      <c r="A4" s="3288" t="s">
        <v>672</v>
      </c>
      <c r="B4" s="3288" t="s">
        <v>673</v>
      </c>
      <c r="C4" s="3288" t="s">
        <v>21</v>
      </c>
      <c r="D4" s="3288" t="s">
        <v>674</v>
      </c>
      <c r="E4" s="3288" t="s">
        <v>3</v>
      </c>
      <c r="F4" s="3288" t="s">
        <v>3231</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45411</v>
      </c>
      <c r="B1" s="3204" t="s">
        <v>3365</v>
      </c>
      <c r="C1" s="3205"/>
      <c r="D1" s="3205"/>
      <c r="E1" s="3205"/>
      <c r="F1" s="3205"/>
      <c r="G1" s="3205"/>
      <c r="H1" s="3205"/>
      <c r="I1" s="3205"/>
      <c r="J1" s="3159"/>
      <c r="K1" s="3205" t="s">
        <v>454</v>
      </c>
      <c r="L1" s="3205"/>
      <c r="M1" s="3205"/>
      <c r="N1" s="3205"/>
      <c r="O1" s="3205"/>
      <c r="P1" s="3205"/>
      <c r="Q1" s="3159"/>
      <c r="R1" s="3796" t="s">
        <v>456</v>
      </c>
      <c r="S1" s="3797"/>
      <c r="T1" s="3797"/>
      <c r="U1" s="3797"/>
      <c r="V1" s="3797"/>
      <c r="W1" s="3797"/>
      <c r="X1" s="3159"/>
      <c r="Y1" s="3796" t="s">
        <v>457</v>
      </c>
      <c r="Z1" s="3797"/>
      <c r="AA1" s="3797"/>
      <c r="AB1" s="3797"/>
      <c r="AC1" s="3797"/>
      <c r="AD1" s="3797"/>
    </row>
    <row r="2" spans="1:30" s="3137" customFormat="1" ht="14.25" thickBot="1">
      <c r="B2" s="3138"/>
      <c r="C2" s="3139"/>
      <c r="D2" s="3140" t="s">
        <v>2805</v>
      </c>
      <c r="E2" s="3141" t="s">
        <v>2806</v>
      </c>
      <c r="F2" s="3141" t="s">
        <v>2807</v>
      </c>
      <c r="G2" s="3141" t="s">
        <v>2808</v>
      </c>
      <c r="H2" s="3141" t="s">
        <v>2809</v>
      </c>
      <c r="I2" s="3141" t="s">
        <v>2626</v>
      </c>
      <c r="J2" s="3142"/>
      <c r="K2" s="3140" t="s">
        <v>2805</v>
      </c>
      <c r="L2" s="3141" t="s">
        <v>2806</v>
      </c>
      <c r="M2" s="3141" t="s">
        <v>2807</v>
      </c>
      <c r="N2" s="3141" t="s">
        <v>2808</v>
      </c>
      <c r="O2" s="3141" t="s">
        <v>2810</v>
      </c>
      <c r="P2" s="3141" t="s">
        <v>2626</v>
      </c>
      <c r="Q2" s="3142"/>
      <c r="R2" s="3140" t="s">
        <v>2805</v>
      </c>
      <c r="S2" s="3141" t="s">
        <v>2806</v>
      </c>
      <c r="T2" s="3141" t="s">
        <v>2807</v>
      </c>
      <c r="U2" s="3141" t="s">
        <v>2811</v>
      </c>
      <c r="V2" s="3141" t="s">
        <v>2812</v>
      </c>
      <c r="W2" s="3141" t="s">
        <v>2626</v>
      </c>
      <c r="X2" s="3142"/>
      <c r="Y2" s="3140" t="s">
        <v>2805</v>
      </c>
      <c r="Z2" s="3141" t="s">
        <v>2806</v>
      </c>
      <c r="AA2" s="3141" t="s">
        <v>2807</v>
      </c>
      <c r="AB2" s="3141" t="s">
        <v>2813</v>
      </c>
      <c r="AC2" s="3141" t="s">
        <v>2812</v>
      </c>
      <c r="AD2" s="3141" t="s">
        <v>2626</v>
      </c>
    </row>
    <row r="3" spans="1:30" s="3155" customFormat="1" ht="12.75">
      <c r="A3" s="3143" t="s">
        <v>2814</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1" t="s">
        <v>3368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1" t="s">
        <v>3369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3371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3372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3364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3358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3349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2815</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2816</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2817</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2818</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2819</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3360</v>
      </c>
    </row>
    <row r="21" spans="1:30" s="3003" customFormat="1">
      <c r="I21" s="3202" t="s">
        <v>2820</v>
      </c>
    </row>
    <row r="22" spans="1:30" s="3003" customFormat="1"/>
    <row r="23" spans="1:30" s="3203" customFormat="1" ht="12.75">
      <c r="B23" s="3204" t="s">
        <v>3366</v>
      </c>
      <c r="C23" s="3205"/>
      <c r="D23" s="3205"/>
      <c r="E23" s="3205"/>
      <c r="F23" s="3205"/>
      <c r="G23" s="3205"/>
      <c r="H23" s="3205"/>
      <c r="I23" s="3205"/>
      <c r="J23" s="3159"/>
      <c r="K23" s="3205" t="s">
        <v>2821</v>
      </c>
      <c r="L23" s="3205"/>
      <c r="M23" s="3205"/>
      <c r="N23" s="3205"/>
      <c r="O23" s="3205"/>
      <c r="P23" s="3205"/>
      <c r="Q23" s="3159"/>
      <c r="R23" s="3796" t="s">
        <v>2822</v>
      </c>
      <c r="S23" s="3797"/>
      <c r="T23" s="3797"/>
      <c r="U23" s="3797"/>
      <c r="V23" s="3797"/>
      <c r="W23" s="3797"/>
      <c r="X23" s="3159"/>
      <c r="Y23" s="3796" t="s">
        <v>2823</v>
      </c>
      <c r="Z23" s="3797"/>
      <c r="AA23" s="3797"/>
      <c r="AB23" s="3797"/>
      <c r="AC23" s="3797"/>
      <c r="AD23" s="3797"/>
    </row>
    <row r="24" spans="1:30" s="3137" customFormat="1" ht="14.25" thickBot="1">
      <c r="B24" s="3138"/>
      <c r="C24" s="3139"/>
      <c r="D24" s="3140" t="s">
        <v>2824</v>
      </c>
      <c r="E24" s="3141" t="s">
        <v>2825</v>
      </c>
      <c r="F24" s="3141" t="s">
        <v>2826</v>
      </c>
      <c r="G24" s="3141" t="s">
        <v>2827</v>
      </c>
      <c r="H24" s="3141"/>
      <c r="I24" s="3141" t="s">
        <v>2828</v>
      </c>
      <c r="J24" s="3142"/>
      <c r="K24" s="3140" t="s">
        <v>2824</v>
      </c>
      <c r="L24" s="3141" t="s">
        <v>2825</v>
      </c>
      <c r="M24" s="3141" t="s">
        <v>2826</v>
      </c>
      <c r="N24" s="3141" t="s">
        <v>2827</v>
      </c>
      <c r="O24" s="3141"/>
      <c r="P24" s="3141" t="s">
        <v>2828</v>
      </c>
      <c r="Q24" s="3142"/>
      <c r="R24" s="3140" t="s">
        <v>2824</v>
      </c>
      <c r="S24" s="3141" t="s">
        <v>2825</v>
      </c>
      <c r="T24" s="3141" t="s">
        <v>2826</v>
      </c>
      <c r="U24" s="3141" t="s">
        <v>2827</v>
      </c>
      <c r="V24" s="3141"/>
      <c r="W24" s="3141" t="s">
        <v>2828</v>
      </c>
      <c r="X24" s="3142"/>
      <c r="Y24" s="3140" t="s">
        <v>2824</v>
      </c>
      <c r="Z24" s="3141" t="s">
        <v>2825</v>
      </c>
      <c r="AA24" s="3141" t="s">
        <v>2826</v>
      </c>
      <c r="AB24" s="3141" t="s">
        <v>2827</v>
      </c>
      <c r="AC24" s="3141"/>
      <c r="AD24" s="3141" t="s">
        <v>2828</v>
      </c>
    </row>
    <row r="25" spans="1:30" s="3155" customFormat="1" ht="12.75">
      <c r="A25" s="3143" t="s">
        <v>2829</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1" t="s">
        <v>3368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1" t="s">
        <v>3369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3373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3372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3367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3359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3349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2830</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2831</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2832</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2833</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2819</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0">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0">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0">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0">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2431</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2308</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2307</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2306</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2303</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2302</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0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0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0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45411</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7"/>
      <c r="B23" s="2810" t="s">
        <v>2304</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29"/>
  <sheetViews>
    <sheetView workbookViewId="0">
      <selection activeCell="F29" sqref="F29"/>
    </sheetView>
  </sheetViews>
  <sheetFormatPr defaultRowHeight="13.5"/>
  <cols>
    <col min="1" max="16384" width="9" style="3248"/>
  </cols>
  <sheetData>
    <row r="4" spans="4:8">
      <c r="F4" s="3809"/>
      <c r="H4" s="3809"/>
    </row>
    <row r="5" spans="4:8">
      <c r="E5" s="3809" t="s">
        <v>3588</v>
      </c>
      <c r="F5" s="3809" t="s">
        <v>3589</v>
      </c>
    </row>
    <row r="6" spans="4:8">
      <c r="D6" s="3809" t="s">
        <v>3596</v>
      </c>
      <c r="E6" s="3248" t="s">
        <v>3584</v>
      </c>
      <c r="F6" s="3248">
        <v>198.73</v>
      </c>
    </row>
    <row r="7" spans="4:8">
      <c r="E7" s="3248">
        <v>2</v>
      </c>
      <c r="F7" s="3248">
        <v>1885.24</v>
      </c>
    </row>
    <row r="8" spans="4:8">
      <c r="E8" s="3248">
        <v>3</v>
      </c>
      <c r="F8" s="3248">
        <v>693.76</v>
      </c>
    </row>
    <row r="9" spans="4:8">
      <c r="E9" s="3248">
        <v>4</v>
      </c>
      <c r="F9" s="3248">
        <v>690.63</v>
      </c>
    </row>
    <row r="10" spans="4:8">
      <c r="E10" s="3248">
        <v>5</v>
      </c>
      <c r="F10" s="3248">
        <v>690.63</v>
      </c>
    </row>
    <row r="11" spans="4:8">
      <c r="E11" s="3248">
        <v>6</v>
      </c>
      <c r="F11" s="3248">
        <v>2190.9699999999998</v>
      </c>
    </row>
    <row r="12" spans="4:8">
      <c r="E12" s="3248">
        <v>7</v>
      </c>
      <c r="F12" s="3248">
        <v>686.75</v>
      </c>
    </row>
    <row r="13" spans="4:8">
      <c r="E13" s="3248" t="s">
        <v>3585</v>
      </c>
      <c r="F13" s="3248">
        <v>224.37</v>
      </c>
      <c r="G13" s="3248">
        <f>SUM(F6:F13)</f>
        <v>7261.079999999999</v>
      </c>
    </row>
    <row r="14" spans="4:8">
      <c r="E14" s="3248" t="s">
        <v>3586</v>
      </c>
      <c r="F14" s="3248">
        <v>30556.19</v>
      </c>
    </row>
    <row r="16" spans="4:8">
      <c r="D16" s="3809" t="s">
        <v>3597</v>
      </c>
      <c r="E16" s="3248" t="s">
        <v>3584</v>
      </c>
      <c r="F16" s="3248">
        <v>183.85</v>
      </c>
    </row>
    <row r="17" spans="4:10">
      <c r="E17" s="3248">
        <v>2</v>
      </c>
      <c r="F17" s="3248">
        <v>1255.82</v>
      </c>
    </row>
    <row r="18" spans="4:10">
      <c r="E18" s="3248">
        <v>3</v>
      </c>
      <c r="F18" s="3248">
        <v>703.68</v>
      </c>
    </row>
    <row r="19" spans="4:10">
      <c r="E19" s="3248">
        <v>4</v>
      </c>
      <c r="F19" s="3248">
        <v>670.04</v>
      </c>
    </row>
    <row r="20" spans="4:10">
      <c r="E20" s="3248">
        <v>5</v>
      </c>
      <c r="F20" s="3248">
        <v>668.58</v>
      </c>
    </row>
    <row r="21" spans="4:10">
      <c r="E21" s="3248" t="s">
        <v>3585</v>
      </c>
      <c r="F21" s="3248">
        <v>192.94</v>
      </c>
      <c r="G21" s="3248">
        <f>SUM(F16:F21)</f>
        <v>3674.91</v>
      </c>
      <c r="H21" s="3248">
        <f>G13+G21</f>
        <v>10935.989999999998</v>
      </c>
    </row>
    <row r="22" spans="4:10">
      <c r="E22" s="3248" t="s">
        <v>3587</v>
      </c>
      <c r="F22" s="3248">
        <v>34142.36</v>
      </c>
    </row>
    <row r="24" spans="4:10">
      <c r="F24" s="3809" t="s">
        <v>3601</v>
      </c>
      <c r="H24" s="3809" t="s">
        <v>3599</v>
      </c>
      <c r="J24" s="3809" t="s">
        <v>3600</v>
      </c>
    </row>
    <row r="25" spans="4:10">
      <c r="D25" s="3809" t="s">
        <v>3598</v>
      </c>
      <c r="E25" s="3248" t="s">
        <v>3592</v>
      </c>
      <c r="F25" s="3248">
        <v>4323.09</v>
      </c>
    </row>
    <row r="26" spans="4:10">
      <c r="E26" s="3248" t="s">
        <v>3593</v>
      </c>
      <c r="H26" s="3248">
        <v>7335.29</v>
      </c>
    </row>
    <row r="27" spans="4:10">
      <c r="E27" s="3248" t="s">
        <v>3594</v>
      </c>
      <c r="H27" s="3248">
        <v>7268.6</v>
      </c>
    </row>
    <row r="28" spans="4:10">
      <c r="E28" s="3248" t="s">
        <v>3595</v>
      </c>
      <c r="J28" s="3248">
        <v>7954.3</v>
      </c>
    </row>
    <row r="29" spans="4:10">
      <c r="E29" s="3248" t="s">
        <v>3587</v>
      </c>
      <c r="F29" s="3248">
        <v>10935.99</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851" t="s">
        <v>925</v>
      </c>
      <c r="E3" s="851" t="s">
        <v>931</v>
      </c>
      <c r="F3" s="851" t="s">
        <v>925</v>
      </c>
      <c r="G3" s="851" t="s">
        <v>926</v>
      </c>
      <c r="H3" s="851" t="s">
        <v>925</v>
      </c>
      <c r="I3" s="851" t="s">
        <v>926</v>
      </c>
    </row>
    <row r="4" spans="1:9" ht="15">
      <c r="A4" s="1501" t="str">
        <f>项目基本情况!S2</f>
        <v>房地产</v>
      </c>
      <c r="B4" s="851">
        <f>项目基本情况!C17</f>
        <v>10935.989999999998</v>
      </c>
      <c r="C4" s="851">
        <f>项目基本情况!C18</f>
        <v>3258.72</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477" t="s">
        <v>927</v>
      </c>
      <c r="B5" s="3477"/>
      <c r="C5" s="3477"/>
      <c r="D5" s="3477" t="e">
        <f ca="1">结果表!D119</f>
        <v>#REF!</v>
      </c>
      <c r="E5" s="3477"/>
      <c r="F5" s="3477" t="e">
        <f ca="1">结果表!F119</f>
        <v>#REF!</v>
      </c>
      <c r="G5" s="3477"/>
      <c r="H5" s="3477" t="e">
        <f ca="1">结果表!H119</f>
        <v>#REF!</v>
      </c>
      <c r="I5" s="3477"/>
    </row>
    <row r="6" spans="1:9" ht="15.75">
      <c r="A6" s="3478" t="str">
        <f>结果表!A120</f>
        <v>估价师知悉的法定优先受偿款</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房地产抵押价值</v>
      </c>
      <c r="B8" s="3478"/>
      <c r="C8" s="3478"/>
      <c r="D8" s="3478" t="e">
        <f ca="1">结果表!D122</f>
        <v>#REF!</v>
      </c>
      <c r="E8" s="3478"/>
      <c r="F8" s="3478"/>
      <c r="G8" s="3478"/>
      <c r="H8" s="3478"/>
      <c r="I8" s="3478"/>
    </row>
    <row r="9" spans="1:9" ht="15">
      <c r="A9" s="3477" t="s">
        <v>927</v>
      </c>
      <c r="B9" s="3477"/>
      <c r="C9" s="3477"/>
      <c r="D9" s="3477" t="e">
        <f ca="1">结果表!D123</f>
        <v>#REF!</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84" t="s">
        <v>949</v>
      </c>
      <c r="B1" s="3484"/>
      <c r="C1" s="3484"/>
      <c r="D1" s="3484"/>
    </row>
    <row r="2" spans="1:4" ht="18">
      <c r="A2" s="3485" t="s">
        <v>933</v>
      </c>
      <c r="B2" s="3485"/>
      <c r="C2" s="3485"/>
      <c r="D2" s="3485"/>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485" t="s">
        <v>939</v>
      </c>
      <c r="B6" s="3485"/>
      <c r="C6" s="3485"/>
      <c r="D6" s="3485"/>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498" t="s">
        <v>956</v>
      </c>
      <c r="B15" s="3493" t="s">
        <v>109</v>
      </c>
      <c r="C15" s="3494"/>
    </row>
    <row r="16" spans="1:7" ht="13.5">
      <c r="A16" s="3499"/>
      <c r="B16" s="3493" t="s">
        <v>42</v>
      </c>
      <c r="C16" s="3494"/>
    </row>
    <row r="17" spans="1:3" ht="13.5">
      <c r="A17" s="3499"/>
      <c r="B17" s="3496" t="s">
        <v>957</v>
      </c>
      <c r="C17" s="1528" t="s">
        <v>956</v>
      </c>
    </row>
    <row r="18" spans="1:3" ht="13.5">
      <c r="A18" s="3499"/>
      <c r="B18" s="3496"/>
      <c r="C18" s="1528" t="s">
        <v>958</v>
      </c>
    </row>
    <row r="19" spans="1:3" ht="13.5">
      <c r="A19" s="3499"/>
      <c r="B19" s="3496"/>
      <c r="C19" s="1528" t="s">
        <v>959</v>
      </c>
    </row>
    <row r="20" spans="1:3" ht="13.5">
      <c r="A20" s="3500"/>
      <c r="B20" s="3495" t="s">
        <v>960</v>
      </c>
      <c r="C20" s="3494"/>
    </row>
    <row r="21" spans="1:3" ht="13.5">
      <c r="A21" s="1529" t="s">
        <v>961</v>
      </c>
      <c r="B21" s="1530"/>
      <c r="C21" s="1531"/>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28" t="s">
        <v>967</v>
      </c>
    </row>
    <row r="26" spans="1:3" ht="13.5">
      <c r="A26" s="3497"/>
      <c r="B26" s="3496"/>
      <c r="C26" s="1528" t="s">
        <v>968</v>
      </c>
    </row>
    <row r="27" spans="1:3" ht="13.5">
      <c r="A27" s="3497"/>
      <c r="B27" s="3496"/>
      <c r="C27" s="1528" t="s">
        <v>969</v>
      </c>
    </row>
    <row r="28" spans="1:3" ht="13.5">
      <c r="A28" s="3497"/>
      <c r="B28" s="3496"/>
      <c r="C28" s="1528" t="s">
        <v>970</v>
      </c>
    </row>
    <row r="29" spans="1:3" ht="13.5">
      <c r="A29" s="3497"/>
      <c r="B29" s="3496"/>
      <c r="C29" s="1528" t="s">
        <v>971</v>
      </c>
    </row>
    <row r="30" spans="1:3" ht="13.5">
      <c r="A30" s="3497"/>
      <c r="B30" s="3496"/>
      <c r="C30" s="1528" t="s">
        <v>972</v>
      </c>
    </row>
    <row r="31" spans="1:3" ht="13.5">
      <c r="A31" s="3497"/>
      <c r="B31" s="3496"/>
      <c r="C31" s="1528" t="s">
        <v>973</v>
      </c>
    </row>
    <row r="32" spans="1:3" ht="13.5">
      <c r="A32" s="3497"/>
      <c r="B32" s="3496"/>
      <c r="C32" s="1528" t="s">
        <v>974</v>
      </c>
    </row>
    <row r="33" spans="1:3" ht="13.5">
      <c r="A33" s="3497"/>
      <c r="B33" s="3496"/>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45412</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t="str">
        <f ca="1">IF(C6&lt;B2,"已过期",1120050019)</f>
        <v>已过期</v>
      </c>
      <c r="C6" s="2341">
        <v>45410</v>
      </c>
      <c r="D6" s="2342" t="str">
        <f t="shared" ca="1" si="0"/>
        <v>王鹏（注册号：已过期）</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t="str">
        <f ca="1">IF(C13&lt;B2,"已过期",1120020033)</f>
        <v>已过期</v>
      </c>
      <c r="C13" s="2341">
        <v>45375</v>
      </c>
      <c r="D13" s="2342" t="str">
        <f t="shared" ca="1" si="0"/>
        <v>刘敬东（注册号：已过期）</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2432</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39"/>
      <c r="E18" s="3503" t="s">
        <v>2162</v>
      </c>
      <c r="F18" s="3502"/>
      <c r="G18" s="3502"/>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2433</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sheet1</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2024-04-30T02:37:11Z</dcterms:modified>
</cp:coreProperties>
</file>