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表" sheetId="80" r:id="rId13"/>
    <sheet name="分套结果表" sheetId="84"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比较法-办公" sheetId="34" r:id="rId25"/>
    <sheet name="收益法 (元)" sheetId="67" r:id="rId26"/>
    <sheet name="典型户型修正" sheetId="31" r:id="rId27"/>
    <sheet name="结果表商业" sheetId="82" r:id="rId28"/>
    <sheet name="比较法-商业" sheetId="33"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收益法商业" sheetId="81" r:id="rId43"/>
    <sheet name="典型户型修正 (2)" sheetId="83"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31" hidden="1">'比较法-住宅'!$A$1:$L$49</definedName>
    <definedName name="_xlnm._FilterDatabase" localSheetId="14"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7">结果表商业!$A$1:$I$127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30">'收益法（汇总）'!$A$1:$F$13</definedName>
    <definedName name="_xlnm.Print_Area" localSheetId="42">收益法商业!$A$1:$F$43,收益法商业!$H$3:$M$29,收益法商业!$A$45:$F$71,收益法商业!$I$46:$N$65</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 localSheetId="43">'典型户型修正 (2)'!$5:$5</definedName>
    <definedName name="一修多修正项2">典型户型修正!$5:$5</definedName>
    <definedName name="一修多修正项3" localSheetId="43">'典型户型修正 (2)'!$7:$7</definedName>
    <definedName name="一修多修正项3">典型户型修正!$7:$7</definedName>
    <definedName name="一修多修正项4" localSheetId="43">'典型户型修正 (2)'!$9:$9</definedName>
    <definedName name="一修多修正项4">典型户型修正!$9:$9</definedName>
    <definedName name="一修多修正项5" localSheetId="43">'典型户型修正 (2)'!$11:$11</definedName>
    <definedName name="一修多修正项5">典型户型修正!$11:$11</definedName>
    <definedName name="一修多修正项6" localSheetId="43">'典型户型修正 (2)'!$13:$13</definedName>
    <definedName name="一修多修正项6">典型户型修正!$13:$13</definedName>
    <definedName name="一修多修正项7" localSheetId="43">'典型户型修正 (2)'!$15:$15</definedName>
    <definedName name="一修多修正项7">典型户型修正!$15:$15</definedName>
    <definedName name="一修多修正项8" localSheetId="43">'典型户型修正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0" i="1" l="1"/>
  <c r="E122" i="84" l="1"/>
  <c r="E111" i="84"/>
  <c r="E123" i="84" s="1"/>
  <c r="AL7" i="1" l="1"/>
  <c r="B21" i="1"/>
  <c r="AK7" i="1"/>
  <c r="D89" i="33"/>
  <c r="E89" i="33" s="1"/>
  <c r="F89" i="33" s="1"/>
  <c r="G89" i="33" s="1"/>
  <c r="T9" i="83"/>
  <c r="U25" i="83"/>
  <c r="U26" i="83"/>
  <c r="U27" i="83"/>
  <c r="U28" i="83"/>
  <c r="U29" i="83"/>
  <c r="U30" i="83"/>
  <c r="U31" i="83"/>
  <c r="U32" i="83"/>
  <c r="U33" i="83"/>
  <c r="U24" i="83"/>
  <c r="A32" i="83"/>
  <c r="B32" i="83"/>
  <c r="A33" i="83"/>
  <c r="B33" i="83"/>
  <c r="A31" i="83"/>
  <c r="B31" i="83"/>
  <c r="A26" i="83"/>
  <c r="B26" i="83"/>
  <c r="A27" i="83"/>
  <c r="B27" i="83"/>
  <c r="A28" i="83"/>
  <c r="B28" i="83"/>
  <c r="A29" i="83"/>
  <c r="B29" i="83"/>
  <c r="A30" i="83"/>
  <c r="B30" i="83"/>
  <c r="B25" i="83"/>
  <c r="B22" i="83" s="1"/>
  <c r="B15" i="74" s="1"/>
  <c r="B24" i="83"/>
  <c r="A24" i="83"/>
  <c r="A25" i="83"/>
  <c r="R524" i="83"/>
  <c r="S524" i="83" s="1"/>
  <c r="Q524" i="83"/>
  <c r="O524" i="83"/>
  <c r="M524" i="83"/>
  <c r="K524" i="83"/>
  <c r="C524" i="83"/>
  <c r="R523" i="83"/>
  <c r="S523" i="83" s="1"/>
  <c r="Q523" i="83"/>
  <c r="O523" i="83"/>
  <c r="M523" i="83"/>
  <c r="K523" i="83"/>
  <c r="C523" i="83"/>
  <c r="R522" i="83"/>
  <c r="S522" i="83" s="1"/>
  <c r="Q522" i="83"/>
  <c r="O522" i="83"/>
  <c r="M522" i="83"/>
  <c r="K522" i="83"/>
  <c r="C522" i="83"/>
  <c r="R521" i="83"/>
  <c r="S521" i="83" s="1"/>
  <c r="Q521" i="83"/>
  <c r="O521" i="83"/>
  <c r="M521" i="83"/>
  <c r="K521" i="83"/>
  <c r="C521" i="83"/>
  <c r="R520" i="83"/>
  <c r="S520" i="83" s="1"/>
  <c r="Q520" i="83"/>
  <c r="O520" i="83"/>
  <c r="M520" i="83"/>
  <c r="K520" i="83"/>
  <c r="C520" i="83"/>
  <c r="R519" i="83"/>
  <c r="S519" i="83" s="1"/>
  <c r="Q519" i="83"/>
  <c r="O519" i="83"/>
  <c r="M519" i="83"/>
  <c r="K519" i="83"/>
  <c r="C519" i="83"/>
  <c r="R518" i="83"/>
  <c r="S518" i="83" s="1"/>
  <c r="Q518" i="83"/>
  <c r="O518" i="83"/>
  <c r="M518" i="83"/>
  <c r="K518" i="83"/>
  <c r="C518" i="83"/>
  <c r="R517" i="83"/>
  <c r="S517" i="83" s="1"/>
  <c r="Q517" i="83"/>
  <c r="O517" i="83"/>
  <c r="M517" i="83"/>
  <c r="K517" i="83"/>
  <c r="C517" i="83"/>
  <c r="R516" i="83"/>
  <c r="S516" i="83" s="1"/>
  <c r="Q516" i="83"/>
  <c r="O516" i="83"/>
  <c r="M516" i="83"/>
  <c r="K516" i="83"/>
  <c r="C516" i="83"/>
  <c r="R515" i="83"/>
  <c r="S515" i="83" s="1"/>
  <c r="Q515" i="83"/>
  <c r="O515" i="83"/>
  <c r="M515" i="83"/>
  <c r="K515" i="83"/>
  <c r="C515" i="83"/>
  <c r="R514" i="83"/>
  <c r="S514" i="83" s="1"/>
  <c r="Q514" i="83"/>
  <c r="O514" i="83"/>
  <c r="M514" i="83"/>
  <c r="K514" i="83"/>
  <c r="C514" i="83"/>
  <c r="R513" i="83"/>
  <c r="S513" i="83" s="1"/>
  <c r="Q513" i="83"/>
  <c r="O513" i="83"/>
  <c r="M513" i="83"/>
  <c r="K513" i="83"/>
  <c r="C513" i="83"/>
  <c r="R512" i="83"/>
  <c r="S512" i="83" s="1"/>
  <c r="Q512" i="83"/>
  <c r="O512" i="83"/>
  <c r="M512" i="83"/>
  <c r="K512" i="83"/>
  <c r="C512" i="83"/>
  <c r="R511" i="83"/>
  <c r="S511" i="83" s="1"/>
  <c r="Q511" i="83"/>
  <c r="O511" i="83"/>
  <c r="M511" i="83"/>
  <c r="K511" i="83"/>
  <c r="C511" i="83"/>
  <c r="R510" i="83"/>
  <c r="S510" i="83" s="1"/>
  <c r="Q510" i="83"/>
  <c r="O510" i="83"/>
  <c r="M510" i="83"/>
  <c r="K510" i="83"/>
  <c r="C510" i="83"/>
  <c r="R509" i="83"/>
  <c r="S509" i="83" s="1"/>
  <c r="Q509" i="83"/>
  <c r="O509" i="83"/>
  <c r="M509" i="83"/>
  <c r="K509" i="83"/>
  <c r="C509" i="83"/>
  <c r="R508" i="83"/>
  <c r="S508" i="83" s="1"/>
  <c r="Q508" i="83"/>
  <c r="O508" i="83"/>
  <c r="M508" i="83"/>
  <c r="K508" i="83"/>
  <c r="C508" i="83"/>
  <c r="R507" i="83"/>
  <c r="S507" i="83" s="1"/>
  <c r="Q507" i="83"/>
  <c r="O507" i="83"/>
  <c r="M507" i="83"/>
  <c r="K507" i="83"/>
  <c r="C507" i="83"/>
  <c r="R506" i="83"/>
  <c r="S506" i="83" s="1"/>
  <c r="Q506" i="83"/>
  <c r="O506" i="83"/>
  <c r="M506" i="83"/>
  <c r="K506" i="83"/>
  <c r="C506" i="83"/>
  <c r="R505" i="83"/>
  <c r="S505" i="83" s="1"/>
  <c r="Q505" i="83"/>
  <c r="O505" i="83"/>
  <c r="M505" i="83"/>
  <c r="K505" i="83"/>
  <c r="C505" i="83"/>
  <c r="R504" i="83"/>
  <c r="S504" i="83" s="1"/>
  <c r="Q504" i="83"/>
  <c r="O504" i="83"/>
  <c r="M504" i="83"/>
  <c r="K504" i="83"/>
  <c r="C504" i="83"/>
  <c r="R503" i="83"/>
  <c r="S503" i="83" s="1"/>
  <c r="Q503" i="83"/>
  <c r="O503" i="83"/>
  <c r="M503" i="83"/>
  <c r="K503" i="83"/>
  <c r="C503" i="83"/>
  <c r="R502" i="83"/>
  <c r="S502" i="83" s="1"/>
  <c r="Q502" i="83"/>
  <c r="O502" i="83"/>
  <c r="M502" i="83"/>
  <c r="K502" i="83"/>
  <c r="C502" i="83"/>
  <c r="R501" i="83"/>
  <c r="S501" i="83" s="1"/>
  <c r="Q501" i="83"/>
  <c r="O501" i="83"/>
  <c r="M501" i="83"/>
  <c r="K501" i="83"/>
  <c r="C501" i="83"/>
  <c r="R500" i="83"/>
  <c r="S500" i="83" s="1"/>
  <c r="Q500" i="83"/>
  <c r="O500" i="83"/>
  <c r="M500" i="83"/>
  <c r="K500" i="83"/>
  <c r="C500" i="83"/>
  <c r="R499" i="83"/>
  <c r="S499" i="83" s="1"/>
  <c r="Q499" i="83"/>
  <c r="O499" i="83"/>
  <c r="M499" i="83"/>
  <c r="K499" i="83"/>
  <c r="C499" i="83"/>
  <c r="R498" i="83"/>
  <c r="S498" i="83" s="1"/>
  <c r="Q498" i="83"/>
  <c r="O498" i="83"/>
  <c r="M498" i="83"/>
  <c r="K498" i="83"/>
  <c r="C498" i="83"/>
  <c r="R497" i="83"/>
  <c r="S497" i="83" s="1"/>
  <c r="Q497" i="83"/>
  <c r="O497" i="83"/>
  <c r="M497" i="83"/>
  <c r="K497" i="83"/>
  <c r="C497" i="83"/>
  <c r="R496" i="83"/>
  <c r="S496" i="83" s="1"/>
  <c r="Q496" i="83"/>
  <c r="O496" i="83"/>
  <c r="M496" i="83"/>
  <c r="K496" i="83"/>
  <c r="C496" i="83"/>
  <c r="R495" i="83"/>
  <c r="S495" i="83" s="1"/>
  <c r="Q495" i="83"/>
  <c r="O495" i="83"/>
  <c r="M495" i="83"/>
  <c r="K495" i="83"/>
  <c r="C495" i="83"/>
  <c r="R494" i="83"/>
  <c r="S494" i="83" s="1"/>
  <c r="Q494" i="83"/>
  <c r="O494" i="83"/>
  <c r="M494" i="83"/>
  <c r="K494" i="83"/>
  <c r="C494" i="83"/>
  <c r="R493" i="83"/>
  <c r="S493" i="83" s="1"/>
  <c r="Q493" i="83"/>
  <c r="O493" i="83"/>
  <c r="M493" i="83"/>
  <c r="K493" i="83"/>
  <c r="C493" i="83"/>
  <c r="R492" i="83"/>
  <c r="S492" i="83" s="1"/>
  <c r="Q492" i="83"/>
  <c r="O492" i="83"/>
  <c r="M492" i="83"/>
  <c r="K492" i="83"/>
  <c r="C492" i="83"/>
  <c r="R491" i="83"/>
  <c r="S491" i="83" s="1"/>
  <c r="Q491" i="83"/>
  <c r="O491" i="83"/>
  <c r="M491" i="83"/>
  <c r="K491" i="83"/>
  <c r="C491" i="83"/>
  <c r="R490" i="83"/>
  <c r="S490" i="83" s="1"/>
  <c r="Q490" i="83"/>
  <c r="O490" i="83"/>
  <c r="M490" i="83"/>
  <c r="K490" i="83"/>
  <c r="C490" i="83"/>
  <c r="R489" i="83"/>
  <c r="S489" i="83" s="1"/>
  <c r="Q489" i="83"/>
  <c r="O489" i="83"/>
  <c r="M489" i="83"/>
  <c r="K489" i="83"/>
  <c r="C489" i="83"/>
  <c r="R488" i="83"/>
  <c r="S488" i="83" s="1"/>
  <c r="Q488" i="83"/>
  <c r="O488" i="83"/>
  <c r="M488" i="83"/>
  <c r="K488" i="83"/>
  <c r="C488" i="83"/>
  <c r="R487" i="83"/>
  <c r="S487" i="83" s="1"/>
  <c r="Q487" i="83"/>
  <c r="O487" i="83"/>
  <c r="M487" i="83"/>
  <c r="K487" i="83"/>
  <c r="C487" i="83"/>
  <c r="R486" i="83"/>
  <c r="S486" i="83" s="1"/>
  <c r="Q486" i="83"/>
  <c r="O486" i="83"/>
  <c r="M486" i="83"/>
  <c r="K486" i="83"/>
  <c r="C486" i="83"/>
  <c r="R485" i="83"/>
  <c r="S485" i="83" s="1"/>
  <c r="Q485" i="83"/>
  <c r="O485" i="83"/>
  <c r="M485" i="83"/>
  <c r="K485" i="83"/>
  <c r="C485" i="83"/>
  <c r="R484" i="83"/>
  <c r="S484" i="83" s="1"/>
  <c r="Q484" i="83"/>
  <c r="O484" i="83"/>
  <c r="M484" i="83"/>
  <c r="K484" i="83"/>
  <c r="C484" i="83"/>
  <c r="S483" i="83"/>
  <c r="R483" i="83"/>
  <c r="Q483" i="83"/>
  <c r="O483" i="83"/>
  <c r="M483" i="83"/>
  <c r="K483" i="83"/>
  <c r="C483" i="83"/>
  <c r="R482" i="83"/>
  <c r="S482" i="83" s="1"/>
  <c r="Q482" i="83"/>
  <c r="O482" i="83"/>
  <c r="M482" i="83"/>
  <c r="K482" i="83"/>
  <c r="C482" i="83"/>
  <c r="R481" i="83"/>
  <c r="S481" i="83" s="1"/>
  <c r="Q481" i="83"/>
  <c r="O481" i="83"/>
  <c r="M481" i="83"/>
  <c r="K481" i="83"/>
  <c r="C481" i="83"/>
  <c r="R480" i="83"/>
  <c r="S480" i="83" s="1"/>
  <c r="Q480" i="83"/>
  <c r="O480" i="83"/>
  <c r="M480" i="83"/>
  <c r="K480" i="83"/>
  <c r="C480" i="83"/>
  <c r="R479" i="83"/>
  <c r="S479" i="83" s="1"/>
  <c r="Q479" i="83"/>
  <c r="O479" i="83"/>
  <c r="M479" i="83"/>
  <c r="K479" i="83"/>
  <c r="C479" i="83"/>
  <c r="R478" i="83"/>
  <c r="S478" i="83" s="1"/>
  <c r="Q478" i="83"/>
  <c r="O478" i="83"/>
  <c r="M478" i="83"/>
  <c r="K478" i="83"/>
  <c r="C478" i="83"/>
  <c r="R477" i="83"/>
  <c r="S477" i="83" s="1"/>
  <c r="Q477" i="83"/>
  <c r="O477" i="83"/>
  <c r="M477" i="83"/>
  <c r="K477" i="83"/>
  <c r="C477" i="83"/>
  <c r="R476" i="83"/>
  <c r="S476" i="83" s="1"/>
  <c r="Q476" i="83"/>
  <c r="O476" i="83"/>
  <c r="M476" i="83"/>
  <c r="K476" i="83"/>
  <c r="C476" i="83"/>
  <c r="R475" i="83"/>
  <c r="S475" i="83" s="1"/>
  <c r="Q475" i="83"/>
  <c r="O475" i="83"/>
  <c r="M475" i="83"/>
  <c r="K475" i="83"/>
  <c r="C475" i="83"/>
  <c r="R474" i="83"/>
  <c r="S474" i="83" s="1"/>
  <c r="Q474" i="83"/>
  <c r="O474" i="83"/>
  <c r="M474" i="83"/>
  <c r="K474" i="83"/>
  <c r="C474" i="83"/>
  <c r="R473" i="83"/>
  <c r="S473" i="83" s="1"/>
  <c r="Q473" i="83"/>
  <c r="O473" i="83"/>
  <c r="M473" i="83"/>
  <c r="K473" i="83"/>
  <c r="C473" i="83"/>
  <c r="R472" i="83"/>
  <c r="S472" i="83" s="1"/>
  <c r="Q472" i="83"/>
  <c r="O472" i="83"/>
  <c r="M472" i="83"/>
  <c r="K472" i="83"/>
  <c r="C472" i="83"/>
  <c r="R471" i="83"/>
  <c r="S471" i="83" s="1"/>
  <c r="Q471" i="83"/>
  <c r="O471" i="83"/>
  <c r="M471" i="83"/>
  <c r="K471" i="83"/>
  <c r="C471" i="83"/>
  <c r="R470" i="83"/>
  <c r="S470" i="83" s="1"/>
  <c r="Q470" i="83"/>
  <c r="O470" i="83"/>
  <c r="M470" i="83"/>
  <c r="K470" i="83"/>
  <c r="C470" i="83"/>
  <c r="R469" i="83"/>
  <c r="S469" i="83" s="1"/>
  <c r="Q469" i="83"/>
  <c r="O469" i="83"/>
  <c r="M469" i="83"/>
  <c r="K469" i="83"/>
  <c r="C469" i="83"/>
  <c r="R468" i="83"/>
  <c r="S468" i="83" s="1"/>
  <c r="Q468" i="83"/>
  <c r="O468" i="83"/>
  <c r="M468" i="83"/>
  <c r="K468" i="83"/>
  <c r="C468" i="83"/>
  <c r="R467" i="83"/>
  <c r="S467" i="83" s="1"/>
  <c r="Q467" i="83"/>
  <c r="O467" i="83"/>
  <c r="M467" i="83"/>
  <c r="K467" i="83"/>
  <c r="C467" i="83"/>
  <c r="R466" i="83"/>
  <c r="S466" i="83" s="1"/>
  <c r="Q466" i="83"/>
  <c r="O466" i="83"/>
  <c r="M466" i="83"/>
  <c r="K466" i="83"/>
  <c r="C466" i="83"/>
  <c r="R465" i="83"/>
  <c r="S465" i="83" s="1"/>
  <c r="Q465" i="83"/>
  <c r="O465" i="83"/>
  <c r="M465" i="83"/>
  <c r="K465" i="83"/>
  <c r="C465" i="83"/>
  <c r="R464" i="83"/>
  <c r="S464" i="83" s="1"/>
  <c r="Q464" i="83"/>
  <c r="O464" i="83"/>
  <c r="M464" i="83"/>
  <c r="K464" i="83"/>
  <c r="C464" i="83"/>
  <c r="R463" i="83"/>
  <c r="S463" i="83" s="1"/>
  <c r="Q463" i="83"/>
  <c r="O463" i="83"/>
  <c r="M463" i="83"/>
  <c r="K463" i="83"/>
  <c r="C463" i="83"/>
  <c r="R462" i="83"/>
  <c r="S462" i="83" s="1"/>
  <c r="Q462" i="83"/>
  <c r="O462" i="83"/>
  <c r="M462" i="83"/>
  <c r="K462" i="83"/>
  <c r="C462" i="83"/>
  <c r="R461" i="83"/>
  <c r="S461" i="83" s="1"/>
  <c r="Q461" i="83"/>
  <c r="O461" i="83"/>
  <c r="M461" i="83"/>
  <c r="K461" i="83"/>
  <c r="C461" i="83"/>
  <c r="R460" i="83"/>
  <c r="S460" i="83" s="1"/>
  <c r="Q460" i="83"/>
  <c r="O460" i="83"/>
  <c r="M460" i="83"/>
  <c r="K460" i="83"/>
  <c r="C460" i="83"/>
  <c r="R459" i="83"/>
  <c r="S459" i="83" s="1"/>
  <c r="Q459" i="83"/>
  <c r="O459" i="83"/>
  <c r="M459" i="83"/>
  <c r="K459" i="83"/>
  <c r="C459" i="83"/>
  <c r="R458" i="83"/>
  <c r="S458" i="83" s="1"/>
  <c r="Q458" i="83"/>
  <c r="O458" i="83"/>
  <c r="M458" i="83"/>
  <c r="K458" i="83"/>
  <c r="C458" i="83"/>
  <c r="R457" i="83"/>
  <c r="S457" i="83" s="1"/>
  <c r="Q457" i="83"/>
  <c r="O457" i="83"/>
  <c r="M457" i="83"/>
  <c r="K457" i="83"/>
  <c r="C457" i="83"/>
  <c r="R456" i="83"/>
  <c r="S456" i="83" s="1"/>
  <c r="Q456" i="83"/>
  <c r="O456" i="83"/>
  <c r="M456" i="83"/>
  <c r="K456" i="83"/>
  <c r="C456" i="83"/>
  <c r="R455" i="83"/>
  <c r="S455" i="83" s="1"/>
  <c r="Q455" i="83"/>
  <c r="O455" i="83"/>
  <c r="M455" i="83"/>
  <c r="K455" i="83"/>
  <c r="C455" i="83"/>
  <c r="R454" i="83"/>
  <c r="S454" i="83" s="1"/>
  <c r="Q454" i="83"/>
  <c r="O454" i="83"/>
  <c r="M454" i="83"/>
  <c r="K454" i="83"/>
  <c r="C454" i="83"/>
  <c r="R453" i="83"/>
  <c r="S453" i="83" s="1"/>
  <c r="Q453" i="83"/>
  <c r="O453" i="83"/>
  <c r="M453" i="83"/>
  <c r="K453" i="83"/>
  <c r="C453" i="83"/>
  <c r="R452" i="83"/>
  <c r="S452" i="83" s="1"/>
  <c r="Q452" i="83"/>
  <c r="O452" i="83"/>
  <c r="M452" i="83"/>
  <c r="K452" i="83"/>
  <c r="C452" i="83"/>
  <c r="R451" i="83"/>
  <c r="S451" i="83" s="1"/>
  <c r="Q451" i="83"/>
  <c r="O451" i="83"/>
  <c r="M451" i="83"/>
  <c r="K451" i="83"/>
  <c r="C451" i="83"/>
  <c r="R450" i="83"/>
  <c r="S450" i="83" s="1"/>
  <c r="Q450" i="83"/>
  <c r="O450" i="83"/>
  <c r="M450" i="83"/>
  <c r="K450" i="83"/>
  <c r="C450" i="83"/>
  <c r="R449" i="83"/>
  <c r="S449" i="83" s="1"/>
  <c r="Q449" i="83"/>
  <c r="O449" i="83"/>
  <c r="M449" i="83"/>
  <c r="K449" i="83"/>
  <c r="C449" i="83"/>
  <c r="R448" i="83"/>
  <c r="S448" i="83" s="1"/>
  <c r="Q448" i="83"/>
  <c r="O448" i="83"/>
  <c r="M448" i="83"/>
  <c r="K448" i="83"/>
  <c r="C448" i="83"/>
  <c r="R447" i="83"/>
  <c r="S447" i="83" s="1"/>
  <c r="Q447" i="83"/>
  <c r="O447" i="83"/>
  <c r="M447" i="83"/>
  <c r="K447" i="83"/>
  <c r="C447" i="83"/>
  <c r="R446" i="83"/>
  <c r="S446" i="83" s="1"/>
  <c r="Q446" i="83"/>
  <c r="O446" i="83"/>
  <c r="M446" i="83"/>
  <c r="K446" i="83"/>
  <c r="C446" i="83"/>
  <c r="R445" i="83"/>
  <c r="S445" i="83" s="1"/>
  <c r="Q445" i="83"/>
  <c r="O445" i="83"/>
  <c r="M445" i="83"/>
  <c r="K445" i="83"/>
  <c r="C445" i="83"/>
  <c r="R444" i="83"/>
  <c r="S444" i="83" s="1"/>
  <c r="Q444" i="83"/>
  <c r="O444" i="83"/>
  <c r="M444" i="83"/>
  <c r="K444" i="83"/>
  <c r="C444" i="83"/>
  <c r="R443" i="83"/>
  <c r="S443" i="83" s="1"/>
  <c r="Q443" i="83"/>
  <c r="O443" i="83"/>
  <c r="M443" i="83"/>
  <c r="K443" i="83"/>
  <c r="C443" i="83"/>
  <c r="R442" i="83"/>
  <c r="S442" i="83" s="1"/>
  <c r="Q442" i="83"/>
  <c r="O442" i="83"/>
  <c r="M442" i="83"/>
  <c r="K442" i="83"/>
  <c r="C442" i="83"/>
  <c r="R441" i="83"/>
  <c r="S441" i="83" s="1"/>
  <c r="Q441" i="83"/>
  <c r="O441" i="83"/>
  <c r="M441" i="83"/>
  <c r="K441" i="83"/>
  <c r="C441" i="83"/>
  <c r="R440" i="83"/>
  <c r="S440" i="83" s="1"/>
  <c r="Q440" i="83"/>
  <c r="O440" i="83"/>
  <c r="M440" i="83"/>
  <c r="K440" i="83"/>
  <c r="C440" i="83"/>
  <c r="R439" i="83"/>
  <c r="S439" i="83" s="1"/>
  <c r="Q439" i="83"/>
  <c r="O439" i="83"/>
  <c r="M439" i="83"/>
  <c r="K439" i="83"/>
  <c r="C439" i="83"/>
  <c r="R438" i="83"/>
  <c r="S438" i="83" s="1"/>
  <c r="Q438" i="83"/>
  <c r="O438" i="83"/>
  <c r="M438" i="83"/>
  <c r="K438" i="83"/>
  <c r="C438" i="83"/>
  <c r="R437" i="83"/>
  <c r="S437" i="83" s="1"/>
  <c r="Q437" i="83"/>
  <c r="O437" i="83"/>
  <c r="M437" i="83"/>
  <c r="K437" i="83"/>
  <c r="C437" i="83"/>
  <c r="R436" i="83"/>
  <c r="S436" i="83" s="1"/>
  <c r="Q436" i="83"/>
  <c r="O436" i="83"/>
  <c r="M436" i="83"/>
  <c r="K436" i="83"/>
  <c r="C436" i="83"/>
  <c r="R435" i="83"/>
  <c r="S435" i="83" s="1"/>
  <c r="Q435" i="83"/>
  <c r="O435" i="83"/>
  <c r="M435" i="83"/>
  <c r="K435" i="83"/>
  <c r="C435" i="83"/>
  <c r="R434" i="83"/>
  <c r="S434" i="83" s="1"/>
  <c r="Q434" i="83"/>
  <c r="O434" i="83"/>
  <c r="M434" i="83"/>
  <c r="K434" i="83"/>
  <c r="C434" i="83"/>
  <c r="R433" i="83"/>
  <c r="S433" i="83" s="1"/>
  <c r="Q433" i="83"/>
  <c r="O433" i="83"/>
  <c r="M433" i="83"/>
  <c r="K433" i="83"/>
  <c r="C433" i="83"/>
  <c r="R432" i="83"/>
  <c r="S432" i="83" s="1"/>
  <c r="Q432" i="83"/>
  <c r="O432" i="83"/>
  <c r="M432" i="83"/>
  <c r="K432" i="83"/>
  <c r="C432" i="83"/>
  <c r="R431" i="83"/>
  <c r="S431" i="83" s="1"/>
  <c r="Q431" i="83"/>
  <c r="O431" i="83"/>
  <c r="M431" i="83"/>
  <c r="K431" i="83"/>
  <c r="C431" i="83"/>
  <c r="R430" i="83"/>
  <c r="S430" i="83" s="1"/>
  <c r="Q430" i="83"/>
  <c r="O430" i="83"/>
  <c r="M430" i="83"/>
  <c r="K430" i="83"/>
  <c r="C430" i="83"/>
  <c r="R429" i="83"/>
  <c r="S429" i="83" s="1"/>
  <c r="Q429" i="83"/>
  <c r="O429" i="83"/>
  <c r="M429" i="83"/>
  <c r="K429" i="83"/>
  <c r="C429" i="83"/>
  <c r="R428" i="83"/>
  <c r="S428" i="83" s="1"/>
  <c r="Q428" i="83"/>
  <c r="O428" i="83"/>
  <c r="M428" i="83"/>
  <c r="K428" i="83"/>
  <c r="C428" i="83"/>
  <c r="R427" i="83"/>
  <c r="S427" i="83" s="1"/>
  <c r="Q427" i="83"/>
  <c r="O427" i="83"/>
  <c r="M427" i="83"/>
  <c r="K427" i="83"/>
  <c r="C427" i="83"/>
  <c r="R426" i="83"/>
  <c r="S426" i="83" s="1"/>
  <c r="Q426" i="83"/>
  <c r="O426" i="83"/>
  <c r="M426" i="83"/>
  <c r="K426" i="83"/>
  <c r="C426" i="83"/>
  <c r="R425" i="83"/>
  <c r="S425" i="83" s="1"/>
  <c r="Q425" i="83"/>
  <c r="O425" i="83"/>
  <c r="M425" i="83"/>
  <c r="K425" i="83"/>
  <c r="C425" i="83"/>
  <c r="R424" i="83"/>
  <c r="S424" i="83" s="1"/>
  <c r="Q424" i="83"/>
  <c r="O424" i="83"/>
  <c r="M424" i="83"/>
  <c r="K424" i="83"/>
  <c r="C424" i="83"/>
  <c r="R423" i="83"/>
  <c r="S423" i="83" s="1"/>
  <c r="Q423" i="83"/>
  <c r="O423" i="83"/>
  <c r="M423" i="83"/>
  <c r="K423" i="83"/>
  <c r="C423" i="83"/>
  <c r="R422" i="83"/>
  <c r="S422" i="83" s="1"/>
  <c r="Q422" i="83"/>
  <c r="O422" i="83"/>
  <c r="M422" i="83"/>
  <c r="K422" i="83"/>
  <c r="C422" i="83"/>
  <c r="R421" i="83"/>
  <c r="S421" i="83" s="1"/>
  <c r="Q421" i="83"/>
  <c r="O421" i="83"/>
  <c r="M421" i="83"/>
  <c r="K421" i="83"/>
  <c r="C421" i="83"/>
  <c r="R420" i="83"/>
  <c r="S420" i="83" s="1"/>
  <c r="Q420" i="83"/>
  <c r="O420" i="83"/>
  <c r="M420" i="83"/>
  <c r="K420" i="83"/>
  <c r="C420" i="83"/>
  <c r="R419" i="83"/>
  <c r="S419" i="83" s="1"/>
  <c r="Q419" i="83"/>
  <c r="O419" i="83"/>
  <c r="M419" i="83"/>
  <c r="K419" i="83"/>
  <c r="C419" i="83"/>
  <c r="R418" i="83"/>
  <c r="S418" i="83" s="1"/>
  <c r="Q418" i="83"/>
  <c r="O418" i="83"/>
  <c r="M418" i="83"/>
  <c r="K418" i="83"/>
  <c r="C418" i="83"/>
  <c r="R417" i="83"/>
  <c r="S417" i="83" s="1"/>
  <c r="Q417" i="83"/>
  <c r="O417" i="83"/>
  <c r="M417" i="83"/>
  <c r="K417" i="83"/>
  <c r="C417" i="83"/>
  <c r="R416" i="83"/>
  <c r="S416" i="83" s="1"/>
  <c r="Q416" i="83"/>
  <c r="O416" i="83"/>
  <c r="M416" i="83"/>
  <c r="K416" i="83"/>
  <c r="C416" i="83"/>
  <c r="R415" i="83"/>
  <c r="S415" i="83" s="1"/>
  <c r="Q415" i="83"/>
  <c r="O415" i="83"/>
  <c r="M415" i="83"/>
  <c r="K415" i="83"/>
  <c r="C415" i="83"/>
  <c r="R414" i="83"/>
  <c r="S414" i="83" s="1"/>
  <c r="Q414" i="83"/>
  <c r="O414" i="83"/>
  <c r="M414" i="83"/>
  <c r="K414" i="83"/>
  <c r="C414" i="83"/>
  <c r="R413" i="83"/>
  <c r="S413" i="83" s="1"/>
  <c r="Q413" i="83"/>
  <c r="O413" i="83"/>
  <c r="M413" i="83"/>
  <c r="K413" i="83"/>
  <c r="C413" i="83"/>
  <c r="R412" i="83"/>
  <c r="S412" i="83" s="1"/>
  <c r="Q412" i="83"/>
  <c r="O412" i="83"/>
  <c r="M412" i="83"/>
  <c r="K412" i="83"/>
  <c r="C412" i="83"/>
  <c r="R411" i="83"/>
  <c r="S411" i="83" s="1"/>
  <c r="Q411" i="83"/>
  <c r="O411" i="83"/>
  <c r="M411" i="83"/>
  <c r="K411" i="83"/>
  <c r="C411" i="83"/>
  <c r="R410" i="83"/>
  <c r="S410" i="83" s="1"/>
  <c r="Q410" i="83"/>
  <c r="O410" i="83"/>
  <c r="M410" i="83"/>
  <c r="K410" i="83"/>
  <c r="C410" i="83"/>
  <c r="R409" i="83"/>
  <c r="S409" i="83" s="1"/>
  <c r="Q409" i="83"/>
  <c r="O409" i="83"/>
  <c r="M409" i="83"/>
  <c r="K409" i="83"/>
  <c r="C409" i="83"/>
  <c r="R408" i="83"/>
  <c r="S408" i="83" s="1"/>
  <c r="Q408" i="83"/>
  <c r="O408" i="83"/>
  <c r="M408" i="83"/>
  <c r="K408" i="83"/>
  <c r="C408" i="83"/>
  <c r="R407" i="83"/>
  <c r="S407" i="83" s="1"/>
  <c r="Q407" i="83"/>
  <c r="O407" i="83"/>
  <c r="M407" i="83"/>
  <c r="K407" i="83"/>
  <c r="C407" i="83"/>
  <c r="R406" i="83"/>
  <c r="S406" i="83" s="1"/>
  <c r="Q406" i="83"/>
  <c r="O406" i="83"/>
  <c r="M406" i="83"/>
  <c r="K406" i="83"/>
  <c r="C406" i="83"/>
  <c r="R405" i="83"/>
  <c r="S405" i="83" s="1"/>
  <c r="Q405" i="83"/>
  <c r="O405" i="83"/>
  <c r="M405" i="83"/>
  <c r="K405" i="83"/>
  <c r="C405" i="83"/>
  <c r="R404" i="83"/>
  <c r="S404" i="83" s="1"/>
  <c r="Q404" i="83"/>
  <c r="O404" i="83"/>
  <c r="M404" i="83"/>
  <c r="K404" i="83"/>
  <c r="C404" i="83"/>
  <c r="R403" i="83"/>
  <c r="S403" i="83" s="1"/>
  <c r="Q403" i="83"/>
  <c r="O403" i="83"/>
  <c r="M403" i="83"/>
  <c r="K403" i="83"/>
  <c r="C403" i="83"/>
  <c r="R402" i="83"/>
  <c r="S402" i="83" s="1"/>
  <c r="Q402" i="83"/>
  <c r="O402" i="83"/>
  <c r="M402" i="83"/>
  <c r="K402" i="83"/>
  <c r="C402" i="83"/>
  <c r="R401" i="83"/>
  <c r="S401" i="83" s="1"/>
  <c r="Q401" i="83"/>
  <c r="O401" i="83"/>
  <c r="M401" i="83"/>
  <c r="K401" i="83"/>
  <c r="C401" i="83"/>
  <c r="R400" i="83"/>
  <c r="S400" i="83" s="1"/>
  <c r="Q400" i="83"/>
  <c r="O400" i="83"/>
  <c r="M400" i="83"/>
  <c r="K400" i="83"/>
  <c r="C400" i="83"/>
  <c r="R399" i="83"/>
  <c r="S399" i="83" s="1"/>
  <c r="Q399" i="83"/>
  <c r="O399" i="83"/>
  <c r="M399" i="83"/>
  <c r="K399" i="83"/>
  <c r="C399" i="83"/>
  <c r="R398" i="83"/>
  <c r="S398" i="83" s="1"/>
  <c r="Q398" i="83"/>
  <c r="O398" i="83"/>
  <c r="M398" i="83"/>
  <c r="K398" i="83"/>
  <c r="C398" i="83"/>
  <c r="R397" i="83"/>
  <c r="S397" i="83" s="1"/>
  <c r="Q397" i="83"/>
  <c r="O397" i="83"/>
  <c r="M397" i="83"/>
  <c r="K397" i="83"/>
  <c r="C397" i="83"/>
  <c r="R396" i="83"/>
  <c r="S396" i="83" s="1"/>
  <c r="Q396" i="83"/>
  <c r="O396" i="83"/>
  <c r="M396" i="83"/>
  <c r="K396" i="83"/>
  <c r="C396" i="83"/>
  <c r="R395" i="83"/>
  <c r="S395" i="83" s="1"/>
  <c r="Q395" i="83"/>
  <c r="O395" i="83"/>
  <c r="M395" i="83"/>
  <c r="K395" i="83"/>
  <c r="C395" i="83"/>
  <c r="R394" i="83"/>
  <c r="S394" i="83" s="1"/>
  <c r="Q394" i="83"/>
  <c r="O394" i="83"/>
  <c r="M394" i="83"/>
  <c r="K394" i="83"/>
  <c r="C394" i="83"/>
  <c r="R393" i="83"/>
  <c r="S393" i="83" s="1"/>
  <c r="Q393" i="83"/>
  <c r="O393" i="83"/>
  <c r="M393" i="83"/>
  <c r="K393" i="83"/>
  <c r="C393" i="83"/>
  <c r="R392" i="83"/>
  <c r="S392" i="83" s="1"/>
  <c r="Q392" i="83"/>
  <c r="O392" i="83"/>
  <c r="M392" i="83"/>
  <c r="K392" i="83"/>
  <c r="C392" i="83"/>
  <c r="R391" i="83"/>
  <c r="S391" i="83" s="1"/>
  <c r="Q391" i="83"/>
  <c r="O391" i="83"/>
  <c r="M391" i="83"/>
  <c r="K391" i="83"/>
  <c r="C391" i="83"/>
  <c r="R390" i="83"/>
  <c r="S390" i="83" s="1"/>
  <c r="Q390" i="83"/>
  <c r="O390" i="83"/>
  <c r="M390" i="83"/>
  <c r="K390" i="83"/>
  <c r="C390" i="83"/>
  <c r="R389" i="83"/>
  <c r="S389" i="83" s="1"/>
  <c r="Q389" i="83"/>
  <c r="O389" i="83"/>
  <c r="M389" i="83"/>
  <c r="K389" i="83"/>
  <c r="C389" i="83"/>
  <c r="R388" i="83"/>
  <c r="S388" i="83" s="1"/>
  <c r="Q388" i="83"/>
  <c r="O388" i="83"/>
  <c r="M388" i="83"/>
  <c r="K388" i="83"/>
  <c r="C388" i="83"/>
  <c r="R387" i="83"/>
  <c r="S387" i="83" s="1"/>
  <c r="Q387" i="83"/>
  <c r="O387" i="83"/>
  <c r="M387" i="83"/>
  <c r="K387" i="83"/>
  <c r="C387" i="83"/>
  <c r="R386" i="83"/>
  <c r="S386" i="83" s="1"/>
  <c r="Q386" i="83"/>
  <c r="O386" i="83"/>
  <c r="M386" i="83"/>
  <c r="K386" i="83"/>
  <c r="C386" i="83"/>
  <c r="R385" i="83"/>
  <c r="S385" i="83" s="1"/>
  <c r="Q385" i="83"/>
  <c r="O385" i="83"/>
  <c r="M385" i="83"/>
  <c r="K385" i="83"/>
  <c r="C385" i="83"/>
  <c r="R384" i="83"/>
  <c r="S384" i="83" s="1"/>
  <c r="Q384" i="83"/>
  <c r="O384" i="83"/>
  <c r="M384" i="83"/>
  <c r="K384" i="83"/>
  <c r="C384" i="83"/>
  <c r="R383" i="83"/>
  <c r="S383" i="83" s="1"/>
  <c r="Q383" i="83"/>
  <c r="O383" i="83"/>
  <c r="M383" i="83"/>
  <c r="K383" i="83"/>
  <c r="C383" i="83"/>
  <c r="R382" i="83"/>
  <c r="S382" i="83" s="1"/>
  <c r="Q382" i="83"/>
  <c r="O382" i="83"/>
  <c r="M382" i="83"/>
  <c r="K382" i="83"/>
  <c r="C382" i="83"/>
  <c r="R381" i="83"/>
  <c r="S381" i="83" s="1"/>
  <c r="Q381" i="83"/>
  <c r="O381" i="83"/>
  <c r="M381" i="83"/>
  <c r="K381" i="83"/>
  <c r="C381" i="83"/>
  <c r="R380" i="83"/>
  <c r="S380" i="83" s="1"/>
  <c r="Q380" i="83"/>
  <c r="O380" i="83"/>
  <c r="M380" i="83"/>
  <c r="K380" i="83"/>
  <c r="C380" i="83"/>
  <c r="R379" i="83"/>
  <c r="S379" i="83" s="1"/>
  <c r="Q379" i="83"/>
  <c r="O379" i="83"/>
  <c r="M379" i="83"/>
  <c r="K379" i="83"/>
  <c r="C379" i="83"/>
  <c r="R378" i="83"/>
  <c r="S378" i="83" s="1"/>
  <c r="Q378" i="83"/>
  <c r="O378" i="83"/>
  <c r="M378" i="83"/>
  <c r="K378" i="83"/>
  <c r="C378" i="83"/>
  <c r="R377" i="83"/>
  <c r="S377" i="83" s="1"/>
  <c r="Q377" i="83"/>
  <c r="O377" i="83"/>
  <c r="M377" i="83"/>
  <c r="K377" i="83"/>
  <c r="C377" i="83"/>
  <c r="R376" i="83"/>
  <c r="S376" i="83" s="1"/>
  <c r="Q376" i="83"/>
  <c r="O376" i="83"/>
  <c r="M376" i="83"/>
  <c r="K376" i="83"/>
  <c r="C376" i="83"/>
  <c r="R375" i="83"/>
  <c r="S375" i="83" s="1"/>
  <c r="Q375" i="83"/>
  <c r="O375" i="83"/>
  <c r="M375" i="83"/>
  <c r="K375" i="83"/>
  <c r="C375" i="83"/>
  <c r="R374" i="83"/>
  <c r="S374" i="83" s="1"/>
  <c r="Q374" i="83"/>
  <c r="O374" i="83"/>
  <c r="M374" i="83"/>
  <c r="K374" i="83"/>
  <c r="C374" i="83"/>
  <c r="R373" i="83"/>
  <c r="S373" i="83" s="1"/>
  <c r="Q373" i="83"/>
  <c r="O373" i="83"/>
  <c r="M373" i="83"/>
  <c r="K373" i="83"/>
  <c r="C373" i="83"/>
  <c r="R372" i="83"/>
  <c r="S372" i="83" s="1"/>
  <c r="Q372" i="83"/>
  <c r="O372" i="83"/>
  <c r="M372" i="83"/>
  <c r="K372" i="83"/>
  <c r="C372" i="83"/>
  <c r="R371" i="83"/>
  <c r="S371" i="83" s="1"/>
  <c r="Q371" i="83"/>
  <c r="O371" i="83"/>
  <c r="M371" i="83"/>
  <c r="K371" i="83"/>
  <c r="C371" i="83"/>
  <c r="R370" i="83"/>
  <c r="S370" i="83" s="1"/>
  <c r="Q370" i="83"/>
  <c r="O370" i="83"/>
  <c r="M370" i="83"/>
  <c r="K370" i="83"/>
  <c r="C370" i="83"/>
  <c r="R369" i="83"/>
  <c r="S369" i="83" s="1"/>
  <c r="Q369" i="83"/>
  <c r="O369" i="83"/>
  <c r="M369" i="83"/>
  <c r="K369" i="83"/>
  <c r="C369" i="83"/>
  <c r="R368" i="83"/>
  <c r="S368" i="83" s="1"/>
  <c r="Q368" i="83"/>
  <c r="O368" i="83"/>
  <c r="M368" i="83"/>
  <c r="K368" i="83"/>
  <c r="C368" i="83"/>
  <c r="R367" i="83"/>
  <c r="S367" i="83" s="1"/>
  <c r="Q367" i="83"/>
  <c r="O367" i="83"/>
  <c r="M367" i="83"/>
  <c r="K367" i="83"/>
  <c r="C367" i="83"/>
  <c r="R366" i="83"/>
  <c r="S366" i="83" s="1"/>
  <c r="Q366" i="83"/>
  <c r="O366" i="83"/>
  <c r="M366" i="83"/>
  <c r="K366" i="83"/>
  <c r="C366" i="83"/>
  <c r="R365" i="83"/>
  <c r="S365" i="83" s="1"/>
  <c r="Q365" i="83"/>
  <c r="O365" i="83"/>
  <c r="M365" i="83"/>
  <c r="K365" i="83"/>
  <c r="C365" i="83"/>
  <c r="R364" i="83"/>
  <c r="S364" i="83" s="1"/>
  <c r="Q364" i="83"/>
  <c r="O364" i="83"/>
  <c r="M364" i="83"/>
  <c r="K364" i="83"/>
  <c r="C364" i="83"/>
  <c r="R363" i="83"/>
  <c r="S363" i="83" s="1"/>
  <c r="Q363" i="83"/>
  <c r="O363" i="83"/>
  <c r="M363" i="83"/>
  <c r="K363" i="83"/>
  <c r="C363" i="83"/>
  <c r="R362" i="83"/>
  <c r="S362" i="83" s="1"/>
  <c r="Q362" i="83"/>
  <c r="O362" i="83"/>
  <c r="M362" i="83"/>
  <c r="K362" i="83"/>
  <c r="C362" i="83"/>
  <c r="R361" i="83"/>
  <c r="S361" i="83" s="1"/>
  <c r="Q361" i="83"/>
  <c r="O361" i="83"/>
  <c r="M361" i="83"/>
  <c r="K361" i="83"/>
  <c r="C361" i="83"/>
  <c r="R360" i="83"/>
  <c r="S360" i="83" s="1"/>
  <c r="Q360" i="83"/>
  <c r="O360" i="83"/>
  <c r="M360" i="83"/>
  <c r="K360" i="83"/>
  <c r="C360" i="83"/>
  <c r="R359" i="83"/>
  <c r="S359" i="83" s="1"/>
  <c r="Q359" i="83"/>
  <c r="O359" i="83"/>
  <c r="M359" i="83"/>
  <c r="K359" i="83"/>
  <c r="C359" i="83"/>
  <c r="R358" i="83"/>
  <c r="S358" i="83" s="1"/>
  <c r="Q358" i="83"/>
  <c r="O358" i="83"/>
  <c r="M358" i="83"/>
  <c r="K358" i="83"/>
  <c r="C358" i="83"/>
  <c r="R357" i="83"/>
  <c r="S357" i="83" s="1"/>
  <c r="Q357" i="83"/>
  <c r="O357" i="83"/>
  <c r="M357" i="83"/>
  <c r="K357" i="83"/>
  <c r="C357" i="83"/>
  <c r="R356" i="83"/>
  <c r="S356" i="83" s="1"/>
  <c r="Q356" i="83"/>
  <c r="O356" i="83"/>
  <c r="M356" i="83"/>
  <c r="K356" i="83"/>
  <c r="C356" i="83"/>
  <c r="R355" i="83"/>
  <c r="S355" i="83" s="1"/>
  <c r="Q355" i="83"/>
  <c r="O355" i="83"/>
  <c r="M355" i="83"/>
  <c r="K355" i="83"/>
  <c r="C355" i="83"/>
  <c r="R354" i="83"/>
  <c r="S354" i="83" s="1"/>
  <c r="Q354" i="83"/>
  <c r="O354" i="83"/>
  <c r="M354" i="83"/>
  <c r="K354" i="83"/>
  <c r="C354" i="83"/>
  <c r="R353" i="83"/>
  <c r="S353" i="83" s="1"/>
  <c r="Q353" i="83"/>
  <c r="O353" i="83"/>
  <c r="M353" i="83"/>
  <c r="K353" i="83"/>
  <c r="C353" i="83"/>
  <c r="R352" i="83"/>
  <c r="S352" i="83" s="1"/>
  <c r="Q352" i="83"/>
  <c r="O352" i="83"/>
  <c r="M352" i="83"/>
  <c r="K352" i="83"/>
  <c r="C352" i="83"/>
  <c r="R351" i="83"/>
  <c r="S351" i="83" s="1"/>
  <c r="Q351" i="83"/>
  <c r="O351" i="83"/>
  <c r="M351" i="83"/>
  <c r="K351" i="83"/>
  <c r="C351" i="83"/>
  <c r="R350" i="83"/>
  <c r="S350" i="83" s="1"/>
  <c r="Q350" i="83"/>
  <c r="O350" i="83"/>
  <c r="M350" i="83"/>
  <c r="K350" i="83"/>
  <c r="C350" i="83"/>
  <c r="R349" i="83"/>
  <c r="S349" i="83" s="1"/>
  <c r="Q349" i="83"/>
  <c r="O349" i="83"/>
  <c r="M349" i="83"/>
  <c r="K349" i="83"/>
  <c r="C349" i="83"/>
  <c r="R348" i="83"/>
  <c r="S348" i="83" s="1"/>
  <c r="Q348" i="83"/>
  <c r="O348" i="83"/>
  <c r="M348" i="83"/>
  <c r="K348" i="83"/>
  <c r="C348" i="83"/>
  <c r="R347" i="83"/>
  <c r="S347" i="83" s="1"/>
  <c r="Q347" i="83"/>
  <c r="O347" i="83"/>
  <c r="M347" i="83"/>
  <c r="K347" i="83"/>
  <c r="C347" i="83"/>
  <c r="R346" i="83"/>
  <c r="S346" i="83" s="1"/>
  <c r="Q346" i="83"/>
  <c r="O346" i="83"/>
  <c r="M346" i="83"/>
  <c r="K346" i="83"/>
  <c r="C346" i="83"/>
  <c r="R345" i="83"/>
  <c r="S345" i="83" s="1"/>
  <c r="Q345" i="83"/>
  <c r="O345" i="83"/>
  <c r="M345" i="83"/>
  <c r="K345" i="83"/>
  <c r="C345" i="83"/>
  <c r="R344" i="83"/>
  <c r="S344" i="83" s="1"/>
  <c r="Q344" i="83"/>
  <c r="O344" i="83"/>
  <c r="M344" i="83"/>
  <c r="K344" i="83"/>
  <c r="C344" i="83"/>
  <c r="R343" i="83"/>
  <c r="S343" i="83" s="1"/>
  <c r="Q343" i="83"/>
  <c r="O343" i="83"/>
  <c r="M343" i="83"/>
  <c r="K343" i="83"/>
  <c r="C343" i="83"/>
  <c r="R342" i="83"/>
  <c r="S342" i="83" s="1"/>
  <c r="Q342" i="83"/>
  <c r="O342" i="83"/>
  <c r="M342" i="83"/>
  <c r="K342" i="83"/>
  <c r="C342" i="83"/>
  <c r="R341" i="83"/>
  <c r="S341" i="83" s="1"/>
  <c r="Q341" i="83"/>
  <c r="O341" i="83"/>
  <c r="M341" i="83"/>
  <c r="K341" i="83"/>
  <c r="C341" i="83"/>
  <c r="R340" i="83"/>
  <c r="S340" i="83" s="1"/>
  <c r="Q340" i="83"/>
  <c r="O340" i="83"/>
  <c r="M340" i="83"/>
  <c r="K340" i="83"/>
  <c r="C340" i="83"/>
  <c r="R339" i="83"/>
  <c r="S339" i="83" s="1"/>
  <c r="Q339" i="83"/>
  <c r="O339" i="83"/>
  <c r="M339" i="83"/>
  <c r="K339" i="83"/>
  <c r="C339" i="83"/>
  <c r="R338" i="83"/>
  <c r="S338" i="83" s="1"/>
  <c r="Q338" i="83"/>
  <c r="O338" i="83"/>
  <c r="M338" i="83"/>
  <c r="K338" i="83"/>
  <c r="C338" i="83"/>
  <c r="R337" i="83"/>
  <c r="S337" i="83" s="1"/>
  <c r="Q337" i="83"/>
  <c r="O337" i="83"/>
  <c r="M337" i="83"/>
  <c r="K337" i="83"/>
  <c r="C337" i="83"/>
  <c r="R336" i="83"/>
  <c r="S336" i="83" s="1"/>
  <c r="Q336" i="83"/>
  <c r="O336" i="83"/>
  <c r="M336" i="83"/>
  <c r="K336" i="83"/>
  <c r="C336" i="83"/>
  <c r="R335" i="83"/>
  <c r="S335" i="83" s="1"/>
  <c r="Q335" i="83"/>
  <c r="O335" i="83"/>
  <c r="M335" i="83"/>
  <c r="K335" i="83"/>
  <c r="C335" i="83"/>
  <c r="R334" i="83"/>
  <c r="S334" i="83" s="1"/>
  <c r="Q334" i="83"/>
  <c r="O334" i="83"/>
  <c r="M334" i="83"/>
  <c r="K334" i="83"/>
  <c r="C334" i="83"/>
  <c r="R333" i="83"/>
  <c r="S333" i="83" s="1"/>
  <c r="Q333" i="83"/>
  <c r="O333" i="83"/>
  <c r="M333" i="83"/>
  <c r="K333" i="83"/>
  <c r="C333" i="83"/>
  <c r="R332" i="83"/>
  <c r="S332" i="83" s="1"/>
  <c r="Q332" i="83"/>
  <c r="O332" i="83"/>
  <c r="M332" i="83"/>
  <c r="K332" i="83"/>
  <c r="C332" i="83"/>
  <c r="R331" i="83"/>
  <c r="S331" i="83" s="1"/>
  <c r="Q331" i="83"/>
  <c r="O331" i="83"/>
  <c r="M331" i="83"/>
  <c r="K331" i="83"/>
  <c r="C331" i="83"/>
  <c r="R330" i="83"/>
  <c r="S330" i="83" s="1"/>
  <c r="Q330" i="83"/>
  <c r="O330" i="83"/>
  <c r="M330" i="83"/>
  <c r="K330" i="83"/>
  <c r="C330" i="83"/>
  <c r="R329" i="83"/>
  <c r="S329" i="83" s="1"/>
  <c r="Q329" i="83"/>
  <c r="O329" i="83"/>
  <c r="M329" i="83"/>
  <c r="K329" i="83"/>
  <c r="C329" i="83"/>
  <c r="R328" i="83"/>
  <c r="S328" i="83" s="1"/>
  <c r="Q328" i="83"/>
  <c r="O328" i="83"/>
  <c r="M328" i="83"/>
  <c r="K328" i="83"/>
  <c r="C328" i="83"/>
  <c r="R327" i="83"/>
  <c r="S327" i="83" s="1"/>
  <c r="Q327" i="83"/>
  <c r="O327" i="83"/>
  <c r="M327" i="83"/>
  <c r="K327" i="83"/>
  <c r="C327" i="83"/>
  <c r="R326" i="83"/>
  <c r="S326" i="83" s="1"/>
  <c r="Q326" i="83"/>
  <c r="O326" i="83"/>
  <c r="M326" i="83"/>
  <c r="K326" i="83"/>
  <c r="C326" i="83"/>
  <c r="R325" i="83"/>
  <c r="S325" i="83" s="1"/>
  <c r="Q325" i="83"/>
  <c r="O325" i="83"/>
  <c r="M325" i="83"/>
  <c r="K325" i="83"/>
  <c r="C325" i="83"/>
  <c r="R324" i="83"/>
  <c r="S324" i="83" s="1"/>
  <c r="Q324" i="83"/>
  <c r="O324" i="83"/>
  <c r="M324" i="83"/>
  <c r="K324" i="83"/>
  <c r="C324" i="83"/>
  <c r="R323" i="83"/>
  <c r="S323" i="83" s="1"/>
  <c r="Q323" i="83"/>
  <c r="O323" i="83"/>
  <c r="M323" i="83"/>
  <c r="K323" i="83"/>
  <c r="C323" i="83"/>
  <c r="R322" i="83"/>
  <c r="S322" i="83" s="1"/>
  <c r="Q322" i="83"/>
  <c r="O322" i="83"/>
  <c r="M322" i="83"/>
  <c r="K322" i="83"/>
  <c r="C322" i="83"/>
  <c r="R321" i="83"/>
  <c r="S321" i="83" s="1"/>
  <c r="Q321" i="83"/>
  <c r="O321" i="83"/>
  <c r="M321" i="83"/>
  <c r="K321" i="83"/>
  <c r="C321" i="83"/>
  <c r="R320" i="83"/>
  <c r="S320" i="83" s="1"/>
  <c r="Q320" i="83"/>
  <c r="O320" i="83"/>
  <c r="M320" i="83"/>
  <c r="K320" i="83"/>
  <c r="C320" i="83"/>
  <c r="R319" i="83"/>
  <c r="S319" i="83" s="1"/>
  <c r="Q319" i="83"/>
  <c r="O319" i="83"/>
  <c r="M319" i="83"/>
  <c r="K319" i="83"/>
  <c r="C319" i="83"/>
  <c r="R318" i="83"/>
  <c r="S318" i="83" s="1"/>
  <c r="Q318" i="83"/>
  <c r="O318" i="83"/>
  <c r="M318" i="83"/>
  <c r="K318" i="83"/>
  <c r="C318" i="83"/>
  <c r="R317" i="83"/>
  <c r="S317" i="83" s="1"/>
  <c r="Q317" i="83"/>
  <c r="O317" i="83"/>
  <c r="M317" i="83"/>
  <c r="K317" i="83"/>
  <c r="C317" i="83"/>
  <c r="R316" i="83"/>
  <c r="S316" i="83" s="1"/>
  <c r="Q316" i="83"/>
  <c r="O316" i="83"/>
  <c r="M316" i="83"/>
  <c r="K316" i="83"/>
  <c r="C316" i="83"/>
  <c r="R315" i="83"/>
  <c r="S315" i="83" s="1"/>
  <c r="Q315" i="83"/>
  <c r="O315" i="83"/>
  <c r="M315" i="83"/>
  <c r="K315" i="83"/>
  <c r="C315" i="83"/>
  <c r="R314" i="83"/>
  <c r="S314" i="83" s="1"/>
  <c r="Q314" i="83"/>
  <c r="O314" i="83"/>
  <c r="M314" i="83"/>
  <c r="K314" i="83"/>
  <c r="C314" i="83"/>
  <c r="R313" i="83"/>
  <c r="S313" i="83" s="1"/>
  <c r="Q313" i="83"/>
  <c r="O313" i="83"/>
  <c r="M313" i="83"/>
  <c r="K313" i="83"/>
  <c r="C313" i="83"/>
  <c r="R312" i="83"/>
  <c r="S312" i="83" s="1"/>
  <c r="Q312" i="83"/>
  <c r="O312" i="83"/>
  <c r="M312" i="83"/>
  <c r="K312" i="83"/>
  <c r="C312" i="83"/>
  <c r="R311" i="83"/>
  <c r="S311" i="83" s="1"/>
  <c r="Q311" i="83"/>
  <c r="O311" i="83"/>
  <c r="M311" i="83"/>
  <c r="K311" i="83"/>
  <c r="C311" i="83"/>
  <c r="R310" i="83"/>
  <c r="S310" i="83" s="1"/>
  <c r="Q310" i="83"/>
  <c r="O310" i="83"/>
  <c r="M310" i="83"/>
  <c r="K310" i="83"/>
  <c r="C310" i="83"/>
  <c r="R309" i="83"/>
  <c r="S309" i="83" s="1"/>
  <c r="Q309" i="83"/>
  <c r="O309" i="83"/>
  <c r="M309" i="83"/>
  <c r="K309" i="83"/>
  <c r="C309" i="83"/>
  <c r="R308" i="83"/>
  <c r="S308" i="83" s="1"/>
  <c r="Q308" i="83"/>
  <c r="O308" i="83"/>
  <c r="M308" i="83"/>
  <c r="K308" i="83"/>
  <c r="C308" i="83"/>
  <c r="R307" i="83"/>
  <c r="S307" i="83" s="1"/>
  <c r="Q307" i="83"/>
  <c r="O307" i="83"/>
  <c r="M307" i="83"/>
  <c r="K307" i="83"/>
  <c r="C307" i="83"/>
  <c r="R306" i="83"/>
  <c r="S306" i="83" s="1"/>
  <c r="Q306" i="83"/>
  <c r="O306" i="83"/>
  <c r="M306" i="83"/>
  <c r="K306" i="83"/>
  <c r="C306" i="83"/>
  <c r="R305" i="83"/>
  <c r="S305" i="83" s="1"/>
  <c r="Q305" i="83"/>
  <c r="O305" i="83"/>
  <c r="M305" i="83"/>
  <c r="K305" i="83"/>
  <c r="C305" i="83"/>
  <c r="R304" i="83"/>
  <c r="S304" i="83" s="1"/>
  <c r="Q304" i="83"/>
  <c r="O304" i="83"/>
  <c r="M304" i="83"/>
  <c r="K304" i="83"/>
  <c r="C304" i="83"/>
  <c r="R303" i="83"/>
  <c r="S303" i="83" s="1"/>
  <c r="Q303" i="83"/>
  <c r="O303" i="83"/>
  <c r="M303" i="83"/>
  <c r="K303" i="83"/>
  <c r="C303" i="83"/>
  <c r="R302" i="83"/>
  <c r="S302" i="83" s="1"/>
  <c r="Q302" i="83"/>
  <c r="O302" i="83"/>
  <c r="M302" i="83"/>
  <c r="K302" i="83"/>
  <c r="C302" i="83"/>
  <c r="R301" i="83"/>
  <c r="S301" i="83" s="1"/>
  <c r="Q301" i="83"/>
  <c r="O301" i="83"/>
  <c r="M301" i="83"/>
  <c r="K301" i="83"/>
  <c r="C301" i="83"/>
  <c r="R300" i="83"/>
  <c r="S300" i="83" s="1"/>
  <c r="Q300" i="83"/>
  <c r="O300" i="83"/>
  <c r="M300" i="83"/>
  <c r="K300" i="83"/>
  <c r="C300" i="83"/>
  <c r="R299" i="83"/>
  <c r="S299" i="83" s="1"/>
  <c r="Q299" i="83"/>
  <c r="O299" i="83"/>
  <c r="M299" i="83"/>
  <c r="K299" i="83"/>
  <c r="C299" i="83"/>
  <c r="R298" i="83"/>
  <c r="S298" i="83" s="1"/>
  <c r="Q298" i="83"/>
  <c r="O298" i="83"/>
  <c r="M298" i="83"/>
  <c r="K298" i="83"/>
  <c r="C298" i="83"/>
  <c r="R297" i="83"/>
  <c r="S297" i="83" s="1"/>
  <c r="Q297" i="83"/>
  <c r="O297" i="83"/>
  <c r="M297" i="83"/>
  <c r="K297" i="83"/>
  <c r="C297" i="83"/>
  <c r="R296" i="83"/>
  <c r="S296" i="83" s="1"/>
  <c r="Q296" i="83"/>
  <c r="O296" i="83"/>
  <c r="M296" i="83"/>
  <c r="K296" i="83"/>
  <c r="C296" i="83"/>
  <c r="R295" i="83"/>
  <c r="S295" i="83" s="1"/>
  <c r="Q295" i="83"/>
  <c r="O295" i="83"/>
  <c r="M295" i="83"/>
  <c r="K295" i="83"/>
  <c r="C295" i="83"/>
  <c r="R294" i="83"/>
  <c r="S294" i="83" s="1"/>
  <c r="Q294" i="83"/>
  <c r="O294" i="83"/>
  <c r="M294" i="83"/>
  <c r="K294" i="83"/>
  <c r="C294" i="83"/>
  <c r="R293" i="83"/>
  <c r="S293" i="83" s="1"/>
  <c r="Q293" i="83"/>
  <c r="O293" i="83"/>
  <c r="M293" i="83"/>
  <c r="K293" i="83"/>
  <c r="C293" i="83"/>
  <c r="R292" i="83"/>
  <c r="S292" i="83" s="1"/>
  <c r="Q292" i="83"/>
  <c r="O292" i="83"/>
  <c r="M292" i="83"/>
  <c r="K292" i="83"/>
  <c r="C292" i="83"/>
  <c r="R291" i="83"/>
  <c r="S291" i="83" s="1"/>
  <c r="Q291" i="83"/>
  <c r="O291" i="83"/>
  <c r="M291" i="83"/>
  <c r="K291" i="83"/>
  <c r="C291" i="83"/>
  <c r="R290" i="83"/>
  <c r="S290" i="83" s="1"/>
  <c r="Q290" i="83"/>
  <c r="O290" i="83"/>
  <c r="M290" i="83"/>
  <c r="K290" i="83"/>
  <c r="C290" i="83"/>
  <c r="R289" i="83"/>
  <c r="S289" i="83" s="1"/>
  <c r="Q289" i="83"/>
  <c r="O289" i="83"/>
  <c r="M289" i="83"/>
  <c r="K289" i="83"/>
  <c r="C289" i="83"/>
  <c r="R288" i="83"/>
  <c r="S288" i="83" s="1"/>
  <c r="Q288" i="83"/>
  <c r="O288" i="83"/>
  <c r="M288" i="83"/>
  <c r="K288" i="83"/>
  <c r="C288" i="83"/>
  <c r="R287" i="83"/>
  <c r="S287" i="83" s="1"/>
  <c r="Q287" i="83"/>
  <c r="O287" i="83"/>
  <c r="M287" i="83"/>
  <c r="K287" i="83"/>
  <c r="C287" i="83"/>
  <c r="R286" i="83"/>
  <c r="S286" i="83" s="1"/>
  <c r="Q286" i="83"/>
  <c r="O286" i="83"/>
  <c r="M286" i="83"/>
  <c r="K286" i="83"/>
  <c r="C286" i="83"/>
  <c r="R285" i="83"/>
  <c r="S285" i="83" s="1"/>
  <c r="Q285" i="83"/>
  <c r="O285" i="83"/>
  <c r="M285" i="83"/>
  <c r="K285" i="83"/>
  <c r="C285" i="83"/>
  <c r="R284" i="83"/>
  <c r="S284" i="83" s="1"/>
  <c r="Q284" i="83"/>
  <c r="O284" i="83"/>
  <c r="M284" i="83"/>
  <c r="K284" i="83"/>
  <c r="C284" i="83"/>
  <c r="R283" i="83"/>
  <c r="S283" i="83" s="1"/>
  <c r="Q283" i="83"/>
  <c r="O283" i="83"/>
  <c r="M283" i="83"/>
  <c r="K283" i="83"/>
  <c r="C283" i="83"/>
  <c r="R282" i="83"/>
  <c r="S282" i="83" s="1"/>
  <c r="Q282" i="83"/>
  <c r="O282" i="83"/>
  <c r="M282" i="83"/>
  <c r="K282" i="83"/>
  <c r="C282" i="83"/>
  <c r="R281" i="83"/>
  <c r="S281" i="83" s="1"/>
  <c r="Q281" i="83"/>
  <c r="O281" i="83"/>
  <c r="M281" i="83"/>
  <c r="K281" i="83"/>
  <c r="C281" i="83"/>
  <c r="R280" i="83"/>
  <c r="S280" i="83" s="1"/>
  <c r="Q280" i="83"/>
  <c r="O280" i="83"/>
  <c r="M280" i="83"/>
  <c r="K280" i="83"/>
  <c r="C280" i="83"/>
  <c r="R279" i="83"/>
  <c r="S279" i="83" s="1"/>
  <c r="Q279" i="83"/>
  <c r="O279" i="83"/>
  <c r="M279" i="83"/>
  <c r="K279" i="83"/>
  <c r="C279" i="83"/>
  <c r="R278" i="83"/>
  <c r="S278" i="83" s="1"/>
  <c r="Q278" i="83"/>
  <c r="O278" i="83"/>
  <c r="M278" i="83"/>
  <c r="K278" i="83"/>
  <c r="C278" i="83"/>
  <c r="R277" i="83"/>
  <c r="S277" i="83" s="1"/>
  <c r="Q277" i="83"/>
  <c r="O277" i="83"/>
  <c r="M277" i="83"/>
  <c r="K277" i="83"/>
  <c r="C277" i="83"/>
  <c r="R276" i="83"/>
  <c r="S276" i="83" s="1"/>
  <c r="Q276" i="83"/>
  <c r="O276" i="83"/>
  <c r="M276" i="83"/>
  <c r="K276" i="83"/>
  <c r="C276" i="83"/>
  <c r="R275" i="83"/>
  <c r="S275" i="83" s="1"/>
  <c r="Q275" i="83"/>
  <c r="O275" i="83"/>
  <c r="M275" i="83"/>
  <c r="K275" i="83"/>
  <c r="C275" i="83"/>
  <c r="R274" i="83"/>
  <c r="S274" i="83" s="1"/>
  <c r="Q274" i="83"/>
  <c r="O274" i="83"/>
  <c r="M274" i="83"/>
  <c r="K274" i="83"/>
  <c r="C274" i="83"/>
  <c r="R273" i="83"/>
  <c r="S273" i="83" s="1"/>
  <c r="Q273" i="83"/>
  <c r="O273" i="83"/>
  <c r="M273" i="83"/>
  <c r="K273" i="83"/>
  <c r="C273" i="83"/>
  <c r="R272" i="83"/>
  <c r="S272" i="83" s="1"/>
  <c r="Q272" i="83"/>
  <c r="O272" i="83"/>
  <c r="M272" i="83"/>
  <c r="K272" i="83"/>
  <c r="C272" i="83"/>
  <c r="R271" i="83"/>
  <c r="S271" i="83" s="1"/>
  <c r="Q271" i="83"/>
  <c r="O271" i="83"/>
  <c r="M271" i="83"/>
  <c r="K271" i="83"/>
  <c r="C271" i="83"/>
  <c r="R270" i="83"/>
  <c r="S270" i="83" s="1"/>
  <c r="Q270" i="83"/>
  <c r="O270" i="83"/>
  <c r="M270" i="83"/>
  <c r="K270" i="83"/>
  <c r="C270" i="83"/>
  <c r="R269" i="83"/>
  <c r="S269" i="83" s="1"/>
  <c r="Q269" i="83"/>
  <c r="O269" i="83"/>
  <c r="M269" i="83"/>
  <c r="K269" i="83"/>
  <c r="C269" i="83"/>
  <c r="R268" i="83"/>
  <c r="S268" i="83" s="1"/>
  <c r="Q268" i="83"/>
  <c r="O268" i="83"/>
  <c r="M268" i="83"/>
  <c r="K268" i="83"/>
  <c r="C268" i="83"/>
  <c r="R267" i="83"/>
  <c r="S267" i="83" s="1"/>
  <c r="Q267" i="83"/>
  <c r="O267" i="83"/>
  <c r="M267" i="83"/>
  <c r="K267" i="83"/>
  <c r="C267" i="83"/>
  <c r="R266" i="83"/>
  <c r="S266" i="83" s="1"/>
  <c r="Q266" i="83"/>
  <c r="O266" i="83"/>
  <c r="M266" i="83"/>
  <c r="K266" i="83"/>
  <c r="C266" i="83"/>
  <c r="R265" i="83"/>
  <c r="S265" i="83" s="1"/>
  <c r="Q265" i="83"/>
  <c r="O265" i="83"/>
  <c r="M265" i="83"/>
  <c r="K265" i="83"/>
  <c r="C265" i="83"/>
  <c r="R264" i="83"/>
  <c r="S264" i="83" s="1"/>
  <c r="Q264" i="83"/>
  <c r="O264" i="83"/>
  <c r="M264" i="83"/>
  <c r="K264" i="83"/>
  <c r="C264" i="83"/>
  <c r="R263" i="83"/>
  <c r="S263" i="83" s="1"/>
  <c r="Q263" i="83"/>
  <c r="O263" i="83"/>
  <c r="M263" i="83"/>
  <c r="K263" i="83"/>
  <c r="C263" i="83"/>
  <c r="R262" i="83"/>
  <c r="S262" i="83" s="1"/>
  <c r="Q262" i="83"/>
  <c r="O262" i="83"/>
  <c r="M262" i="83"/>
  <c r="K262" i="83"/>
  <c r="C262" i="83"/>
  <c r="R261" i="83"/>
  <c r="S261" i="83" s="1"/>
  <c r="Q261" i="83"/>
  <c r="O261" i="83"/>
  <c r="M261" i="83"/>
  <c r="K261" i="83"/>
  <c r="C261" i="83"/>
  <c r="R260" i="83"/>
  <c r="S260" i="83" s="1"/>
  <c r="Q260" i="83"/>
  <c r="O260" i="83"/>
  <c r="M260" i="83"/>
  <c r="K260" i="83"/>
  <c r="C260" i="83"/>
  <c r="R259" i="83"/>
  <c r="S259" i="83" s="1"/>
  <c r="Q259" i="83"/>
  <c r="O259" i="83"/>
  <c r="M259" i="83"/>
  <c r="K259" i="83"/>
  <c r="C259" i="83"/>
  <c r="R258" i="83"/>
  <c r="S258" i="83" s="1"/>
  <c r="Q258" i="83"/>
  <c r="O258" i="83"/>
  <c r="M258" i="83"/>
  <c r="K258" i="83"/>
  <c r="C258" i="83"/>
  <c r="R257" i="83"/>
  <c r="S257" i="83" s="1"/>
  <c r="Q257" i="83"/>
  <c r="O257" i="83"/>
  <c r="M257" i="83"/>
  <c r="K257" i="83"/>
  <c r="C257" i="83"/>
  <c r="R256" i="83"/>
  <c r="S256" i="83" s="1"/>
  <c r="Q256" i="83"/>
  <c r="O256" i="83"/>
  <c r="M256" i="83"/>
  <c r="K256" i="83"/>
  <c r="C256" i="83"/>
  <c r="R255" i="83"/>
  <c r="S255" i="83" s="1"/>
  <c r="Q255" i="83"/>
  <c r="O255" i="83"/>
  <c r="M255" i="83"/>
  <c r="K255" i="83"/>
  <c r="C255" i="83"/>
  <c r="R254" i="83"/>
  <c r="S254" i="83" s="1"/>
  <c r="Q254" i="83"/>
  <c r="O254" i="83"/>
  <c r="M254" i="83"/>
  <c r="K254" i="83"/>
  <c r="C254" i="83"/>
  <c r="R253" i="83"/>
  <c r="S253" i="83" s="1"/>
  <c r="Q253" i="83"/>
  <c r="O253" i="83"/>
  <c r="M253" i="83"/>
  <c r="K253" i="83"/>
  <c r="C253" i="83"/>
  <c r="R252" i="83"/>
  <c r="S252" i="83" s="1"/>
  <c r="Q252" i="83"/>
  <c r="O252" i="83"/>
  <c r="M252" i="83"/>
  <c r="K252" i="83"/>
  <c r="C252" i="83"/>
  <c r="R251" i="83"/>
  <c r="S251" i="83" s="1"/>
  <c r="Q251" i="83"/>
  <c r="O251" i="83"/>
  <c r="M251" i="83"/>
  <c r="K251" i="83"/>
  <c r="C251" i="83"/>
  <c r="R250" i="83"/>
  <c r="S250" i="83" s="1"/>
  <c r="Q250" i="83"/>
  <c r="O250" i="83"/>
  <c r="M250" i="83"/>
  <c r="K250" i="83"/>
  <c r="C250" i="83"/>
  <c r="R249" i="83"/>
  <c r="S249" i="83" s="1"/>
  <c r="Q249" i="83"/>
  <c r="O249" i="83"/>
  <c r="M249" i="83"/>
  <c r="K249" i="83"/>
  <c r="C249" i="83"/>
  <c r="R248" i="83"/>
  <c r="S248" i="83" s="1"/>
  <c r="Q248" i="83"/>
  <c r="O248" i="83"/>
  <c r="M248" i="83"/>
  <c r="K248" i="83"/>
  <c r="C248" i="83"/>
  <c r="R247" i="83"/>
  <c r="S247" i="83" s="1"/>
  <c r="Q247" i="83"/>
  <c r="O247" i="83"/>
  <c r="M247" i="83"/>
  <c r="K247" i="83"/>
  <c r="C247" i="83"/>
  <c r="R246" i="83"/>
  <c r="S246" i="83" s="1"/>
  <c r="Q246" i="83"/>
  <c r="O246" i="83"/>
  <c r="M246" i="83"/>
  <c r="K246" i="83"/>
  <c r="C246" i="83"/>
  <c r="R245" i="83"/>
  <c r="S245" i="83" s="1"/>
  <c r="Q245" i="83"/>
  <c r="O245" i="83"/>
  <c r="M245" i="83"/>
  <c r="K245" i="83"/>
  <c r="C245" i="83"/>
  <c r="R244" i="83"/>
  <c r="S244" i="83" s="1"/>
  <c r="Q244" i="83"/>
  <c r="O244" i="83"/>
  <c r="M244" i="83"/>
  <c r="K244" i="83"/>
  <c r="C244" i="83"/>
  <c r="R243" i="83"/>
  <c r="S243" i="83" s="1"/>
  <c r="Q243" i="83"/>
  <c r="O243" i="83"/>
  <c r="M243" i="83"/>
  <c r="K243" i="83"/>
  <c r="C243" i="83"/>
  <c r="R242" i="83"/>
  <c r="S242" i="83" s="1"/>
  <c r="Q242" i="83"/>
  <c r="O242" i="83"/>
  <c r="M242" i="83"/>
  <c r="K242" i="83"/>
  <c r="C242" i="83"/>
  <c r="R241" i="83"/>
  <c r="S241" i="83" s="1"/>
  <c r="Q241" i="83"/>
  <c r="O241" i="83"/>
  <c r="M241" i="83"/>
  <c r="K241" i="83"/>
  <c r="C241" i="83"/>
  <c r="R240" i="83"/>
  <c r="S240" i="83" s="1"/>
  <c r="Q240" i="83"/>
  <c r="O240" i="83"/>
  <c r="M240" i="83"/>
  <c r="K240" i="83"/>
  <c r="C240" i="83"/>
  <c r="R239" i="83"/>
  <c r="S239" i="83" s="1"/>
  <c r="Q239" i="83"/>
  <c r="O239" i="83"/>
  <c r="M239" i="83"/>
  <c r="K239" i="83"/>
  <c r="C239" i="83"/>
  <c r="R238" i="83"/>
  <c r="S238" i="83" s="1"/>
  <c r="Q238" i="83"/>
  <c r="O238" i="83"/>
  <c r="M238" i="83"/>
  <c r="K238" i="83"/>
  <c r="C238" i="83"/>
  <c r="R237" i="83"/>
  <c r="S237" i="83" s="1"/>
  <c r="Q237" i="83"/>
  <c r="O237" i="83"/>
  <c r="M237" i="83"/>
  <c r="K237" i="83"/>
  <c r="C237" i="83"/>
  <c r="R236" i="83"/>
  <c r="S236" i="83" s="1"/>
  <c r="Q236" i="83"/>
  <c r="O236" i="83"/>
  <c r="M236" i="83"/>
  <c r="K236" i="83"/>
  <c r="C236" i="83"/>
  <c r="R235" i="83"/>
  <c r="S235" i="83" s="1"/>
  <c r="Q235" i="83"/>
  <c r="O235" i="83"/>
  <c r="M235" i="83"/>
  <c r="K235" i="83"/>
  <c r="C235" i="83"/>
  <c r="R234" i="83"/>
  <c r="S234" i="83" s="1"/>
  <c r="Q234" i="83"/>
  <c r="O234" i="83"/>
  <c r="M234" i="83"/>
  <c r="K234" i="83"/>
  <c r="C234" i="83"/>
  <c r="R233" i="83"/>
  <c r="S233" i="83" s="1"/>
  <c r="Q233" i="83"/>
  <c r="O233" i="83"/>
  <c r="M233" i="83"/>
  <c r="K233" i="83"/>
  <c r="C233" i="83"/>
  <c r="R232" i="83"/>
  <c r="S232" i="83" s="1"/>
  <c r="Q232" i="83"/>
  <c r="O232" i="83"/>
  <c r="M232" i="83"/>
  <c r="K232" i="83"/>
  <c r="C232" i="83"/>
  <c r="R231" i="83"/>
  <c r="S231" i="83" s="1"/>
  <c r="Q231" i="83"/>
  <c r="O231" i="83"/>
  <c r="M231" i="83"/>
  <c r="K231" i="83"/>
  <c r="C231" i="83"/>
  <c r="R230" i="83"/>
  <c r="S230" i="83" s="1"/>
  <c r="Q230" i="83"/>
  <c r="O230" i="83"/>
  <c r="M230" i="83"/>
  <c r="K230" i="83"/>
  <c r="C230" i="83"/>
  <c r="R229" i="83"/>
  <c r="S229" i="83" s="1"/>
  <c r="Q229" i="83"/>
  <c r="O229" i="83"/>
  <c r="M229" i="83"/>
  <c r="K229" i="83"/>
  <c r="C229" i="83"/>
  <c r="R228" i="83"/>
  <c r="S228" i="83" s="1"/>
  <c r="Q228" i="83"/>
  <c r="O228" i="83"/>
  <c r="M228" i="83"/>
  <c r="K228" i="83"/>
  <c r="C228" i="83"/>
  <c r="R227" i="83"/>
  <c r="S227" i="83" s="1"/>
  <c r="Q227" i="83"/>
  <c r="O227" i="83"/>
  <c r="M227" i="83"/>
  <c r="K227" i="83"/>
  <c r="C227" i="83"/>
  <c r="R226" i="83"/>
  <c r="S226" i="83" s="1"/>
  <c r="Q226" i="83"/>
  <c r="O226" i="83"/>
  <c r="M226" i="83"/>
  <c r="K226" i="83"/>
  <c r="C226" i="83"/>
  <c r="R225" i="83"/>
  <c r="S225" i="83" s="1"/>
  <c r="Q225" i="83"/>
  <c r="O225" i="83"/>
  <c r="M225" i="83"/>
  <c r="K225" i="83"/>
  <c r="C225" i="83"/>
  <c r="R224" i="83"/>
  <c r="S224" i="83" s="1"/>
  <c r="Q224" i="83"/>
  <c r="O224" i="83"/>
  <c r="M224" i="83"/>
  <c r="K224" i="83"/>
  <c r="C224" i="83"/>
  <c r="R223" i="83"/>
  <c r="S223" i="83" s="1"/>
  <c r="Q223" i="83"/>
  <c r="O223" i="83"/>
  <c r="M223" i="83"/>
  <c r="K223" i="83"/>
  <c r="C223" i="83"/>
  <c r="R222" i="83"/>
  <c r="S222" i="83" s="1"/>
  <c r="Q222" i="83"/>
  <c r="O222" i="83"/>
  <c r="M222" i="83"/>
  <c r="K222" i="83"/>
  <c r="C222" i="83"/>
  <c r="R221" i="83"/>
  <c r="S221" i="83" s="1"/>
  <c r="Q221" i="83"/>
  <c r="O221" i="83"/>
  <c r="M221" i="83"/>
  <c r="K221" i="83"/>
  <c r="C221" i="83"/>
  <c r="R220" i="83"/>
  <c r="S220" i="83" s="1"/>
  <c r="Q220" i="83"/>
  <c r="O220" i="83"/>
  <c r="M220" i="83"/>
  <c r="K220" i="83"/>
  <c r="C220" i="83"/>
  <c r="R219" i="83"/>
  <c r="S219" i="83" s="1"/>
  <c r="Q219" i="83"/>
  <c r="O219" i="83"/>
  <c r="M219" i="83"/>
  <c r="K219" i="83"/>
  <c r="C219" i="83"/>
  <c r="R218" i="83"/>
  <c r="S218" i="83" s="1"/>
  <c r="Q218" i="83"/>
  <c r="O218" i="83"/>
  <c r="M218" i="83"/>
  <c r="K218" i="83"/>
  <c r="C218" i="83"/>
  <c r="R217" i="83"/>
  <c r="S217" i="83" s="1"/>
  <c r="Q217" i="83"/>
  <c r="O217" i="83"/>
  <c r="M217" i="83"/>
  <c r="K217" i="83"/>
  <c r="C217" i="83"/>
  <c r="R216" i="83"/>
  <c r="S216" i="83" s="1"/>
  <c r="Q216" i="83"/>
  <c r="O216" i="83"/>
  <c r="M216" i="83"/>
  <c r="K216" i="83"/>
  <c r="C216" i="83"/>
  <c r="R215" i="83"/>
  <c r="S215" i="83" s="1"/>
  <c r="Q215" i="83"/>
  <c r="O215" i="83"/>
  <c r="M215" i="83"/>
  <c r="K215" i="83"/>
  <c r="C215" i="83"/>
  <c r="R214" i="83"/>
  <c r="S214" i="83" s="1"/>
  <c r="Q214" i="83"/>
  <c r="O214" i="83"/>
  <c r="M214" i="83"/>
  <c r="K214" i="83"/>
  <c r="C214" i="83"/>
  <c r="R213" i="83"/>
  <c r="S213" i="83" s="1"/>
  <c r="Q213" i="83"/>
  <c r="O213" i="83"/>
  <c r="M213" i="83"/>
  <c r="K213" i="83"/>
  <c r="C213" i="83"/>
  <c r="R212" i="83"/>
  <c r="S212" i="83" s="1"/>
  <c r="Q212" i="83"/>
  <c r="O212" i="83"/>
  <c r="M212" i="83"/>
  <c r="K212" i="83"/>
  <c r="C212" i="83"/>
  <c r="R211" i="83"/>
  <c r="S211" i="83" s="1"/>
  <c r="Q211" i="83"/>
  <c r="O211" i="83"/>
  <c r="M211" i="83"/>
  <c r="K211" i="83"/>
  <c r="C211" i="83"/>
  <c r="R210" i="83"/>
  <c r="S210" i="83" s="1"/>
  <c r="Q210" i="83"/>
  <c r="O210" i="83"/>
  <c r="M210" i="83"/>
  <c r="K210" i="83"/>
  <c r="C210" i="83"/>
  <c r="R209" i="83"/>
  <c r="S209" i="83" s="1"/>
  <c r="Q209" i="83"/>
  <c r="O209" i="83"/>
  <c r="M209" i="83"/>
  <c r="K209" i="83"/>
  <c r="C209" i="83"/>
  <c r="R208" i="83"/>
  <c r="S208" i="83" s="1"/>
  <c r="Q208" i="83"/>
  <c r="O208" i="83"/>
  <c r="M208" i="83"/>
  <c r="K208" i="83"/>
  <c r="C208" i="83"/>
  <c r="R207" i="83"/>
  <c r="S207" i="83" s="1"/>
  <c r="Q207" i="83"/>
  <c r="O207" i="83"/>
  <c r="M207" i="83"/>
  <c r="K207" i="83"/>
  <c r="C207" i="83"/>
  <c r="R206" i="83"/>
  <c r="S206" i="83" s="1"/>
  <c r="Q206" i="83"/>
  <c r="O206" i="83"/>
  <c r="M206" i="83"/>
  <c r="K206" i="83"/>
  <c r="C206" i="83"/>
  <c r="R205" i="83"/>
  <c r="S205" i="83" s="1"/>
  <c r="Q205" i="83"/>
  <c r="O205" i="83"/>
  <c r="M205" i="83"/>
  <c r="K205" i="83"/>
  <c r="C205" i="83"/>
  <c r="R204" i="83"/>
  <c r="S204" i="83" s="1"/>
  <c r="Q204" i="83"/>
  <c r="O204" i="83"/>
  <c r="M204" i="83"/>
  <c r="K204" i="83"/>
  <c r="C204" i="83"/>
  <c r="R203" i="83"/>
  <c r="S203" i="83" s="1"/>
  <c r="Q203" i="83"/>
  <c r="O203" i="83"/>
  <c r="M203" i="83"/>
  <c r="K203" i="83"/>
  <c r="C203" i="83"/>
  <c r="R202" i="83"/>
  <c r="S202" i="83" s="1"/>
  <c r="Q202" i="83"/>
  <c r="O202" i="83"/>
  <c r="M202" i="83"/>
  <c r="K202" i="83"/>
  <c r="C202" i="83"/>
  <c r="R201" i="83"/>
  <c r="S201" i="83" s="1"/>
  <c r="Q201" i="83"/>
  <c r="O201" i="83"/>
  <c r="M201" i="83"/>
  <c r="K201" i="83"/>
  <c r="C201" i="83"/>
  <c r="R200" i="83"/>
  <c r="S200" i="83" s="1"/>
  <c r="Q200" i="83"/>
  <c r="O200" i="83"/>
  <c r="M200" i="83"/>
  <c r="K200" i="83"/>
  <c r="C200" i="83"/>
  <c r="R199" i="83"/>
  <c r="S199" i="83" s="1"/>
  <c r="Q199" i="83"/>
  <c r="O199" i="83"/>
  <c r="M199" i="83"/>
  <c r="K199" i="83"/>
  <c r="C199" i="83"/>
  <c r="R198" i="83"/>
  <c r="S198" i="83" s="1"/>
  <c r="Q198" i="83"/>
  <c r="O198" i="83"/>
  <c r="M198" i="83"/>
  <c r="K198" i="83"/>
  <c r="C198" i="83"/>
  <c r="R197" i="83"/>
  <c r="S197" i="83" s="1"/>
  <c r="Q197" i="83"/>
  <c r="O197" i="83"/>
  <c r="M197" i="83"/>
  <c r="K197" i="83"/>
  <c r="C197" i="83"/>
  <c r="R196" i="83"/>
  <c r="S196" i="83" s="1"/>
  <c r="Q196" i="83"/>
  <c r="O196" i="83"/>
  <c r="M196" i="83"/>
  <c r="K196" i="83"/>
  <c r="C196" i="83"/>
  <c r="R195" i="83"/>
  <c r="S195" i="83" s="1"/>
  <c r="Q195" i="83"/>
  <c r="O195" i="83"/>
  <c r="M195" i="83"/>
  <c r="K195" i="83"/>
  <c r="C195" i="83"/>
  <c r="R194" i="83"/>
  <c r="S194" i="83" s="1"/>
  <c r="Q194" i="83"/>
  <c r="O194" i="83"/>
  <c r="M194" i="83"/>
  <c r="K194" i="83"/>
  <c r="C194" i="83"/>
  <c r="R193" i="83"/>
  <c r="S193" i="83" s="1"/>
  <c r="Q193" i="83"/>
  <c r="O193" i="83"/>
  <c r="M193" i="83"/>
  <c r="K193" i="83"/>
  <c r="C193" i="83"/>
  <c r="R192" i="83"/>
  <c r="S192" i="83" s="1"/>
  <c r="Q192" i="83"/>
  <c r="O192" i="83"/>
  <c r="M192" i="83"/>
  <c r="K192" i="83"/>
  <c r="C192" i="83"/>
  <c r="R191" i="83"/>
  <c r="S191" i="83" s="1"/>
  <c r="Q191" i="83"/>
  <c r="O191" i="83"/>
  <c r="M191" i="83"/>
  <c r="K191" i="83"/>
  <c r="C191" i="83"/>
  <c r="R190" i="83"/>
  <c r="S190" i="83" s="1"/>
  <c r="Q190" i="83"/>
  <c r="O190" i="83"/>
  <c r="M190" i="83"/>
  <c r="K190" i="83"/>
  <c r="C190" i="83"/>
  <c r="R189" i="83"/>
  <c r="S189" i="83" s="1"/>
  <c r="Q189" i="83"/>
  <c r="O189" i="83"/>
  <c r="M189" i="83"/>
  <c r="K189" i="83"/>
  <c r="C189" i="83"/>
  <c r="R188" i="83"/>
  <c r="S188" i="83" s="1"/>
  <c r="Q188" i="83"/>
  <c r="O188" i="83"/>
  <c r="M188" i="83"/>
  <c r="K188" i="83"/>
  <c r="C188" i="83"/>
  <c r="R187" i="83"/>
  <c r="S187" i="83" s="1"/>
  <c r="Q187" i="83"/>
  <c r="O187" i="83"/>
  <c r="M187" i="83"/>
  <c r="K187" i="83"/>
  <c r="C187" i="83"/>
  <c r="R186" i="83"/>
  <c r="S186" i="83" s="1"/>
  <c r="Q186" i="83"/>
  <c r="O186" i="83"/>
  <c r="M186" i="83"/>
  <c r="K186" i="83"/>
  <c r="C186" i="83"/>
  <c r="R185" i="83"/>
  <c r="S185" i="83" s="1"/>
  <c r="Q185" i="83"/>
  <c r="O185" i="83"/>
  <c r="M185" i="83"/>
  <c r="K185" i="83"/>
  <c r="C185" i="83"/>
  <c r="R184" i="83"/>
  <c r="S184" i="83" s="1"/>
  <c r="Q184" i="83"/>
  <c r="O184" i="83"/>
  <c r="M184" i="83"/>
  <c r="K184" i="83"/>
  <c r="C184" i="83"/>
  <c r="R183" i="83"/>
  <c r="S183" i="83" s="1"/>
  <c r="Q183" i="83"/>
  <c r="O183" i="83"/>
  <c r="M183" i="83"/>
  <c r="K183" i="83"/>
  <c r="C183" i="83"/>
  <c r="R182" i="83"/>
  <c r="S182" i="83" s="1"/>
  <c r="Q182" i="83"/>
  <c r="O182" i="83"/>
  <c r="M182" i="83"/>
  <c r="K182" i="83"/>
  <c r="C182" i="83"/>
  <c r="R181" i="83"/>
  <c r="S181" i="83" s="1"/>
  <c r="Q181" i="83"/>
  <c r="O181" i="83"/>
  <c r="M181" i="83"/>
  <c r="K181" i="83"/>
  <c r="C181" i="83"/>
  <c r="R180" i="83"/>
  <c r="S180" i="83" s="1"/>
  <c r="Q180" i="83"/>
  <c r="O180" i="83"/>
  <c r="M180" i="83"/>
  <c r="K180" i="83"/>
  <c r="C180" i="83"/>
  <c r="R179" i="83"/>
  <c r="S179" i="83" s="1"/>
  <c r="Q179" i="83"/>
  <c r="O179" i="83"/>
  <c r="M179" i="83"/>
  <c r="K179" i="83"/>
  <c r="C179" i="83"/>
  <c r="R178" i="83"/>
  <c r="S178" i="83" s="1"/>
  <c r="Q178" i="83"/>
  <c r="O178" i="83"/>
  <c r="M178" i="83"/>
  <c r="K178" i="83"/>
  <c r="C178" i="83"/>
  <c r="R177" i="83"/>
  <c r="S177" i="83" s="1"/>
  <c r="Q177" i="83"/>
  <c r="O177" i="83"/>
  <c r="M177" i="83"/>
  <c r="K177" i="83"/>
  <c r="C177" i="83"/>
  <c r="R176" i="83"/>
  <c r="S176" i="83" s="1"/>
  <c r="Q176" i="83"/>
  <c r="O176" i="83"/>
  <c r="M176" i="83"/>
  <c r="K176" i="83"/>
  <c r="C176" i="83"/>
  <c r="R175" i="83"/>
  <c r="S175" i="83" s="1"/>
  <c r="Q175" i="83"/>
  <c r="O175" i="83"/>
  <c r="M175" i="83"/>
  <c r="K175" i="83"/>
  <c r="C175" i="83"/>
  <c r="R174" i="83"/>
  <c r="S174" i="83" s="1"/>
  <c r="Q174" i="83"/>
  <c r="O174" i="83"/>
  <c r="M174" i="83"/>
  <c r="K174" i="83"/>
  <c r="C174" i="83"/>
  <c r="R173" i="83"/>
  <c r="S173" i="83" s="1"/>
  <c r="Q173" i="83"/>
  <c r="O173" i="83"/>
  <c r="M173" i="83"/>
  <c r="K173" i="83"/>
  <c r="C173" i="83"/>
  <c r="R172" i="83"/>
  <c r="S172" i="83" s="1"/>
  <c r="Q172" i="83"/>
  <c r="O172" i="83"/>
  <c r="M172" i="83"/>
  <c r="K172" i="83"/>
  <c r="C172" i="83"/>
  <c r="R171" i="83"/>
  <c r="S171" i="83" s="1"/>
  <c r="Q171" i="83"/>
  <c r="O171" i="83"/>
  <c r="M171" i="83"/>
  <c r="K171" i="83"/>
  <c r="C171" i="83"/>
  <c r="R170" i="83"/>
  <c r="S170" i="83" s="1"/>
  <c r="Q170" i="83"/>
  <c r="O170" i="83"/>
  <c r="M170" i="83"/>
  <c r="K170" i="83"/>
  <c r="C170" i="83"/>
  <c r="R169" i="83"/>
  <c r="S169" i="83" s="1"/>
  <c r="Q169" i="83"/>
  <c r="O169" i="83"/>
  <c r="M169" i="83"/>
  <c r="K169" i="83"/>
  <c r="C169" i="83"/>
  <c r="R168" i="83"/>
  <c r="S168" i="83" s="1"/>
  <c r="Q168" i="83"/>
  <c r="O168" i="83"/>
  <c r="M168" i="83"/>
  <c r="K168" i="83"/>
  <c r="C168" i="83"/>
  <c r="R167" i="83"/>
  <c r="S167" i="83" s="1"/>
  <c r="Q167" i="83"/>
  <c r="O167" i="83"/>
  <c r="M167" i="83"/>
  <c r="K167" i="83"/>
  <c r="C167" i="83"/>
  <c r="R166" i="83"/>
  <c r="S166" i="83" s="1"/>
  <c r="Q166" i="83"/>
  <c r="O166" i="83"/>
  <c r="M166" i="83"/>
  <c r="K166" i="83"/>
  <c r="C166" i="83"/>
  <c r="R165" i="83"/>
  <c r="S165" i="83" s="1"/>
  <c r="Q165" i="83"/>
  <c r="O165" i="83"/>
  <c r="M165" i="83"/>
  <c r="K165" i="83"/>
  <c r="C165" i="83"/>
  <c r="R164" i="83"/>
  <c r="S164" i="83" s="1"/>
  <c r="Q164" i="83"/>
  <c r="O164" i="83"/>
  <c r="M164" i="83"/>
  <c r="K164" i="83"/>
  <c r="C164" i="83"/>
  <c r="R163" i="83"/>
  <c r="S163" i="83" s="1"/>
  <c r="Q163" i="83"/>
  <c r="O163" i="83"/>
  <c r="M163" i="83"/>
  <c r="K163" i="83"/>
  <c r="C163" i="83"/>
  <c r="R162" i="83"/>
  <c r="S162" i="83" s="1"/>
  <c r="Q162" i="83"/>
  <c r="O162" i="83"/>
  <c r="M162" i="83"/>
  <c r="K162" i="83"/>
  <c r="C162" i="83"/>
  <c r="R161" i="83"/>
  <c r="S161" i="83" s="1"/>
  <c r="Q161" i="83"/>
  <c r="O161" i="83"/>
  <c r="M161" i="83"/>
  <c r="K161" i="83"/>
  <c r="C161" i="83"/>
  <c r="R160" i="83"/>
  <c r="S160" i="83" s="1"/>
  <c r="Q160" i="83"/>
  <c r="O160" i="83"/>
  <c r="M160" i="83"/>
  <c r="K160" i="83"/>
  <c r="C160" i="83"/>
  <c r="R159" i="83"/>
  <c r="S159" i="83" s="1"/>
  <c r="Q159" i="83"/>
  <c r="O159" i="83"/>
  <c r="M159" i="83"/>
  <c r="K159" i="83"/>
  <c r="C159" i="83"/>
  <c r="R158" i="83"/>
  <c r="S158" i="83" s="1"/>
  <c r="Q158" i="83"/>
  <c r="O158" i="83"/>
  <c r="M158" i="83"/>
  <c r="K158" i="83"/>
  <c r="C158" i="83"/>
  <c r="R157" i="83"/>
  <c r="S157" i="83" s="1"/>
  <c r="Q157" i="83"/>
  <c r="O157" i="83"/>
  <c r="M157" i="83"/>
  <c r="K157" i="83"/>
  <c r="C157" i="83"/>
  <c r="R156" i="83"/>
  <c r="S156" i="83" s="1"/>
  <c r="Q156" i="83"/>
  <c r="O156" i="83"/>
  <c r="M156" i="83"/>
  <c r="K156" i="83"/>
  <c r="C156" i="83"/>
  <c r="R155" i="83"/>
  <c r="S155" i="83" s="1"/>
  <c r="Q155" i="83"/>
  <c r="O155" i="83"/>
  <c r="M155" i="83"/>
  <c r="K155" i="83"/>
  <c r="C155" i="83"/>
  <c r="R154" i="83"/>
  <c r="S154" i="83" s="1"/>
  <c r="Q154" i="83"/>
  <c r="O154" i="83"/>
  <c r="M154" i="83"/>
  <c r="K154" i="83"/>
  <c r="C154" i="83"/>
  <c r="R153" i="83"/>
  <c r="S153" i="83" s="1"/>
  <c r="Q153" i="83"/>
  <c r="O153" i="83"/>
  <c r="M153" i="83"/>
  <c r="K153" i="83"/>
  <c r="C153" i="83"/>
  <c r="R152" i="83"/>
  <c r="S152" i="83" s="1"/>
  <c r="Q152" i="83"/>
  <c r="O152" i="83"/>
  <c r="M152" i="83"/>
  <c r="K152" i="83"/>
  <c r="C152" i="83"/>
  <c r="R151" i="83"/>
  <c r="S151" i="83" s="1"/>
  <c r="Q151" i="83"/>
  <c r="O151" i="83"/>
  <c r="M151" i="83"/>
  <c r="K151" i="83"/>
  <c r="C151" i="83"/>
  <c r="R150" i="83"/>
  <c r="S150" i="83" s="1"/>
  <c r="Q150" i="83"/>
  <c r="O150" i="83"/>
  <c r="M150" i="83"/>
  <c r="K150" i="83"/>
  <c r="C150" i="83"/>
  <c r="R149" i="83"/>
  <c r="S149" i="83" s="1"/>
  <c r="Q149" i="83"/>
  <c r="O149" i="83"/>
  <c r="M149" i="83"/>
  <c r="K149" i="83"/>
  <c r="C149" i="83"/>
  <c r="R148" i="83"/>
  <c r="S148" i="83" s="1"/>
  <c r="Q148" i="83"/>
  <c r="O148" i="83"/>
  <c r="M148" i="83"/>
  <c r="K148" i="83"/>
  <c r="C148" i="83"/>
  <c r="R147" i="83"/>
  <c r="S147" i="83" s="1"/>
  <c r="Q147" i="83"/>
  <c r="O147" i="83"/>
  <c r="M147" i="83"/>
  <c r="K147" i="83"/>
  <c r="C147" i="83"/>
  <c r="R146" i="83"/>
  <c r="S146" i="83" s="1"/>
  <c r="Q146" i="83"/>
  <c r="O146" i="83"/>
  <c r="M146" i="83"/>
  <c r="K146" i="83"/>
  <c r="C146" i="83"/>
  <c r="R145" i="83"/>
  <c r="S145" i="83" s="1"/>
  <c r="Q145" i="83"/>
  <c r="O145" i="83"/>
  <c r="M145" i="83"/>
  <c r="K145" i="83"/>
  <c r="C145" i="83"/>
  <c r="R144" i="83"/>
  <c r="S144" i="83" s="1"/>
  <c r="Q144" i="83"/>
  <c r="O144" i="83"/>
  <c r="M144" i="83"/>
  <c r="K144" i="83"/>
  <c r="C144" i="83"/>
  <c r="R143" i="83"/>
  <c r="S143" i="83" s="1"/>
  <c r="Q143" i="83"/>
  <c r="O143" i="83"/>
  <c r="M143" i="83"/>
  <c r="K143" i="83"/>
  <c r="C143" i="83"/>
  <c r="R142" i="83"/>
  <c r="S142" i="83" s="1"/>
  <c r="Q142" i="83"/>
  <c r="O142" i="83"/>
  <c r="M142" i="83"/>
  <c r="K142" i="83"/>
  <c r="C142" i="83"/>
  <c r="R141" i="83"/>
  <c r="S141" i="83" s="1"/>
  <c r="Q141" i="83"/>
  <c r="O141" i="83"/>
  <c r="M141" i="83"/>
  <c r="K141" i="83"/>
  <c r="C141" i="83"/>
  <c r="R140" i="83"/>
  <c r="S140" i="83" s="1"/>
  <c r="Q140" i="83"/>
  <c r="O140" i="83"/>
  <c r="M140" i="83"/>
  <c r="K140" i="83"/>
  <c r="C140" i="83"/>
  <c r="R139" i="83"/>
  <c r="S139" i="83" s="1"/>
  <c r="Q139" i="83"/>
  <c r="O139" i="83"/>
  <c r="M139" i="83"/>
  <c r="K139" i="83"/>
  <c r="C139" i="83"/>
  <c r="R138" i="83"/>
  <c r="S138" i="83" s="1"/>
  <c r="Q138" i="83"/>
  <c r="O138" i="83"/>
  <c r="M138" i="83"/>
  <c r="K138" i="83"/>
  <c r="C138" i="83"/>
  <c r="R137" i="83"/>
  <c r="S137" i="83" s="1"/>
  <c r="Q137" i="83"/>
  <c r="O137" i="83"/>
  <c r="M137" i="83"/>
  <c r="K137" i="83"/>
  <c r="C137" i="83"/>
  <c r="R136" i="83"/>
  <c r="S136" i="83" s="1"/>
  <c r="Q136" i="83"/>
  <c r="O136" i="83"/>
  <c r="M136" i="83"/>
  <c r="K136" i="83"/>
  <c r="C136" i="83"/>
  <c r="R135" i="83"/>
  <c r="S135" i="83" s="1"/>
  <c r="Q135" i="83"/>
  <c r="O135" i="83"/>
  <c r="M135" i="83"/>
  <c r="K135" i="83"/>
  <c r="C135" i="83"/>
  <c r="R134" i="83"/>
  <c r="S134" i="83" s="1"/>
  <c r="Q134" i="83"/>
  <c r="O134" i="83"/>
  <c r="M134" i="83"/>
  <c r="K134" i="83"/>
  <c r="C134" i="83"/>
  <c r="U133" i="83"/>
  <c r="T133" i="83"/>
  <c r="Q133" i="83"/>
  <c r="O133" i="83"/>
  <c r="M133" i="83"/>
  <c r="K133" i="83"/>
  <c r="U132" i="83"/>
  <c r="T132" i="83"/>
  <c r="Q132" i="83"/>
  <c r="O132" i="83"/>
  <c r="M132" i="83"/>
  <c r="K132" i="83"/>
  <c r="U131" i="83"/>
  <c r="T131" i="83"/>
  <c r="Q131" i="83"/>
  <c r="O131" i="83"/>
  <c r="M131" i="83"/>
  <c r="K131" i="83"/>
  <c r="U130" i="83"/>
  <c r="T130" i="83"/>
  <c r="Q130" i="83"/>
  <c r="O130" i="83"/>
  <c r="M130" i="83"/>
  <c r="K130" i="83"/>
  <c r="U129" i="83"/>
  <c r="T129" i="83"/>
  <c r="Q129" i="83"/>
  <c r="O129" i="83"/>
  <c r="M129" i="83"/>
  <c r="K129" i="83"/>
  <c r="U128" i="83"/>
  <c r="T128" i="83"/>
  <c r="Q128" i="83"/>
  <c r="O128" i="83"/>
  <c r="M128" i="83"/>
  <c r="K128" i="83"/>
  <c r="U127" i="83"/>
  <c r="T127" i="83"/>
  <c r="Q127" i="83"/>
  <c r="O127" i="83"/>
  <c r="M127" i="83"/>
  <c r="K127" i="83"/>
  <c r="U126" i="83"/>
  <c r="T126" i="83"/>
  <c r="Q126" i="83"/>
  <c r="O126" i="83"/>
  <c r="M126" i="83"/>
  <c r="K126" i="83"/>
  <c r="U125" i="83"/>
  <c r="T125" i="83"/>
  <c r="Q125" i="83"/>
  <c r="O125" i="83"/>
  <c r="M125" i="83"/>
  <c r="K125" i="83"/>
  <c r="U124" i="83"/>
  <c r="T124" i="83"/>
  <c r="Q124" i="83"/>
  <c r="O124" i="83"/>
  <c r="M124" i="83"/>
  <c r="K124" i="83"/>
  <c r="U123" i="83"/>
  <c r="T123" i="83"/>
  <c r="Q123" i="83"/>
  <c r="O123" i="83"/>
  <c r="M123" i="83"/>
  <c r="K123" i="83"/>
  <c r="U122" i="83"/>
  <c r="T122" i="83"/>
  <c r="Q122" i="83"/>
  <c r="O122" i="83"/>
  <c r="M122" i="83"/>
  <c r="K122" i="83"/>
  <c r="U121" i="83"/>
  <c r="T121" i="83"/>
  <c r="Q121" i="83"/>
  <c r="O121" i="83"/>
  <c r="M121" i="83"/>
  <c r="K121" i="83"/>
  <c r="U120" i="83"/>
  <c r="T120" i="83"/>
  <c r="Q120" i="83"/>
  <c r="O120" i="83"/>
  <c r="M120" i="83"/>
  <c r="K120" i="83"/>
  <c r="U119" i="83"/>
  <c r="T119" i="83"/>
  <c r="Q119" i="83"/>
  <c r="O119" i="83"/>
  <c r="M119" i="83"/>
  <c r="K119" i="83"/>
  <c r="U118" i="83"/>
  <c r="T118" i="83"/>
  <c r="Q118" i="83"/>
  <c r="O118" i="83"/>
  <c r="M118" i="83"/>
  <c r="K118" i="83"/>
  <c r="U117" i="83"/>
  <c r="T117" i="83"/>
  <c r="Q117" i="83"/>
  <c r="O117" i="83"/>
  <c r="M117" i="83"/>
  <c r="K117" i="83"/>
  <c r="U116" i="83"/>
  <c r="T116" i="83"/>
  <c r="Q116" i="83"/>
  <c r="O116" i="83"/>
  <c r="M116" i="83"/>
  <c r="K116" i="83"/>
  <c r="U115" i="83"/>
  <c r="T115" i="83"/>
  <c r="Q115" i="83"/>
  <c r="O115" i="83"/>
  <c r="M115" i="83"/>
  <c r="K115" i="83"/>
  <c r="U114" i="83"/>
  <c r="T114" i="83"/>
  <c r="Q114" i="83"/>
  <c r="O114" i="83"/>
  <c r="M114" i="83"/>
  <c r="K114" i="83"/>
  <c r="U113" i="83"/>
  <c r="T113" i="83"/>
  <c r="Q113" i="83"/>
  <c r="O113" i="83"/>
  <c r="M113" i="83"/>
  <c r="K113" i="83"/>
  <c r="U112" i="83"/>
  <c r="T112" i="83"/>
  <c r="Q112" i="83"/>
  <c r="O112" i="83"/>
  <c r="M112" i="83"/>
  <c r="K112" i="83"/>
  <c r="U111" i="83"/>
  <c r="T111" i="83"/>
  <c r="Q111" i="83"/>
  <c r="O111" i="83"/>
  <c r="M111" i="83"/>
  <c r="K111" i="83"/>
  <c r="U110" i="83"/>
  <c r="T110" i="83"/>
  <c r="Q110" i="83"/>
  <c r="O110" i="83"/>
  <c r="M110" i="83"/>
  <c r="K110" i="83"/>
  <c r="U109" i="83"/>
  <c r="T109" i="83"/>
  <c r="Q109" i="83"/>
  <c r="O109" i="83"/>
  <c r="M109" i="83"/>
  <c r="K109" i="83"/>
  <c r="U108" i="83"/>
  <c r="T108" i="83"/>
  <c r="Q108" i="83"/>
  <c r="O108" i="83"/>
  <c r="M108" i="83"/>
  <c r="K108" i="83"/>
  <c r="U107" i="83"/>
  <c r="T107" i="83"/>
  <c r="Q107" i="83"/>
  <c r="O107" i="83"/>
  <c r="M107" i="83"/>
  <c r="K107" i="83"/>
  <c r="U106" i="83"/>
  <c r="T106" i="83"/>
  <c r="Q106" i="83"/>
  <c r="O106" i="83"/>
  <c r="M106" i="83"/>
  <c r="K106" i="83"/>
  <c r="U105" i="83"/>
  <c r="T105" i="83"/>
  <c r="Q105" i="83"/>
  <c r="O105" i="83"/>
  <c r="M105" i="83"/>
  <c r="K105" i="83"/>
  <c r="U104" i="83"/>
  <c r="T104" i="83"/>
  <c r="Q104" i="83"/>
  <c r="O104" i="83"/>
  <c r="M104" i="83"/>
  <c r="K104" i="83"/>
  <c r="U103" i="83"/>
  <c r="T103" i="83"/>
  <c r="Q103" i="83"/>
  <c r="O103" i="83"/>
  <c r="M103" i="83"/>
  <c r="K103" i="83"/>
  <c r="U102" i="83"/>
  <c r="T102" i="83"/>
  <c r="Q102" i="83"/>
  <c r="O102" i="83"/>
  <c r="M102" i="83"/>
  <c r="K102" i="83"/>
  <c r="U101" i="83"/>
  <c r="T101" i="83"/>
  <c r="Q101" i="83"/>
  <c r="O101" i="83"/>
  <c r="M101" i="83"/>
  <c r="K101" i="83"/>
  <c r="U100" i="83"/>
  <c r="T100" i="83"/>
  <c r="Q100" i="83"/>
  <c r="O100" i="83"/>
  <c r="M100" i="83"/>
  <c r="K100" i="83"/>
  <c r="U99" i="83"/>
  <c r="T99" i="83"/>
  <c r="Q99" i="83"/>
  <c r="O99" i="83"/>
  <c r="M99" i="83"/>
  <c r="K99" i="83"/>
  <c r="U98" i="83"/>
  <c r="T98" i="83"/>
  <c r="Q98" i="83"/>
  <c r="O98" i="83"/>
  <c r="M98" i="83"/>
  <c r="K98" i="83"/>
  <c r="U97" i="83"/>
  <c r="T97" i="83"/>
  <c r="Q97" i="83"/>
  <c r="O97" i="83"/>
  <c r="M97" i="83"/>
  <c r="K97" i="83"/>
  <c r="U96" i="83"/>
  <c r="T96" i="83"/>
  <c r="Q96" i="83"/>
  <c r="O96" i="83"/>
  <c r="M96" i="83"/>
  <c r="K96" i="83"/>
  <c r="U95" i="83"/>
  <c r="T95" i="83"/>
  <c r="Q95" i="83"/>
  <c r="O95" i="83"/>
  <c r="M95" i="83"/>
  <c r="K95" i="83"/>
  <c r="U94" i="83"/>
  <c r="T94" i="83"/>
  <c r="Q94" i="83"/>
  <c r="O94" i="83"/>
  <c r="M94" i="83"/>
  <c r="K94" i="83"/>
  <c r="U93" i="83"/>
  <c r="T93" i="83"/>
  <c r="Q93" i="83"/>
  <c r="O93" i="83"/>
  <c r="M93" i="83"/>
  <c r="K93" i="83"/>
  <c r="U92" i="83"/>
  <c r="T92" i="83"/>
  <c r="Q92" i="83"/>
  <c r="O92" i="83"/>
  <c r="M92" i="83"/>
  <c r="K92" i="83"/>
  <c r="U91" i="83"/>
  <c r="T91" i="83"/>
  <c r="Q91" i="83"/>
  <c r="O91" i="83"/>
  <c r="M91" i="83"/>
  <c r="K91" i="83"/>
  <c r="U90" i="83"/>
  <c r="T90" i="83"/>
  <c r="Q90" i="83"/>
  <c r="O90" i="83"/>
  <c r="M90" i="83"/>
  <c r="K90" i="83"/>
  <c r="U89" i="83"/>
  <c r="T89" i="83"/>
  <c r="Q89" i="83"/>
  <c r="O89" i="83"/>
  <c r="M89" i="83"/>
  <c r="K89" i="83"/>
  <c r="U88" i="83"/>
  <c r="T88" i="83"/>
  <c r="Q88" i="83"/>
  <c r="O88" i="83"/>
  <c r="M88" i="83"/>
  <c r="K88" i="83"/>
  <c r="U87" i="83"/>
  <c r="T87" i="83"/>
  <c r="Q87" i="83"/>
  <c r="O87" i="83"/>
  <c r="M87" i="83"/>
  <c r="K87" i="83"/>
  <c r="U86" i="83"/>
  <c r="T86" i="83"/>
  <c r="Q86" i="83"/>
  <c r="O86" i="83"/>
  <c r="M86" i="83"/>
  <c r="K86" i="83"/>
  <c r="U85" i="83"/>
  <c r="T85" i="83"/>
  <c r="Q85" i="83"/>
  <c r="O85" i="83"/>
  <c r="M85" i="83"/>
  <c r="K85" i="83"/>
  <c r="U84" i="83"/>
  <c r="T84" i="83"/>
  <c r="Q84" i="83"/>
  <c r="O84" i="83"/>
  <c r="M84" i="83"/>
  <c r="K84" i="83"/>
  <c r="U83" i="83"/>
  <c r="T83" i="83"/>
  <c r="Q83" i="83"/>
  <c r="O83" i="83"/>
  <c r="M83" i="83"/>
  <c r="K83" i="83"/>
  <c r="U82" i="83"/>
  <c r="T82" i="83"/>
  <c r="Q82" i="83"/>
  <c r="O82" i="83"/>
  <c r="M82" i="83"/>
  <c r="K82" i="83"/>
  <c r="U81" i="83"/>
  <c r="T81" i="83"/>
  <c r="Q81" i="83"/>
  <c r="O81" i="83"/>
  <c r="M81" i="83"/>
  <c r="K81" i="83"/>
  <c r="U80" i="83"/>
  <c r="T80" i="83"/>
  <c r="Q80" i="83"/>
  <c r="O80" i="83"/>
  <c r="M80" i="83"/>
  <c r="K80" i="83"/>
  <c r="U79" i="83"/>
  <c r="T79" i="83"/>
  <c r="Q79" i="83"/>
  <c r="O79" i="83"/>
  <c r="M79" i="83"/>
  <c r="K79" i="83"/>
  <c r="U78" i="83"/>
  <c r="T78" i="83"/>
  <c r="Q78" i="83"/>
  <c r="O78" i="83"/>
  <c r="M78" i="83"/>
  <c r="K78" i="83"/>
  <c r="U77" i="83"/>
  <c r="T77" i="83"/>
  <c r="Q77" i="83"/>
  <c r="O77" i="83"/>
  <c r="M77" i="83"/>
  <c r="K77" i="83"/>
  <c r="U76" i="83"/>
  <c r="T76" i="83"/>
  <c r="Q76" i="83"/>
  <c r="O76" i="83"/>
  <c r="M76" i="83"/>
  <c r="K76" i="83"/>
  <c r="U75" i="83"/>
  <c r="T75" i="83"/>
  <c r="Q75" i="83"/>
  <c r="O75" i="83"/>
  <c r="M75" i="83"/>
  <c r="K75" i="83"/>
  <c r="U74" i="83"/>
  <c r="T74" i="83"/>
  <c r="Q74" i="83"/>
  <c r="O74" i="83"/>
  <c r="M74" i="83"/>
  <c r="K74" i="83"/>
  <c r="U73" i="83"/>
  <c r="T73" i="83"/>
  <c r="Q73" i="83"/>
  <c r="O73" i="83"/>
  <c r="M73" i="83"/>
  <c r="K73" i="83"/>
  <c r="U72" i="83"/>
  <c r="T72" i="83"/>
  <c r="Q72" i="83"/>
  <c r="O72" i="83"/>
  <c r="M72" i="83"/>
  <c r="K72" i="83"/>
  <c r="U71" i="83"/>
  <c r="T71" i="83"/>
  <c r="Q71" i="83"/>
  <c r="O71" i="83"/>
  <c r="M71" i="83"/>
  <c r="K71" i="83"/>
  <c r="U70" i="83"/>
  <c r="T70" i="83"/>
  <c r="Q70" i="83"/>
  <c r="O70" i="83"/>
  <c r="M70" i="83"/>
  <c r="K70" i="83"/>
  <c r="U69" i="83"/>
  <c r="T69" i="83"/>
  <c r="Q69" i="83"/>
  <c r="O69" i="83"/>
  <c r="M69" i="83"/>
  <c r="K69" i="83"/>
  <c r="U68" i="83"/>
  <c r="T68" i="83"/>
  <c r="Q68" i="83"/>
  <c r="O68" i="83"/>
  <c r="M68" i="83"/>
  <c r="K68" i="83"/>
  <c r="U67" i="83"/>
  <c r="T67" i="83"/>
  <c r="Q67" i="83"/>
  <c r="O67" i="83"/>
  <c r="M67" i="83"/>
  <c r="K67" i="83"/>
  <c r="U66" i="83"/>
  <c r="T66" i="83"/>
  <c r="Q66" i="83"/>
  <c r="O66" i="83"/>
  <c r="M66" i="83"/>
  <c r="K66" i="83"/>
  <c r="U65" i="83"/>
  <c r="T65" i="83"/>
  <c r="Q65" i="83"/>
  <c r="O65" i="83"/>
  <c r="M65" i="83"/>
  <c r="K65" i="83"/>
  <c r="U64" i="83"/>
  <c r="T64" i="83"/>
  <c r="Q64" i="83"/>
  <c r="O64" i="83"/>
  <c r="M64" i="83"/>
  <c r="K64" i="83"/>
  <c r="U63" i="83"/>
  <c r="T63" i="83"/>
  <c r="Q63" i="83"/>
  <c r="O63" i="83"/>
  <c r="M63" i="83"/>
  <c r="K63" i="83"/>
  <c r="U62" i="83"/>
  <c r="T62" i="83"/>
  <c r="Q62" i="83"/>
  <c r="O62" i="83"/>
  <c r="M62" i="83"/>
  <c r="K62" i="83"/>
  <c r="U61" i="83"/>
  <c r="T61" i="83"/>
  <c r="Q61" i="83"/>
  <c r="O61" i="83"/>
  <c r="M61" i="83"/>
  <c r="K61" i="83"/>
  <c r="U60" i="83"/>
  <c r="T60" i="83"/>
  <c r="Q60" i="83"/>
  <c r="O60" i="83"/>
  <c r="M60" i="83"/>
  <c r="K60" i="83"/>
  <c r="U59" i="83"/>
  <c r="T59" i="83"/>
  <c r="Q59" i="83"/>
  <c r="O59" i="83"/>
  <c r="M59" i="83"/>
  <c r="K59" i="83"/>
  <c r="U58" i="83"/>
  <c r="T58" i="83"/>
  <c r="Q58" i="83"/>
  <c r="O58" i="83"/>
  <c r="M58" i="83"/>
  <c r="K58" i="83"/>
  <c r="U57" i="83"/>
  <c r="T57" i="83"/>
  <c r="Q57" i="83"/>
  <c r="O57" i="83"/>
  <c r="M57" i="83"/>
  <c r="K57" i="83"/>
  <c r="U56" i="83"/>
  <c r="T56" i="83"/>
  <c r="Q56" i="83"/>
  <c r="O56" i="83"/>
  <c r="M56" i="83"/>
  <c r="K56" i="83"/>
  <c r="U55" i="83"/>
  <c r="T55" i="83"/>
  <c r="Q55" i="83"/>
  <c r="O55" i="83"/>
  <c r="M55" i="83"/>
  <c r="K55" i="83"/>
  <c r="U54" i="83"/>
  <c r="T54" i="83"/>
  <c r="Q54" i="83"/>
  <c r="O54" i="83"/>
  <c r="M54" i="83"/>
  <c r="K54" i="83"/>
  <c r="U53" i="83"/>
  <c r="T53" i="83"/>
  <c r="Q53" i="83"/>
  <c r="O53" i="83"/>
  <c r="M53" i="83"/>
  <c r="K53" i="83"/>
  <c r="U52" i="83"/>
  <c r="T52" i="83"/>
  <c r="Q52" i="83"/>
  <c r="O52" i="83"/>
  <c r="M52" i="83"/>
  <c r="K52" i="83"/>
  <c r="U51" i="83"/>
  <c r="T51" i="83"/>
  <c r="Q51" i="83"/>
  <c r="O51" i="83"/>
  <c r="M51" i="83"/>
  <c r="K51" i="83"/>
  <c r="U50" i="83"/>
  <c r="T50" i="83"/>
  <c r="Q50" i="83"/>
  <c r="O50" i="83"/>
  <c r="M50" i="83"/>
  <c r="K50" i="83"/>
  <c r="U49" i="83"/>
  <c r="T49" i="83"/>
  <c r="Q49" i="83"/>
  <c r="O49" i="83"/>
  <c r="M49" i="83"/>
  <c r="K49" i="83"/>
  <c r="U48" i="83"/>
  <c r="T48" i="83"/>
  <c r="Q48" i="83"/>
  <c r="O48" i="83"/>
  <c r="M48" i="83"/>
  <c r="K48" i="83"/>
  <c r="U47" i="83"/>
  <c r="T47" i="83"/>
  <c r="Q47" i="83"/>
  <c r="O47" i="83"/>
  <c r="M47" i="83"/>
  <c r="K47" i="83"/>
  <c r="U46" i="83"/>
  <c r="T46" i="83"/>
  <c r="Q46" i="83"/>
  <c r="O46" i="83"/>
  <c r="M46" i="83"/>
  <c r="K46" i="83"/>
  <c r="U45" i="83"/>
  <c r="T45" i="83"/>
  <c r="Q45" i="83"/>
  <c r="O45" i="83"/>
  <c r="M45" i="83"/>
  <c r="K45" i="83"/>
  <c r="U44" i="83"/>
  <c r="T44" i="83"/>
  <c r="Q44" i="83"/>
  <c r="O44" i="83"/>
  <c r="M44" i="83"/>
  <c r="K44" i="83"/>
  <c r="U43" i="83"/>
  <c r="T43" i="83"/>
  <c r="Q43" i="83"/>
  <c r="O43" i="83"/>
  <c r="M43" i="83"/>
  <c r="K43" i="83"/>
  <c r="U42" i="83"/>
  <c r="T42" i="83"/>
  <c r="Q42" i="83"/>
  <c r="O42" i="83"/>
  <c r="M42" i="83"/>
  <c r="K42" i="83"/>
  <c r="U41" i="83"/>
  <c r="T41" i="83"/>
  <c r="Q41" i="83"/>
  <c r="O41" i="83"/>
  <c r="M41" i="83"/>
  <c r="K41" i="83"/>
  <c r="U40" i="83"/>
  <c r="T40" i="83"/>
  <c r="Q40" i="83"/>
  <c r="O40" i="83"/>
  <c r="M40" i="83"/>
  <c r="K40" i="83"/>
  <c r="U39" i="83"/>
  <c r="T39" i="83"/>
  <c r="Q39" i="83"/>
  <c r="O39" i="83"/>
  <c r="M39" i="83"/>
  <c r="K39" i="83"/>
  <c r="U38" i="83"/>
  <c r="T38" i="83"/>
  <c r="Q38" i="83"/>
  <c r="O38" i="83"/>
  <c r="M38" i="83"/>
  <c r="K38" i="83"/>
  <c r="U37" i="83"/>
  <c r="T37" i="83"/>
  <c r="Q37" i="83"/>
  <c r="O37" i="83"/>
  <c r="M37" i="83"/>
  <c r="K37" i="83"/>
  <c r="U36" i="83"/>
  <c r="T36" i="83"/>
  <c r="Q36" i="83"/>
  <c r="O36" i="83"/>
  <c r="M36" i="83"/>
  <c r="K36" i="83"/>
  <c r="U35" i="83"/>
  <c r="T35" i="83"/>
  <c r="Q35" i="83"/>
  <c r="O35" i="83"/>
  <c r="M35" i="83"/>
  <c r="K35" i="83"/>
  <c r="U34" i="83"/>
  <c r="T34" i="83"/>
  <c r="Q34" i="83"/>
  <c r="O34" i="83"/>
  <c r="M34" i="83"/>
  <c r="K34" i="83"/>
  <c r="T33" i="83"/>
  <c r="Q33" i="83"/>
  <c r="O33" i="83"/>
  <c r="M33" i="83"/>
  <c r="K33" i="83"/>
  <c r="T32" i="83"/>
  <c r="Q32" i="83"/>
  <c r="O32" i="83"/>
  <c r="M32" i="83"/>
  <c r="K32" i="83"/>
  <c r="T31" i="83"/>
  <c r="Q31" i="83"/>
  <c r="O31" i="83"/>
  <c r="M31" i="83"/>
  <c r="K31" i="83"/>
  <c r="T30" i="83"/>
  <c r="Q30" i="83"/>
  <c r="O30" i="83"/>
  <c r="M30" i="83"/>
  <c r="K30" i="83"/>
  <c r="T29" i="83"/>
  <c r="Q29" i="83"/>
  <c r="O29" i="83"/>
  <c r="M29" i="83"/>
  <c r="K29" i="83"/>
  <c r="T28" i="83"/>
  <c r="Q28" i="83"/>
  <c r="O28" i="83"/>
  <c r="M28" i="83"/>
  <c r="K28" i="83"/>
  <c r="T27" i="83"/>
  <c r="Q27" i="83"/>
  <c r="O27" i="83"/>
  <c r="M27" i="83"/>
  <c r="K27" i="83"/>
  <c r="C27" i="83"/>
  <c r="T26" i="83"/>
  <c r="Q26" i="83"/>
  <c r="O26" i="83"/>
  <c r="M26" i="83"/>
  <c r="K26" i="83"/>
  <c r="T25" i="83"/>
  <c r="Q25" i="83"/>
  <c r="O25" i="83"/>
  <c r="M25" i="83"/>
  <c r="K25"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D10" i="83"/>
  <c r="D8" i="83"/>
  <c r="T5" i="83"/>
  <c r="D6" i="83" s="1"/>
  <c r="E102" i="83" s="1"/>
  <c r="S2" i="83"/>
  <c r="R2" i="83"/>
  <c r="Q2" i="83"/>
  <c r="P2" i="83"/>
  <c r="O2" i="83"/>
  <c r="N2" i="83"/>
  <c r="M2" i="83"/>
  <c r="L2" i="83"/>
  <c r="K2" i="83"/>
  <c r="J2" i="83"/>
  <c r="I2" i="83"/>
  <c r="H2" i="83"/>
  <c r="G2" i="83"/>
  <c r="F2" i="83"/>
  <c r="E2" i="83"/>
  <c r="D2" i="83"/>
  <c r="C2" i="83"/>
  <c r="A120" i="82"/>
  <c r="E111" i="82"/>
  <c r="H112" i="82" s="1"/>
  <c r="E109" i="82"/>
  <c r="A124" i="82" s="1"/>
  <c r="E107" i="82"/>
  <c r="A122" i="82" s="1"/>
  <c r="H106" i="82"/>
  <c r="H105" i="82"/>
  <c r="H104" i="82"/>
  <c r="D101" i="82"/>
  <c r="C101" i="82"/>
  <c r="C91" i="82"/>
  <c r="E90" i="82"/>
  <c r="D89" i="82"/>
  <c r="C89" i="82" s="1"/>
  <c r="C87" i="82" s="1"/>
  <c r="H77" i="82"/>
  <c r="D77" i="82"/>
  <c r="C76" i="82"/>
  <c r="F59" i="82"/>
  <c r="E59" i="82"/>
  <c r="N55" i="82" s="1"/>
  <c r="F56" i="82"/>
  <c r="O55" i="82"/>
  <c r="K55" i="82"/>
  <c r="J55" i="82"/>
  <c r="I55" i="82"/>
  <c r="F55" i="82"/>
  <c r="O53" i="82" s="1"/>
  <c r="O54" i="82"/>
  <c r="N54" i="82"/>
  <c r="N53" i="82"/>
  <c r="K49" i="82"/>
  <c r="E48" i="82"/>
  <c r="N52" i="82" s="1"/>
  <c r="D48" i="82"/>
  <c r="M52" i="82" s="1"/>
  <c r="F33" i="82"/>
  <c r="L28" i="82"/>
  <c r="D27" i="82"/>
  <c r="C25" i="82"/>
  <c r="C24" i="82"/>
  <c r="D17" i="82"/>
  <c r="C17" i="82"/>
  <c r="L4" i="82"/>
  <c r="K4" i="82"/>
  <c r="H1" i="82"/>
  <c r="Q72" i="81"/>
  <c r="Q59" i="81"/>
  <c r="K59" i="81"/>
  <c r="P74" i="81" s="1"/>
  <c r="F59" i="81"/>
  <c r="Q58" i="81"/>
  <c r="Q51" i="81"/>
  <c r="J50" i="81"/>
  <c r="M47" i="81"/>
  <c r="D46" i="81"/>
  <c r="F33" i="81"/>
  <c r="F61" i="81" s="1"/>
  <c r="F31" i="81"/>
  <c r="F23" i="81"/>
  <c r="D24" i="81" s="1"/>
  <c r="F20" i="81"/>
  <c r="M19" i="81"/>
  <c r="F18" i="81"/>
  <c r="M17" i="81"/>
  <c r="F17" i="81"/>
  <c r="F15" i="8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25" i="31"/>
  <c r="T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25" i="31"/>
  <c r="A26" i="31"/>
  <c r="B26"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B25" i="31"/>
  <c r="A25" i="31"/>
  <c r="B24" i="31"/>
  <c r="A24" i="31"/>
  <c r="L28" i="9"/>
  <c r="I13" i="3"/>
  <c r="F19" i="6" s="1"/>
  <c r="C34" i="34" s="1"/>
  <c r="C13" i="3"/>
  <c r="B38" i="1"/>
  <c r="F21" i="81" s="1"/>
  <c r="N6" i="1"/>
  <c r="F20" i="83"/>
  <c r="D34" i="82"/>
  <c r="D35" i="82"/>
  <c r="C37" i="34" l="1"/>
  <c r="C36" i="33" s="1"/>
  <c r="E36" i="33" s="1"/>
  <c r="G36" i="33" s="1"/>
  <c r="I36" i="33" s="1"/>
  <c r="Y6" i="1"/>
  <c r="Y7" i="1" s="1"/>
  <c r="A126" i="82"/>
  <c r="H111" i="82"/>
  <c r="D126" i="82" s="1"/>
  <c r="D127" i="82" s="1"/>
  <c r="D22" i="81"/>
  <c r="N7" i="1"/>
  <c r="B13" i="3"/>
  <c r="R19" i="6" s="1"/>
  <c r="H103" i="82"/>
  <c r="D120" i="82" s="1"/>
  <c r="K120" i="82" s="1"/>
  <c r="D23" i="81"/>
  <c r="I524" i="83"/>
  <c r="I523" i="83"/>
  <c r="I522" i="83"/>
  <c r="I521" i="83"/>
  <c r="I520" i="83"/>
  <c r="I519" i="83"/>
  <c r="I518" i="83"/>
  <c r="I517" i="83"/>
  <c r="I516" i="83"/>
  <c r="I515" i="83"/>
  <c r="I514" i="83"/>
  <c r="I513" i="83"/>
  <c r="I512" i="83"/>
  <c r="I511" i="83"/>
  <c r="I510" i="83"/>
  <c r="I509" i="83"/>
  <c r="I508" i="83"/>
  <c r="I507" i="83"/>
  <c r="I506" i="83"/>
  <c r="I505" i="83"/>
  <c r="I504" i="83"/>
  <c r="I503" i="83"/>
  <c r="I502" i="83"/>
  <c r="I501" i="83"/>
  <c r="I500" i="83"/>
  <c r="I499" i="83"/>
  <c r="I498" i="83"/>
  <c r="I497" i="83"/>
  <c r="I496" i="83"/>
  <c r="I495" i="83"/>
  <c r="I494" i="83"/>
  <c r="I493" i="83"/>
  <c r="I492" i="83"/>
  <c r="I491" i="83"/>
  <c r="I490" i="83"/>
  <c r="I489" i="83"/>
  <c r="I488" i="83"/>
  <c r="I487" i="83"/>
  <c r="I486" i="83"/>
  <c r="I485" i="83"/>
  <c r="I483" i="83"/>
  <c r="I481" i="83"/>
  <c r="I479" i="83"/>
  <c r="I477" i="83"/>
  <c r="I475" i="83"/>
  <c r="I473" i="83"/>
  <c r="I471" i="83"/>
  <c r="I469" i="83"/>
  <c r="I468" i="83"/>
  <c r="I467" i="83"/>
  <c r="I466" i="83"/>
  <c r="I465" i="83"/>
  <c r="I464" i="83"/>
  <c r="I463" i="83"/>
  <c r="I462" i="83"/>
  <c r="I461" i="83"/>
  <c r="I460" i="83"/>
  <c r="I459" i="83"/>
  <c r="I458" i="83"/>
  <c r="I457" i="83"/>
  <c r="I456" i="83"/>
  <c r="I455" i="83"/>
  <c r="I454" i="83"/>
  <c r="I453" i="83"/>
  <c r="I452" i="83"/>
  <c r="I451" i="83"/>
  <c r="I450" i="83"/>
  <c r="I449" i="83"/>
  <c r="I448" i="83"/>
  <c r="I447" i="83"/>
  <c r="I446" i="83"/>
  <c r="I445" i="83"/>
  <c r="I444" i="83"/>
  <c r="I443" i="83"/>
  <c r="I442" i="83"/>
  <c r="I441" i="83"/>
  <c r="I440" i="83"/>
  <c r="I439" i="83"/>
  <c r="I438" i="83"/>
  <c r="I437" i="83"/>
  <c r="I436" i="83"/>
  <c r="I435" i="83"/>
  <c r="I434" i="83"/>
  <c r="I433" i="83"/>
  <c r="I432" i="83"/>
  <c r="I431" i="83"/>
  <c r="I430" i="83"/>
  <c r="I429" i="83"/>
  <c r="I428" i="83"/>
  <c r="I427" i="83"/>
  <c r="I426" i="83"/>
  <c r="I425" i="83"/>
  <c r="I484" i="83"/>
  <c r="I482" i="83"/>
  <c r="I480" i="83"/>
  <c r="I478" i="83"/>
  <c r="I476" i="83"/>
  <c r="I474" i="83"/>
  <c r="I472" i="83"/>
  <c r="I470" i="83"/>
  <c r="I423" i="83"/>
  <c r="I421" i="83"/>
  <c r="I419" i="83"/>
  <c r="I417" i="83"/>
  <c r="I415" i="83"/>
  <c r="I413" i="83"/>
  <c r="I411" i="83"/>
  <c r="I409" i="83"/>
  <c r="I407" i="83"/>
  <c r="I405" i="83"/>
  <c r="I403" i="83"/>
  <c r="I401" i="83"/>
  <c r="I424" i="83"/>
  <c r="I422" i="83"/>
  <c r="I420" i="83"/>
  <c r="I418" i="83"/>
  <c r="I416" i="83"/>
  <c r="I414" i="83"/>
  <c r="I412" i="83"/>
  <c r="I410" i="83"/>
  <c r="I408" i="83"/>
  <c r="I406" i="83"/>
  <c r="I404" i="83"/>
  <c r="I402" i="83"/>
  <c r="I400" i="83"/>
  <c r="I399" i="83"/>
  <c r="I398" i="83"/>
  <c r="I397" i="83"/>
  <c r="I396" i="83"/>
  <c r="I395" i="83"/>
  <c r="I394" i="83"/>
  <c r="I393" i="83"/>
  <c r="I392" i="83"/>
  <c r="I391" i="83"/>
  <c r="I390" i="83"/>
  <c r="I389" i="83"/>
  <c r="I388" i="83"/>
  <c r="I387" i="83"/>
  <c r="I386" i="83"/>
  <c r="I385" i="83"/>
  <c r="I384" i="83"/>
  <c r="I383" i="83"/>
  <c r="I382" i="83"/>
  <c r="I381" i="83"/>
  <c r="I380" i="83"/>
  <c r="I379" i="83"/>
  <c r="I378" i="83"/>
  <c r="I377" i="83"/>
  <c r="I376" i="83"/>
  <c r="I375" i="83"/>
  <c r="I374" i="83"/>
  <c r="I373" i="83"/>
  <c r="I372" i="83"/>
  <c r="I371" i="83"/>
  <c r="I370" i="83"/>
  <c r="I369" i="83"/>
  <c r="I368" i="83"/>
  <c r="I367" i="83"/>
  <c r="I366" i="83"/>
  <c r="I365" i="83"/>
  <c r="I364" i="83"/>
  <c r="I363" i="83"/>
  <c r="I362" i="83"/>
  <c r="I361" i="83"/>
  <c r="I360" i="83"/>
  <c r="I359" i="83"/>
  <c r="I358" i="83"/>
  <c r="I357" i="83"/>
  <c r="I356" i="83"/>
  <c r="I355" i="83"/>
  <c r="I354" i="83"/>
  <c r="I353" i="83"/>
  <c r="I352" i="83"/>
  <c r="I351" i="83"/>
  <c r="I350" i="83"/>
  <c r="I349" i="83"/>
  <c r="I348" i="83"/>
  <c r="I347" i="83"/>
  <c r="I346" i="83"/>
  <c r="I345" i="83"/>
  <c r="I344" i="83"/>
  <c r="I343" i="83"/>
  <c r="I342" i="83"/>
  <c r="I341" i="83"/>
  <c r="I340" i="83"/>
  <c r="I339" i="83"/>
  <c r="I338" i="83"/>
  <c r="I337" i="83"/>
  <c r="I336" i="83"/>
  <c r="I335" i="83"/>
  <c r="I334" i="83"/>
  <c r="I333" i="83"/>
  <c r="I332" i="83"/>
  <c r="I331" i="83"/>
  <c r="I330" i="83"/>
  <c r="I329" i="83"/>
  <c r="I328" i="83"/>
  <c r="I327" i="83"/>
  <c r="I325" i="83"/>
  <c r="I323" i="83"/>
  <c r="I321" i="83"/>
  <c r="I319" i="83"/>
  <c r="I317" i="83"/>
  <c r="I315" i="83"/>
  <c r="I313" i="83"/>
  <c r="I311" i="83"/>
  <c r="I309" i="83"/>
  <c r="I307" i="83"/>
  <c r="I305" i="83"/>
  <c r="I303" i="83"/>
  <c r="I301" i="83"/>
  <c r="I299" i="83"/>
  <c r="I297" i="83"/>
  <c r="I295" i="83"/>
  <c r="I293" i="83"/>
  <c r="I292" i="83"/>
  <c r="I291" i="83"/>
  <c r="I290" i="83"/>
  <c r="I289" i="83"/>
  <c r="I288" i="83"/>
  <c r="I287" i="83"/>
  <c r="I286" i="83"/>
  <c r="I285" i="83"/>
  <c r="I284" i="83"/>
  <c r="I283" i="83"/>
  <c r="I282" i="83"/>
  <c r="I281" i="83"/>
  <c r="I280" i="83"/>
  <c r="I279" i="83"/>
  <c r="I278" i="83"/>
  <c r="I277" i="83"/>
  <c r="I276" i="83"/>
  <c r="I275" i="83"/>
  <c r="I274" i="83"/>
  <c r="I273" i="83"/>
  <c r="I272" i="83"/>
  <c r="I271" i="83"/>
  <c r="I270" i="83"/>
  <c r="I269" i="83"/>
  <c r="I268" i="83"/>
  <c r="I267" i="83"/>
  <c r="I266" i="83"/>
  <c r="I265" i="83"/>
  <c r="I264" i="83"/>
  <c r="I263" i="83"/>
  <c r="I262" i="83"/>
  <c r="I261" i="83"/>
  <c r="I260" i="83"/>
  <c r="I259" i="83"/>
  <c r="I258" i="83"/>
  <c r="I257" i="83"/>
  <c r="I256" i="83"/>
  <c r="I255" i="83"/>
  <c r="I254" i="83"/>
  <c r="I253" i="83"/>
  <c r="I252" i="83"/>
  <c r="I251" i="83"/>
  <c r="I250" i="83"/>
  <c r="I249" i="83"/>
  <c r="I248" i="83"/>
  <c r="I247" i="83"/>
  <c r="I246" i="83"/>
  <c r="I245" i="83"/>
  <c r="I244" i="83"/>
  <c r="I243" i="83"/>
  <c r="I242" i="83"/>
  <c r="I241" i="83"/>
  <c r="I240" i="83"/>
  <c r="I239" i="83"/>
  <c r="I238" i="83"/>
  <c r="I237" i="83"/>
  <c r="I236" i="83"/>
  <c r="I235" i="83"/>
  <c r="I234" i="83"/>
  <c r="I233" i="83"/>
  <c r="I232" i="83"/>
  <c r="I231" i="83"/>
  <c r="I230" i="83"/>
  <c r="I229" i="83"/>
  <c r="I228" i="83"/>
  <c r="I227" i="83"/>
  <c r="I226" i="83"/>
  <c r="I326" i="83"/>
  <c r="I324" i="83"/>
  <c r="I322" i="83"/>
  <c r="I320" i="83"/>
  <c r="I318" i="83"/>
  <c r="I316" i="83"/>
  <c r="I314" i="83"/>
  <c r="I312" i="83"/>
  <c r="I310" i="83"/>
  <c r="I308" i="83"/>
  <c r="I306" i="83"/>
  <c r="I304" i="83"/>
  <c r="I302" i="83"/>
  <c r="I300" i="83"/>
  <c r="I298" i="83"/>
  <c r="I296" i="83"/>
  <c r="I294" i="83"/>
  <c r="I225" i="83"/>
  <c r="I223" i="83"/>
  <c r="I221" i="83"/>
  <c r="I219" i="83"/>
  <c r="I217" i="83"/>
  <c r="I215" i="83"/>
  <c r="I213" i="83"/>
  <c r="I211" i="83"/>
  <c r="I209" i="83"/>
  <c r="I207" i="83"/>
  <c r="I205" i="83"/>
  <c r="I203" i="83"/>
  <c r="I201" i="83"/>
  <c r="I199" i="83"/>
  <c r="I197" i="83"/>
  <c r="I195" i="83"/>
  <c r="I193" i="83"/>
  <c r="I191" i="83"/>
  <c r="I189" i="83"/>
  <c r="I187" i="83"/>
  <c r="I224" i="83"/>
  <c r="I222" i="83"/>
  <c r="I220" i="83"/>
  <c r="I218" i="83"/>
  <c r="I216" i="83"/>
  <c r="I214" i="83"/>
  <c r="I212" i="83"/>
  <c r="I210" i="83"/>
  <c r="I208" i="83"/>
  <c r="I206" i="83"/>
  <c r="I204" i="83"/>
  <c r="I202" i="83"/>
  <c r="I200" i="83"/>
  <c r="I198" i="83"/>
  <c r="I196" i="83"/>
  <c r="I194" i="83"/>
  <c r="I192" i="83"/>
  <c r="I190" i="83"/>
  <c r="I188" i="83"/>
  <c r="I186" i="83"/>
  <c r="I185" i="83"/>
  <c r="I184" i="83"/>
  <c r="I183" i="83"/>
  <c r="I182" i="83"/>
  <c r="I181" i="83"/>
  <c r="I180" i="83"/>
  <c r="I179" i="83"/>
  <c r="I178" i="83"/>
  <c r="I177" i="83"/>
  <c r="I176" i="83"/>
  <c r="I175" i="83"/>
  <c r="I174" i="83"/>
  <c r="I173" i="83"/>
  <c r="I172" i="83"/>
  <c r="I171" i="83"/>
  <c r="I170" i="83"/>
  <c r="I169" i="83"/>
  <c r="I168" i="83"/>
  <c r="I167" i="83"/>
  <c r="I166" i="83"/>
  <c r="I165" i="83"/>
  <c r="I164" i="83"/>
  <c r="I163" i="83"/>
  <c r="I162" i="83"/>
  <c r="I161" i="83"/>
  <c r="I160" i="83"/>
  <c r="I159" i="83"/>
  <c r="I158" i="83"/>
  <c r="I157" i="83"/>
  <c r="I156" i="83"/>
  <c r="I155" i="83"/>
  <c r="I154" i="83"/>
  <c r="I153" i="83"/>
  <c r="I152" i="83"/>
  <c r="I151" i="83"/>
  <c r="I150" i="83"/>
  <c r="I149" i="83"/>
  <c r="I148" i="83"/>
  <c r="I147" i="83"/>
  <c r="I146" i="83"/>
  <c r="I145" i="83"/>
  <c r="I144" i="83"/>
  <c r="I143" i="83"/>
  <c r="I142" i="83"/>
  <c r="I141" i="83"/>
  <c r="I140" i="83"/>
  <c r="I139" i="83"/>
  <c r="I138" i="83"/>
  <c r="I137" i="83"/>
  <c r="I136" i="83"/>
  <c r="I135" i="83"/>
  <c r="I134" i="83"/>
  <c r="I133" i="83"/>
  <c r="I132" i="83"/>
  <c r="I131" i="83"/>
  <c r="I130" i="83"/>
  <c r="I129" i="83"/>
  <c r="I128" i="83"/>
  <c r="I127" i="83"/>
  <c r="I126" i="83"/>
  <c r="I125" i="83"/>
  <c r="I124" i="83"/>
  <c r="I123" i="83"/>
  <c r="I122" i="83"/>
  <c r="I121" i="83"/>
  <c r="I120" i="83"/>
  <c r="I119" i="83"/>
  <c r="I118" i="83"/>
  <c r="I117" i="83"/>
  <c r="I116" i="83"/>
  <c r="I115" i="83"/>
  <c r="I114" i="83"/>
  <c r="I113" i="83"/>
  <c r="I112" i="83"/>
  <c r="I111" i="83"/>
  <c r="I110" i="83"/>
  <c r="I109" i="83"/>
  <c r="I108" i="83"/>
  <c r="I107" i="83"/>
  <c r="I106" i="83"/>
  <c r="I105" i="83"/>
  <c r="I25" i="83"/>
  <c r="E26" i="83"/>
  <c r="E27" i="83"/>
  <c r="E29" i="83"/>
  <c r="E31" i="83"/>
  <c r="E32" i="83"/>
  <c r="E33" i="83"/>
  <c r="E34" i="83"/>
  <c r="I34" i="83"/>
  <c r="E35" i="83"/>
  <c r="I35" i="83"/>
  <c r="E36" i="83"/>
  <c r="I36" i="83"/>
  <c r="E37" i="83"/>
  <c r="I37" i="83"/>
  <c r="E38" i="83"/>
  <c r="I38" i="83"/>
  <c r="E39" i="83"/>
  <c r="I39" i="83"/>
  <c r="E40" i="83"/>
  <c r="I40" i="83"/>
  <c r="E41" i="83"/>
  <c r="I41" i="83"/>
  <c r="E42" i="83"/>
  <c r="I42" i="83"/>
  <c r="E43" i="83"/>
  <c r="I43" i="83"/>
  <c r="E44" i="83"/>
  <c r="I44" i="83"/>
  <c r="E45" i="83"/>
  <c r="I45" i="83"/>
  <c r="E46" i="83"/>
  <c r="I46" i="83"/>
  <c r="E47" i="83"/>
  <c r="I47" i="83"/>
  <c r="E48" i="83"/>
  <c r="I48" i="83"/>
  <c r="E49" i="83"/>
  <c r="I49" i="83"/>
  <c r="E50" i="83"/>
  <c r="I50" i="83"/>
  <c r="C51" i="83"/>
  <c r="I51" i="83"/>
  <c r="E52" i="83"/>
  <c r="C53" i="83"/>
  <c r="I53" i="83"/>
  <c r="E54" i="83"/>
  <c r="C55" i="83"/>
  <c r="I55" i="83"/>
  <c r="E56" i="83"/>
  <c r="C57" i="83"/>
  <c r="I57" i="83"/>
  <c r="E58" i="83"/>
  <c r="C59" i="83"/>
  <c r="I59" i="83"/>
  <c r="E60" i="83"/>
  <c r="C61" i="83"/>
  <c r="I61" i="83"/>
  <c r="E62" i="83"/>
  <c r="C63" i="83"/>
  <c r="I63" i="83"/>
  <c r="E64" i="83"/>
  <c r="C65" i="83"/>
  <c r="I65" i="83"/>
  <c r="E66" i="83"/>
  <c r="C67" i="83"/>
  <c r="I67" i="83"/>
  <c r="E68" i="83"/>
  <c r="C69" i="83"/>
  <c r="I69" i="83"/>
  <c r="E70" i="83"/>
  <c r="C71" i="83"/>
  <c r="I71" i="83"/>
  <c r="E72" i="83"/>
  <c r="C73" i="83"/>
  <c r="I73" i="83"/>
  <c r="E74" i="83"/>
  <c r="C75" i="83"/>
  <c r="I75" i="83"/>
  <c r="E76" i="83"/>
  <c r="C77" i="83"/>
  <c r="I77" i="83"/>
  <c r="E78" i="83"/>
  <c r="C79" i="83"/>
  <c r="I79" i="83"/>
  <c r="E80" i="83"/>
  <c r="C81" i="83"/>
  <c r="I81" i="83"/>
  <c r="E82" i="83"/>
  <c r="C83" i="83"/>
  <c r="I83" i="83"/>
  <c r="E84" i="83"/>
  <c r="C85" i="83"/>
  <c r="I85" i="83"/>
  <c r="E86" i="83"/>
  <c r="C87" i="83"/>
  <c r="I87" i="83"/>
  <c r="E88" i="83"/>
  <c r="C89" i="83"/>
  <c r="I89" i="83"/>
  <c r="E90" i="83"/>
  <c r="C91" i="83"/>
  <c r="I91" i="83"/>
  <c r="E92" i="83"/>
  <c r="C93" i="83"/>
  <c r="I93" i="83"/>
  <c r="E94" i="83"/>
  <c r="C95" i="83"/>
  <c r="I95" i="83"/>
  <c r="E96" i="83"/>
  <c r="C97" i="83"/>
  <c r="I97" i="83"/>
  <c r="E98" i="83"/>
  <c r="C99" i="83"/>
  <c r="I99" i="83"/>
  <c r="E100" i="83"/>
  <c r="C101" i="83"/>
  <c r="I101" i="83"/>
  <c r="C103" i="83"/>
  <c r="I103" i="83"/>
  <c r="C105"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25" i="83"/>
  <c r="I26" i="83"/>
  <c r="I27" i="83"/>
  <c r="E28" i="83"/>
  <c r="E30" i="83"/>
  <c r="E524" i="83"/>
  <c r="E523" i="83"/>
  <c r="E522" i="83"/>
  <c r="E521" i="83"/>
  <c r="E520" i="83"/>
  <c r="E519" i="83"/>
  <c r="E518" i="83"/>
  <c r="E517" i="83"/>
  <c r="E516" i="83"/>
  <c r="E515" i="83"/>
  <c r="E514" i="83"/>
  <c r="E513" i="83"/>
  <c r="E512" i="83"/>
  <c r="E511" i="83"/>
  <c r="E510" i="83"/>
  <c r="E509" i="83"/>
  <c r="E508" i="83"/>
  <c r="E507" i="83"/>
  <c r="E506" i="83"/>
  <c r="E505" i="83"/>
  <c r="E504" i="83"/>
  <c r="E503" i="83"/>
  <c r="E502" i="83"/>
  <c r="E501" i="83"/>
  <c r="E500" i="83"/>
  <c r="E499" i="83"/>
  <c r="E498" i="83"/>
  <c r="E497" i="83"/>
  <c r="E496" i="83"/>
  <c r="E495" i="83"/>
  <c r="E494" i="83"/>
  <c r="E493" i="83"/>
  <c r="E492" i="83"/>
  <c r="E491" i="83"/>
  <c r="E490" i="83"/>
  <c r="E489" i="83"/>
  <c r="E488" i="83"/>
  <c r="E487" i="83"/>
  <c r="E486" i="83"/>
  <c r="E484" i="83"/>
  <c r="E482" i="83"/>
  <c r="E480" i="83"/>
  <c r="E478" i="83"/>
  <c r="E476" i="83"/>
  <c r="E474" i="83"/>
  <c r="E472" i="83"/>
  <c r="E470" i="83"/>
  <c r="E469" i="83"/>
  <c r="E468" i="83"/>
  <c r="E467" i="83"/>
  <c r="E466" i="83"/>
  <c r="E465" i="83"/>
  <c r="E464" i="83"/>
  <c r="E463" i="83"/>
  <c r="E462" i="83"/>
  <c r="E461" i="83"/>
  <c r="E460" i="83"/>
  <c r="E459" i="83"/>
  <c r="E458" i="83"/>
  <c r="E457" i="83"/>
  <c r="E456" i="83"/>
  <c r="E455" i="83"/>
  <c r="E454" i="83"/>
  <c r="E453" i="83"/>
  <c r="E452" i="83"/>
  <c r="E451" i="83"/>
  <c r="E450" i="83"/>
  <c r="E449" i="83"/>
  <c r="E448" i="83"/>
  <c r="E447" i="83"/>
  <c r="E446" i="83"/>
  <c r="E445" i="83"/>
  <c r="E444" i="83"/>
  <c r="E443" i="83"/>
  <c r="E442" i="83"/>
  <c r="E441" i="83"/>
  <c r="E440" i="83"/>
  <c r="E439" i="83"/>
  <c r="E438" i="83"/>
  <c r="E437" i="83"/>
  <c r="E436" i="83"/>
  <c r="E435" i="83"/>
  <c r="E434" i="83"/>
  <c r="E433" i="83"/>
  <c r="E432" i="83"/>
  <c r="E431" i="83"/>
  <c r="E430" i="83"/>
  <c r="E429" i="83"/>
  <c r="E428" i="83"/>
  <c r="E427" i="83"/>
  <c r="E426" i="83"/>
  <c r="E425" i="83"/>
  <c r="E485" i="83"/>
  <c r="E483" i="83"/>
  <c r="E481" i="83"/>
  <c r="E479" i="83"/>
  <c r="E477" i="83"/>
  <c r="E475" i="83"/>
  <c r="E473" i="83"/>
  <c r="E471" i="83"/>
  <c r="E424" i="83"/>
  <c r="E422" i="83"/>
  <c r="E420" i="83"/>
  <c r="E418" i="83"/>
  <c r="E416" i="83"/>
  <c r="E414" i="83"/>
  <c r="E412" i="83"/>
  <c r="E410" i="83"/>
  <c r="E408" i="83"/>
  <c r="E406" i="83"/>
  <c r="E404" i="83"/>
  <c r="E402" i="83"/>
  <c r="E423" i="83"/>
  <c r="E421" i="83"/>
  <c r="E419" i="83"/>
  <c r="E417" i="83"/>
  <c r="E415" i="83"/>
  <c r="E413" i="83"/>
  <c r="E411" i="83"/>
  <c r="E409" i="83"/>
  <c r="E407" i="83"/>
  <c r="E405" i="83"/>
  <c r="E403" i="83"/>
  <c r="E401" i="83"/>
  <c r="E400" i="83"/>
  <c r="E399" i="83"/>
  <c r="E398" i="83"/>
  <c r="E397" i="83"/>
  <c r="E396" i="83"/>
  <c r="E395" i="83"/>
  <c r="E394" i="83"/>
  <c r="E393" i="83"/>
  <c r="E392" i="83"/>
  <c r="E391" i="83"/>
  <c r="E390" i="83"/>
  <c r="E389" i="83"/>
  <c r="E388" i="83"/>
  <c r="E387" i="83"/>
  <c r="E386" i="83"/>
  <c r="E385" i="83"/>
  <c r="E384" i="83"/>
  <c r="E383" i="83"/>
  <c r="E382" i="83"/>
  <c r="E381" i="83"/>
  <c r="E380" i="83"/>
  <c r="E379" i="83"/>
  <c r="E378" i="83"/>
  <c r="E377" i="83"/>
  <c r="E376" i="83"/>
  <c r="E375" i="83"/>
  <c r="E374" i="83"/>
  <c r="E373" i="83"/>
  <c r="E372" i="83"/>
  <c r="E371" i="83"/>
  <c r="E370" i="83"/>
  <c r="E369" i="83"/>
  <c r="E368" i="83"/>
  <c r="E367" i="83"/>
  <c r="E366" i="83"/>
  <c r="E365" i="83"/>
  <c r="E364" i="83"/>
  <c r="E363" i="83"/>
  <c r="E362" i="83"/>
  <c r="E361" i="83"/>
  <c r="E360" i="83"/>
  <c r="E359" i="83"/>
  <c r="E358" i="83"/>
  <c r="E357" i="83"/>
  <c r="E356" i="83"/>
  <c r="E355" i="83"/>
  <c r="E354" i="83"/>
  <c r="E353" i="83"/>
  <c r="E352" i="83"/>
  <c r="E351" i="83"/>
  <c r="E350" i="83"/>
  <c r="E349" i="83"/>
  <c r="E348" i="83"/>
  <c r="E347" i="83"/>
  <c r="E346" i="83"/>
  <c r="E345" i="83"/>
  <c r="E344" i="83"/>
  <c r="E343" i="83"/>
  <c r="E342" i="83"/>
  <c r="E341" i="83"/>
  <c r="E340" i="83"/>
  <c r="E339" i="83"/>
  <c r="E338" i="83"/>
  <c r="E337" i="83"/>
  <c r="E336" i="83"/>
  <c r="E335" i="83"/>
  <c r="E334" i="83"/>
  <c r="E333" i="83"/>
  <c r="E332" i="83"/>
  <c r="E331" i="83"/>
  <c r="E330" i="83"/>
  <c r="E329" i="83"/>
  <c r="E328" i="83"/>
  <c r="E326" i="83"/>
  <c r="E324" i="83"/>
  <c r="E322" i="83"/>
  <c r="E320" i="83"/>
  <c r="E318" i="83"/>
  <c r="E316" i="83"/>
  <c r="E314" i="83"/>
  <c r="E312" i="83"/>
  <c r="E310" i="83"/>
  <c r="E308" i="83"/>
  <c r="E306" i="83"/>
  <c r="E304" i="83"/>
  <c r="E302" i="83"/>
  <c r="E300" i="83"/>
  <c r="E298" i="83"/>
  <c r="E296" i="83"/>
  <c r="E294" i="83"/>
  <c r="E293" i="83"/>
  <c r="E292" i="83"/>
  <c r="E291" i="83"/>
  <c r="E290" i="83"/>
  <c r="E289" i="83"/>
  <c r="E288" i="83"/>
  <c r="E287" i="83"/>
  <c r="E286" i="83"/>
  <c r="E285" i="83"/>
  <c r="E284" i="83"/>
  <c r="E283" i="83"/>
  <c r="E282" i="83"/>
  <c r="E281" i="83"/>
  <c r="E280" i="83"/>
  <c r="E279" i="83"/>
  <c r="E278" i="83"/>
  <c r="E277" i="83"/>
  <c r="E276" i="83"/>
  <c r="E275" i="83"/>
  <c r="E274" i="83"/>
  <c r="E273" i="83"/>
  <c r="E272" i="83"/>
  <c r="E271" i="83"/>
  <c r="E270" i="83"/>
  <c r="E269" i="83"/>
  <c r="E268" i="83"/>
  <c r="E267" i="83"/>
  <c r="E266" i="83"/>
  <c r="E265" i="83"/>
  <c r="E264" i="83"/>
  <c r="E263" i="83"/>
  <c r="E262" i="83"/>
  <c r="E261" i="83"/>
  <c r="E260" i="83"/>
  <c r="E259" i="83"/>
  <c r="E258" i="83"/>
  <c r="E257" i="83"/>
  <c r="E256" i="83"/>
  <c r="E255" i="83"/>
  <c r="E254" i="83"/>
  <c r="E253" i="83"/>
  <c r="E252" i="83"/>
  <c r="E251" i="83"/>
  <c r="E250" i="83"/>
  <c r="E249" i="83"/>
  <c r="E248" i="83"/>
  <c r="E247" i="83"/>
  <c r="E246" i="83"/>
  <c r="E245" i="83"/>
  <c r="E244" i="83"/>
  <c r="E243" i="83"/>
  <c r="E242" i="83"/>
  <c r="E241" i="83"/>
  <c r="E240" i="83"/>
  <c r="E239" i="83"/>
  <c r="E238" i="83"/>
  <c r="E237" i="83"/>
  <c r="E236" i="83"/>
  <c r="E235" i="83"/>
  <c r="E234" i="83"/>
  <c r="E233" i="83"/>
  <c r="E232" i="83"/>
  <c r="E231" i="83"/>
  <c r="E230" i="83"/>
  <c r="E229" i="83"/>
  <c r="E228" i="83"/>
  <c r="E227" i="83"/>
  <c r="E226" i="83"/>
  <c r="E327" i="83"/>
  <c r="E325" i="83"/>
  <c r="E323" i="83"/>
  <c r="E321" i="83"/>
  <c r="E319" i="83"/>
  <c r="E317" i="83"/>
  <c r="E315" i="83"/>
  <c r="E313" i="83"/>
  <c r="E311" i="83"/>
  <c r="E309" i="83"/>
  <c r="E307" i="83"/>
  <c r="E305" i="83"/>
  <c r="E303" i="83"/>
  <c r="E301" i="83"/>
  <c r="E299" i="83"/>
  <c r="E297" i="83"/>
  <c r="E295" i="83"/>
  <c r="E224" i="83"/>
  <c r="E222" i="83"/>
  <c r="E220" i="83"/>
  <c r="E218" i="83"/>
  <c r="E216" i="83"/>
  <c r="E214" i="83"/>
  <c r="E212" i="83"/>
  <c r="E210" i="83"/>
  <c r="E208" i="83"/>
  <c r="E206" i="83"/>
  <c r="E204" i="83"/>
  <c r="E202" i="83"/>
  <c r="E200" i="83"/>
  <c r="E198" i="83"/>
  <c r="E196" i="83"/>
  <c r="E194" i="83"/>
  <c r="E192" i="83"/>
  <c r="E190" i="83"/>
  <c r="E188" i="83"/>
  <c r="E225" i="83"/>
  <c r="E223" i="83"/>
  <c r="E221" i="83"/>
  <c r="E219" i="83"/>
  <c r="E217" i="83"/>
  <c r="E215" i="83"/>
  <c r="E213" i="83"/>
  <c r="E211" i="83"/>
  <c r="E209" i="83"/>
  <c r="E207" i="83"/>
  <c r="E205" i="83"/>
  <c r="E203" i="83"/>
  <c r="E201" i="83"/>
  <c r="E199" i="83"/>
  <c r="E197" i="83"/>
  <c r="E195" i="83"/>
  <c r="E193" i="83"/>
  <c r="E191" i="83"/>
  <c r="E189" i="83"/>
  <c r="E187" i="83"/>
  <c r="E186" i="83"/>
  <c r="E185" i="83"/>
  <c r="E184" i="83"/>
  <c r="E183" i="83"/>
  <c r="E182" i="83"/>
  <c r="E181" i="83"/>
  <c r="E180" i="83"/>
  <c r="E179" i="83"/>
  <c r="E178" i="83"/>
  <c r="E177" i="83"/>
  <c r="E176" i="83"/>
  <c r="E175" i="83"/>
  <c r="E174" i="83"/>
  <c r="E173" i="83"/>
  <c r="E172" i="83"/>
  <c r="E171" i="83"/>
  <c r="E170" i="83"/>
  <c r="E169" i="83"/>
  <c r="E168" i="83"/>
  <c r="E167" i="83"/>
  <c r="E166" i="83"/>
  <c r="E165" i="83"/>
  <c r="E164" i="83"/>
  <c r="E163" i="83"/>
  <c r="E162" i="83"/>
  <c r="E161" i="83"/>
  <c r="E160" i="83"/>
  <c r="E159" i="83"/>
  <c r="E158" i="83"/>
  <c r="E157" i="83"/>
  <c r="E156" i="83"/>
  <c r="E155" i="83"/>
  <c r="E154" i="83"/>
  <c r="E153" i="83"/>
  <c r="E152" i="83"/>
  <c r="E151" i="83"/>
  <c r="E150" i="83"/>
  <c r="E149" i="83"/>
  <c r="E148" i="83"/>
  <c r="E147" i="83"/>
  <c r="E146" i="83"/>
  <c r="E145" i="83"/>
  <c r="E144" i="83"/>
  <c r="E143" i="83"/>
  <c r="E142" i="83"/>
  <c r="E141" i="83"/>
  <c r="E140" i="83"/>
  <c r="E139" i="83"/>
  <c r="E138" i="83"/>
  <c r="E137" i="83"/>
  <c r="E136" i="83"/>
  <c r="E135" i="83"/>
  <c r="E134" i="83"/>
  <c r="E6" i="83"/>
  <c r="F6" i="83" s="1"/>
  <c r="E8" i="83"/>
  <c r="G116" i="83" s="1"/>
  <c r="E10" i="83"/>
  <c r="F10" i="83" s="1"/>
  <c r="G10" i="83" s="1"/>
  <c r="H10" i="83" s="1"/>
  <c r="I10" i="83" s="1"/>
  <c r="J10" i="83" s="1"/>
  <c r="K10" i="83" s="1"/>
  <c r="L10" i="83" s="1"/>
  <c r="M10" i="83" s="1"/>
  <c r="N10" i="83" s="1"/>
  <c r="O10" i="83" s="1"/>
  <c r="P10" i="83" s="1"/>
  <c r="Q10" i="83" s="1"/>
  <c r="R10" i="83" s="1"/>
  <c r="S10" i="83" s="1"/>
  <c r="C25" i="83"/>
  <c r="C26" i="83"/>
  <c r="C28" i="83"/>
  <c r="C29" i="83"/>
  <c r="C30" i="83"/>
  <c r="C31" i="83"/>
  <c r="C32" i="83"/>
  <c r="C33" i="83"/>
  <c r="C34" i="83"/>
  <c r="C35" i="83"/>
  <c r="C36" i="83"/>
  <c r="C37" i="83"/>
  <c r="C38" i="83"/>
  <c r="C39" i="83"/>
  <c r="G39" i="83"/>
  <c r="C40" i="83"/>
  <c r="G40" i="83"/>
  <c r="C41" i="83"/>
  <c r="G41" i="83"/>
  <c r="C42" i="83"/>
  <c r="G42" i="83"/>
  <c r="C43" i="83"/>
  <c r="G43" i="83"/>
  <c r="C44" i="83"/>
  <c r="G44" i="83"/>
  <c r="C45" i="83"/>
  <c r="G45" i="83"/>
  <c r="C46" i="83"/>
  <c r="G46" i="83"/>
  <c r="C47" i="83"/>
  <c r="G47" i="83"/>
  <c r="C48" i="83"/>
  <c r="G48" i="83"/>
  <c r="C49" i="83"/>
  <c r="G49" i="83"/>
  <c r="C50" i="83"/>
  <c r="G50" i="83"/>
  <c r="E51" i="83"/>
  <c r="C52" i="83"/>
  <c r="I52" i="83"/>
  <c r="E53" i="83"/>
  <c r="C54" i="83"/>
  <c r="I54" i="83"/>
  <c r="E55" i="83"/>
  <c r="C56" i="83"/>
  <c r="I56" i="83"/>
  <c r="E57" i="83"/>
  <c r="C58" i="83"/>
  <c r="I58" i="83"/>
  <c r="E59" i="83"/>
  <c r="C60" i="83"/>
  <c r="I60" i="83"/>
  <c r="E61" i="83"/>
  <c r="C62" i="83"/>
  <c r="I62" i="83"/>
  <c r="E63" i="83"/>
  <c r="C64" i="83"/>
  <c r="I64" i="83"/>
  <c r="E65" i="83"/>
  <c r="C66" i="83"/>
  <c r="I66" i="83"/>
  <c r="E67" i="83"/>
  <c r="C68" i="83"/>
  <c r="I68" i="83"/>
  <c r="E69" i="83"/>
  <c r="C70" i="83"/>
  <c r="I70" i="83"/>
  <c r="E71" i="83"/>
  <c r="C72" i="83"/>
  <c r="I72" i="83"/>
  <c r="E73" i="83"/>
  <c r="C74" i="83"/>
  <c r="I74" i="83"/>
  <c r="E75" i="83"/>
  <c r="C76" i="83"/>
  <c r="I76" i="83"/>
  <c r="E77" i="83"/>
  <c r="C78" i="83"/>
  <c r="I78" i="83"/>
  <c r="E79" i="83"/>
  <c r="C80" i="83"/>
  <c r="I80" i="83"/>
  <c r="E81" i="83"/>
  <c r="C82" i="83"/>
  <c r="I82" i="83"/>
  <c r="E83" i="83"/>
  <c r="C84" i="83"/>
  <c r="I84" i="83"/>
  <c r="E85" i="83"/>
  <c r="C86" i="83"/>
  <c r="I86" i="83"/>
  <c r="E87" i="83"/>
  <c r="C88" i="83"/>
  <c r="I88" i="83"/>
  <c r="E89" i="83"/>
  <c r="C90" i="83"/>
  <c r="I90" i="83"/>
  <c r="E91" i="83"/>
  <c r="C92" i="83"/>
  <c r="I92" i="83"/>
  <c r="E93" i="83"/>
  <c r="C94" i="83"/>
  <c r="I94" i="83"/>
  <c r="E95" i="83"/>
  <c r="C96" i="83"/>
  <c r="I96" i="83"/>
  <c r="E97" i="83"/>
  <c r="C98" i="83"/>
  <c r="I98" i="83"/>
  <c r="E99" i="83"/>
  <c r="C100" i="83"/>
  <c r="I100" i="83"/>
  <c r="E101" i="83"/>
  <c r="C102" i="83"/>
  <c r="I102" i="83"/>
  <c r="E103" i="83"/>
  <c r="C104" i="83"/>
  <c r="I104"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8" i="82"/>
  <c r="D18" i="82" s="1"/>
  <c r="C92" i="82"/>
  <c r="C94" i="82"/>
  <c r="H109" i="82"/>
  <c r="P61" i="81"/>
  <c r="D104" i="33"/>
  <c r="E104" i="33" s="1"/>
  <c r="F104" i="33" s="1"/>
  <c r="G104" i="33" s="1"/>
  <c r="H104" i="33" s="1"/>
  <c r="E37" i="34" l="1"/>
  <c r="G37" i="34" s="1"/>
  <c r="I37" i="34" s="1"/>
  <c r="D121" i="82"/>
  <c r="I29" i="83"/>
  <c r="I33" i="83"/>
  <c r="I32" i="83"/>
  <c r="I31" i="83"/>
  <c r="I30" i="83"/>
  <c r="I28" i="83"/>
  <c r="E108" i="83"/>
  <c r="E107" i="83"/>
  <c r="E106" i="83"/>
  <c r="E105" i="83"/>
  <c r="G6" i="83"/>
  <c r="H6" i="83" s="1"/>
  <c r="I6" i="83" s="1"/>
  <c r="J6" i="83" s="1"/>
  <c r="K6" i="83" s="1"/>
  <c r="L6" i="83" s="1"/>
  <c r="M6" i="83" s="1"/>
  <c r="N6" i="83" s="1"/>
  <c r="O6" i="83" s="1"/>
  <c r="P6" i="83" s="1"/>
  <c r="Q6" i="83" s="1"/>
  <c r="R6" i="83" s="1"/>
  <c r="S6" i="83" s="1"/>
  <c r="E104" i="83"/>
  <c r="G51" i="83"/>
  <c r="G53" i="83"/>
  <c r="G55" i="83"/>
  <c r="G57" i="83"/>
  <c r="G59" i="83"/>
  <c r="G61" i="83"/>
  <c r="G63" i="83"/>
  <c r="G65" i="83"/>
  <c r="G67" i="83"/>
  <c r="G102" i="83"/>
  <c r="G104" i="83"/>
  <c r="G106" i="83"/>
  <c r="G108" i="83"/>
  <c r="G110" i="83"/>
  <c r="G112" i="83"/>
  <c r="G114" i="83"/>
  <c r="G524" i="83"/>
  <c r="G523" i="83"/>
  <c r="G522" i="83"/>
  <c r="G521" i="83"/>
  <c r="G520" i="83"/>
  <c r="G519" i="83"/>
  <c r="G518" i="83"/>
  <c r="G517" i="83"/>
  <c r="G516" i="83"/>
  <c r="G515" i="83"/>
  <c r="G514" i="83"/>
  <c r="G513" i="83"/>
  <c r="G512" i="83"/>
  <c r="G511" i="83"/>
  <c r="G510" i="83"/>
  <c r="G509" i="83"/>
  <c r="G508" i="83"/>
  <c r="G507" i="83"/>
  <c r="G506" i="83"/>
  <c r="G505" i="83"/>
  <c r="G504" i="83"/>
  <c r="G503" i="83"/>
  <c r="G502" i="83"/>
  <c r="G501" i="83"/>
  <c r="G500" i="83"/>
  <c r="G499" i="83"/>
  <c r="G498" i="83"/>
  <c r="G497" i="83"/>
  <c r="G496" i="83"/>
  <c r="G495" i="83"/>
  <c r="G494" i="83"/>
  <c r="G493" i="83"/>
  <c r="G492" i="83"/>
  <c r="G491" i="83"/>
  <c r="G490" i="83"/>
  <c r="G489" i="83"/>
  <c r="G488" i="83"/>
  <c r="G487" i="83"/>
  <c r="G486" i="83"/>
  <c r="G485" i="83"/>
  <c r="G484" i="83"/>
  <c r="G483" i="83"/>
  <c r="G482" i="83"/>
  <c r="G481" i="83"/>
  <c r="G480" i="83"/>
  <c r="G479" i="83"/>
  <c r="G478" i="83"/>
  <c r="G477" i="83"/>
  <c r="G476" i="83"/>
  <c r="G475" i="83"/>
  <c r="G474" i="83"/>
  <c r="G473" i="83"/>
  <c r="G472" i="83"/>
  <c r="G471" i="83"/>
  <c r="G470" i="83"/>
  <c r="G469" i="83"/>
  <c r="G468" i="83"/>
  <c r="G467" i="83"/>
  <c r="G466" i="83"/>
  <c r="G465" i="83"/>
  <c r="G464" i="83"/>
  <c r="G463" i="83"/>
  <c r="G462" i="83"/>
  <c r="G461" i="83"/>
  <c r="G460" i="83"/>
  <c r="G459" i="83"/>
  <c r="G458" i="83"/>
  <c r="G457" i="83"/>
  <c r="G456" i="83"/>
  <c r="G455" i="83"/>
  <c r="G454" i="83"/>
  <c r="G453" i="83"/>
  <c r="G452" i="83"/>
  <c r="G451" i="83"/>
  <c r="G450" i="83"/>
  <c r="G449" i="83"/>
  <c r="G448" i="83"/>
  <c r="G447" i="83"/>
  <c r="G446" i="83"/>
  <c r="G445" i="83"/>
  <c r="G444" i="83"/>
  <c r="G443" i="83"/>
  <c r="G442" i="83"/>
  <c r="G441" i="83"/>
  <c r="G440" i="83"/>
  <c r="G439" i="83"/>
  <c r="G438" i="83"/>
  <c r="G437" i="83"/>
  <c r="G436" i="83"/>
  <c r="G435" i="83"/>
  <c r="G434" i="83"/>
  <c r="G433" i="83"/>
  <c r="G432" i="83"/>
  <c r="G431" i="83"/>
  <c r="G430" i="83"/>
  <c r="G429" i="83"/>
  <c r="G428" i="83"/>
  <c r="G427" i="83"/>
  <c r="G426" i="83"/>
  <c r="G425" i="83"/>
  <c r="G424" i="83"/>
  <c r="G423" i="83"/>
  <c r="G422" i="83"/>
  <c r="G421" i="83"/>
  <c r="G420" i="83"/>
  <c r="G419" i="83"/>
  <c r="G418" i="83"/>
  <c r="G417" i="83"/>
  <c r="G416" i="83"/>
  <c r="G415" i="83"/>
  <c r="G414" i="83"/>
  <c r="G413" i="83"/>
  <c r="G412" i="83"/>
  <c r="G411" i="83"/>
  <c r="G410" i="83"/>
  <c r="G409" i="83"/>
  <c r="G408" i="83"/>
  <c r="G407" i="83"/>
  <c r="G406" i="83"/>
  <c r="G405" i="83"/>
  <c r="G404" i="83"/>
  <c r="G403" i="83"/>
  <c r="G402" i="83"/>
  <c r="G401" i="83"/>
  <c r="G400" i="83"/>
  <c r="G399" i="83"/>
  <c r="G398" i="83"/>
  <c r="G397" i="83"/>
  <c r="G396" i="83"/>
  <c r="G395" i="83"/>
  <c r="G394" i="83"/>
  <c r="G393" i="83"/>
  <c r="G392" i="83"/>
  <c r="G391" i="83"/>
  <c r="G390" i="83"/>
  <c r="G389" i="83"/>
  <c r="G388" i="83"/>
  <c r="G387" i="83"/>
  <c r="G386" i="83"/>
  <c r="G385" i="83"/>
  <c r="G384" i="83"/>
  <c r="G383" i="83"/>
  <c r="G382" i="83"/>
  <c r="G381" i="83"/>
  <c r="G380" i="83"/>
  <c r="G379" i="83"/>
  <c r="G378" i="83"/>
  <c r="G377" i="83"/>
  <c r="G376" i="83"/>
  <c r="G375" i="83"/>
  <c r="G374" i="83"/>
  <c r="G373" i="83"/>
  <c r="G372" i="83"/>
  <c r="G371" i="83"/>
  <c r="G370" i="83"/>
  <c r="G369" i="83"/>
  <c r="G368" i="83"/>
  <c r="G367" i="83"/>
  <c r="G366" i="83"/>
  <c r="G365" i="83"/>
  <c r="G364" i="83"/>
  <c r="G363" i="83"/>
  <c r="G362" i="83"/>
  <c r="G361" i="83"/>
  <c r="G360" i="83"/>
  <c r="G359" i="83"/>
  <c r="G358" i="83"/>
  <c r="G357" i="83"/>
  <c r="G356" i="83"/>
  <c r="G355" i="83"/>
  <c r="G354" i="83"/>
  <c r="G353" i="83"/>
  <c r="G352" i="83"/>
  <c r="G351" i="83"/>
  <c r="G350" i="83"/>
  <c r="G349" i="83"/>
  <c r="G348" i="83"/>
  <c r="G347" i="83"/>
  <c r="G346" i="83"/>
  <c r="G345" i="83"/>
  <c r="G344" i="83"/>
  <c r="G343" i="83"/>
  <c r="G342" i="83"/>
  <c r="G341" i="83"/>
  <c r="G340" i="83"/>
  <c r="G339" i="83"/>
  <c r="G338" i="83"/>
  <c r="G337" i="83"/>
  <c r="G336" i="83"/>
  <c r="G335" i="83"/>
  <c r="G334" i="83"/>
  <c r="G333" i="83"/>
  <c r="G332" i="83"/>
  <c r="G331" i="83"/>
  <c r="G330" i="83"/>
  <c r="G329" i="83"/>
  <c r="G328" i="83"/>
  <c r="G327" i="83"/>
  <c r="G326" i="83"/>
  <c r="G325" i="83"/>
  <c r="G324" i="83"/>
  <c r="G323" i="83"/>
  <c r="G322" i="83"/>
  <c r="G321" i="83"/>
  <c r="G320" i="83"/>
  <c r="G319" i="83"/>
  <c r="G318" i="83"/>
  <c r="G317" i="83"/>
  <c r="G316" i="83"/>
  <c r="G315" i="83"/>
  <c r="G314" i="83"/>
  <c r="G313" i="83"/>
  <c r="G312" i="83"/>
  <c r="G311" i="83"/>
  <c r="G310" i="83"/>
  <c r="G309" i="83"/>
  <c r="G308" i="83"/>
  <c r="G307" i="83"/>
  <c r="G306" i="83"/>
  <c r="G305" i="83"/>
  <c r="G304" i="83"/>
  <c r="G303" i="83"/>
  <c r="G302" i="83"/>
  <c r="G301" i="83"/>
  <c r="G300" i="83"/>
  <c r="G299" i="83"/>
  <c r="G298" i="83"/>
  <c r="G297" i="83"/>
  <c r="G296" i="83"/>
  <c r="G295" i="83"/>
  <c r="G294" i="83"/>
  <c r="G293" i="83"/>
  <c r="G292" i="83"/>
  <c r="G291" i="83"/>
  <c r="G290" i="83"/>
  <c r="G289" i="83"/>
  <c r="G288" i="83"/>
  <c r="G287" i="83"/>
  <c r="G286" i="83"/>
  <c r="G285" i="83"/>
  <c r="G284" i="83"/>
  <c r="G283" i="83"/>
  <c r="G282" i="83"/>
  <c r="G281" i="83"/>
  <c r="G280" i="83"/>
  <c r="G279" i="83"/>
  <c r="G278" i="83"/>
  <c r="G277" i="83"/>
  <c r="G276" i="83"/>
  <c r="G275" i="83"/>
  <c r="G274" i="83"/>
  <c r="G273" i="83"/>
  <c r="G272" i="83"/>
  <c r="G271" i="83"/>
  <c r="G270" i="83"/>
  <c r="G269" i="83"/>
  <c r="G268" i="83"/>
  <c r="G267" i="83"/>
  <c r="G266" i="83"/>
  <c r="G265" i="83"/>
  <c r="G264" i="83"/>
  <c r="G263" i="83"/>
  <c r="G262" i="83"/>
  <c r="G261" i="83"/>
  <c r="G260" i="83"/>
  <c r="G259" i="83"/>
  <c r="G258" i="83"/>
  <c r="G257" i="83"/>
  <c r="G256" i="83"/>
  <c r="G255" i="83"/>
  <c r="G254" i="83"/>
  <c r="G253" i="83"/>
  <c r="G252" i="83"/>
  <c r="G251" i="83"/>
  <c r="G250" i="83"/>
  <c r="G249" i="83"/>
  <c r="G248" i="83"/>
  <c r="G247" i="83"/>
  <c r="G246" i="83"/>
  <c r="G245" i="83"/>
  <c r="G244" i="83"/>
  <c r="G243" i="83"/>
  <c r="G242" i="83"/>
  <c r="G241" i="83"/>
  <c r="G240" i="83"/>
  <c r="G239" i="83"/>
  <c r="G238" i="83"/>
  <c r="G237" i="83"/>
  <c r="G236" i="83"/>
  <c r="G235" i="83"/>
  <c r="G234" i="83"/>
  <c r="G233" i="83"/>
  <c r="G232" i="83"/>
  <c r="G231" i="83"/>
  <c r="G230" i="83"/>
  <c r="G229" i="83"/>
  <c r="G228" i="83"/>
  <c r="G227" i="83"/>
  <c r="G226" i="83"/>
  <c r="G225" i="83"/>
  <c r="G224" i="83"/>
  <c r="G223" i="83"/>
  <c r="G222" i="83"/>
  <c r="G221" i="83"/>
  <c r="G220" i="83"/>
  <c r="G219" i="83"/>
  <c r="G218" i="83"/>
  <c r="G217" i="83"/>
  <c r="G216" i="83"/>
  <c r="G215" i="83"/>
  <c r="G214" i="83"/>
  <c r="G213" i="83"/>
  <c r="G212" i="83"/>
  <c r="G211" i="83"/>
  <c r="G210" i="83"/>
  <c r="G209" i="83"/>
  <c r="G208" i="83"/>
  <c r="G207" i="83"/>
  <c r="G206" i="83"/>
  <c r="G205" i="83"/>
  <c r="G204" i="83"/>
  <c r="G203" i="83"/>
  <c r="G202" i="83"/>
  <c r="G201" i="83"/>
  <c r="G200" i="83"/>
  <c r="G199" i="83"/>
  <c r="G198" i="83"/>
  <c r="G197" i="83"/>
  <c r="G196" i="83"/>
  <c r="G195" i="83"/>
  <c r="G194" i="83"/>
  <c r="G193" i="83"/>
  <c r="G192" i="83"/>
  <c r="G191" i="83"/>
  <c r="G190" i="83"/>
  <c r="G189" i="83"/>
  <c r="G188" i="83"/>
  <c r="G187" i="83"/>
  <c r="G186" i="83"/>
  <c r="G185" i="83"/>
  <c r="G184" i="83"/>
  <c r="G183" i="83"/>
  <c r="G182" i="83"/>
  <c r="G181" i="83"/>
  <c r="G180" i="83"/>
  <c r="G179" i="83"/>
  <c r="G178" i="83"/>
  <c r="G177" i="83"/>
  <c r="G176" i="83"/>
  <c r="G175" i="83"/>
  <c r="G174" i="83"/>
  <c r="G173" i="83"/>
  <c r="G172"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5" i="83"/>
  <c r="G144" i="83"/>
  <c r="G143" i="83"/>
  <c r="G142" i="83"/>
  <c r="G141"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00" i="83"/>
  <c r="G99" i="83"/>
  <c r="G98" i="83"/>
  <c r="G97" i="83"/>
  <c r="G96" i="83"/>
  <c r="G95" i="83"/>
  <c r="G94" i="83"/>
  <c r="G93" i="83"/>
  <c r="G92" i="83"/>
  <c r="G91" i="83"/>
  <c r="G90" i="83"/>
  <c r="G89" i="83"/>
  <c r="G88" i="83"/>
  <c r="G87" i="83"/>
  <c r="G86" i="83"/>
  <c r="G85" i="83"/>
  <c r="G84" i="83"/>
  <c r="G83" i="83"/>
  <c r="G82" i="83"/>
  <c r="G81" i="83"/>
  <c r="G80" i="83"/>
  <c r="G79" i="83"/>
  <c r="G78" i="83"/>
  <c r="G77" i="83"/>
  <c r="G76" i="83"/>
  <c r="G75" i="83"/>
  <c r="G74" i="83"/>
  <c r="G73" i="83"/>
  <c r="G72" i="83"/>
  <c r="G71" i="83"/>
  <c r="G70" i="83"/>
  <c r="G69" i="83"/>
  <c r="G68" i="83"/>
  <c r="G38" i="83"/>
  <c r="G37" i="83"/>
  <c r="G36" i="83"/>
  <c r="G35" i="83"/>
  <c r="G34" i="83"/>
  <c r="G32" i="83"/>
  <c r="G31" i="83"/>
  <c r="G30" i="83"/>
  <c r="G29" i="83"/>
  <c r="G28" i="83"/>
  <c r="G27" i="83"/>
  <c r="G26" i="83"/>
  <c r="G25" i="83"/>
  <c r="F8" i="83"/>
  <c r="G8" i="83" s="1"/>
  <c r="H8" i="83" s="1"/>
  <c r="I8" i="83" s="1"/>
  <c r="J8" i="83" s="1"/>
  <c r="K8" i="83" s="1"/>
  <c r="L8" i="83" s="1"/>
  <c r="M8" i="83" s="1"/>
  <c r="N8" i="83" s="1"/>
  <c r="O8" i="83" s="1"/>
  <c r="P8" i="83" s="1"/>
  <c r="Q8" i="83" s="1"/>
  <c r="R8" i="83" s="1"/>
  <c r="S8" i="83" s="1"/>
  <c r="G52" i="83"/>
  <c r="G54" i="83"/>
  <c r="G56" i="83"/>
  <c r="G58" i="83"/>
  <c r="G60" i="83"/>
  <c r="G62" i="83"/>
  <c r="G64" i="83"/>
  <c r="G66" i="83"/>
  <c r="G101" i="83"/>
  <c r="G103" i="83"/>
  <c r="G105" i="83"/>
  <c r="G107" i="83"/>
  <c r="G109" i="83"/>
  <c r="G111" i="83"/>
  <c r="G113" i="83"/>
  <c r="G115" i="83"/>
  <c r="G117" i="83"/>
  <c r="D124" i="82"/>
  <c r="D125" i="82" s="1"/>
  <c r="H110" i="82"/>
  <c r="M49" i="82"/>
  <c r="C14" i="3"/>
  <c r="K14" i="3"/>
  <c r="E122" i="80"/>
  <c r="E111" i="80"/>
  <c r="E123" i="80" l="1"/>
  <c r="A15" i="3" s="1"/>
  <c r="AY3" i="3" s="1"/>
  <c r="B14" i="3"/>
  <c r="R20" i="6" s="1"/>
  <c r="F20" i="6"/>
  <c r="C33" i="33" s="1"/>
  <c r="G33" i="83"/>
  <c r="L66" i="82"/>
  <c r="M66" i="82" s="1"/>
  <c r="L65" i="82"/>
  <c r="M65" i="82" s="1"/>
  <c r="L64" i="82"/>
  <c r="M64" i="82" s="1"/>
  <c r="L68" i="82"/>
  <c r="M68" i="82" s="1"/>
  <c r="L67" i="82"/>
  <c r="M67" i="82" s="1"/>
  <c r="L63" i="82"/>
  <c r="M63" i="82" s="1"/>
  <c r="M69" i="82" s="1"/>
  <c r="N69" i="82" s="1"/>
  <c r="D3" i="4" l="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M34" i="79"/>
  <c r="T34" i="79" s="1"/>
  <c r="W34" i="79" s="1"/>
  <c r="L34" i="79"/>
  <c r="S34" i="79" s="1"/>
  <c r="I34" i="79"/>
  <c r="AB33" i="79"/>
  <c r="AA33" i="79"/>
  <c r="Z33" i="79"/>
  <c r="N33" i="79"/>
  <c r="U33" i="79" s="1"/>
  <c r="M33" i="79"/>
  <c r="L33" i="79"/>
  <c r="S33" i="79" s="1"/>
  <c r="I33" i="79"/>
  <c r="AD33" i="79" s="1"/>
  <c r="AB32" i="79"/>
  <c r="AA32" i="79"/>
  <c r="Z32" i="79"/>
  <c r="N32" i="79"/>
  <c r="M32" i="79"/>
  <c r="T32" i="79" s="1"/>
  <c r="W32" i="79" s="1"/>
  <c r="L32" i="79"/>
  <c r="I32" i="79"/>
  <c r="AD32" i="79" s="1"/>
  <c r="AB31" i="79"/>
  <c r="AA31" i="79"/>
  <c r="Z31" i="79"/>
  <c r="N31" i="79"/>
  <c r="M31" i="79"/>
  <c r="L31" i="79"/>
  <c r="S31" i="79" s="1"/>
  <c r="I31" i="79"/>
  <c r="AB30" i="79"/>
  <c r="AA30" i="79"/>
  <c r="Z30" i="79"/>
  <c r="N30" i="79"/>
  <c r="M30" i="79"/>
  <c r="L30" i="79"/>
  <c r="I30" i="79"/>
  <c r="AD30" i="79" s="1"/>
  <c r="AB29" i="79"/>
  <c r="AA29" i="79"/>
  <c r="Z29" i="79"/>
  <c r="N29" i="79"/>
  <c r="M29" i="79"/>
  <c r="L29" i="79"/>
  <c r="I29" i="79"/>
  <c r="AB25" i="79"/>
  <c r="AA25" i="79"/>
  <c r="Z25" i="79"/>
  <c r="N25" i="79"/>
  <c r="M25" i="79"/>
  <c r="L25" i="79"/>
  <c r="I25" i="79"/>
  <c r="AD25" i="79" s="1"/>
  <c r="AA23" i="79"/>
  <c r="AD23" i="79" s="1"/>
  <c r="U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M13" i="79"/>
  <c r="P13" i="79" s="1"/>
  <c r="L13" i="79"/>
  <c r="K13" i="79"/>
  <c r="I13" i="79"/>
  <c r="AD12" i="79"/>
  <c r="AC12" i="79"/>
  <c r="AB12" i="79"/>
  <c r="AA12" i="79"/>
  <c r="Z12" i="79"/>
  <c r="Y12" i="79"/>
  <c r="O12" i="79"/>
  <c r="N12" i="79"/>
  <c r="M12" i="79"/>
  <c r="T12" i="79" s="1"/>
  <c r="W12" i="79" s="1"/>
  <c r="L12" i="79"/>
  <c r="K12" i="79"/>
  <c r="I12" i="79"/>
  <c r="AC11" i="79"/>
  <c r="AB11" i="79"/>
  <c r="AA11" i="79"/>
  <c r="AD11" i="79" s="1"/>
  <c r="Z11" i="79"/>
  <c r="Y11" i="79"/>
  <c r="O11" i="79"/>
  <c r="N11" i="79"/>
  <c r="M11" i="79"/>
  <c r="P11" i="79" s="1"/>
  <c r="L11" i="79"/>
  <c r="S11" i="79" s="1"/>
  <c r="K11" i="79"/>
  <c r="I11" i="79"/>
  <c r="AC10" i="79"/>
  <c r="AB10" i="79"/>
  <c r="AA10" i="79"/>
  <c r="AD10" i="79" s="1"/>
  <c r="Z10" i="79"/>
  <c r="Y10" i="79"/>
  <c r="O10" i="79"/>
  <c r="N10" i="79"/>
  <c r="M10" i="79"/>
  <c r="L10" i="79"/>
  <c r="S10" i="79" s="1"/>
  <c r="K10" i="79"/>
  <c r="R10" i="79" s="1"/>
  <c r="I10" i="79"/>
  <c r="AC9" i="79"/>
  <c r="AB9" i="79"/>
  <c r="AA9" i="79"/>
  <c r="AD9" i="79" s="1"/>
  <c r="Z9" i="79"/>
  <c r="Y9" i="79"/>
  <c r="Y3" i="79" s="1"/>
  <c r="O9" i="79"/>
  <c r="V3" i="79" s="1"/>
  <c r="N9" i="79"/>
  <c r="U3" i="79" s="1"/>
  <c r="M9" i="79"/>
  <c r="L9" i="79"/>
  <c r="K9" i="79"/>
  <c r="I9" i="79"/>
  <c r="AC5" i="79"/>
  <c r="AC3" i="79" s="1"/>
  <c r="AB5" i="79"/>
  <c r="AB3" i="79" s="1"/>
  <c r="AA5" i="79"/>
  <c r="AD5" i="79" s="1"/>
  <c r="Z5" i="79"/>
  <c r="Z3" i="79" s="1"/>
  <c r="Y5" i="79"/>
  <c r="O5" i="79"/>
  <c r="O3" i="79" s="1"/>
  <c r="N5" i="79"/>
  <c r="N3" i="79" s="1"/>
  <c r="M5" i="79"/>
  <c r="P5" i="79" s="1"/>
  <c r="L5" i="79"/>
  <c r="L3" i="79" s="1"/>
  <c r="K5" i="79"/>
  <c r="K3" i="79" s="1"/>
  <c r="I5" i="79"/>
  <c r="T3" i="79"/>
  <c r="W3"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A3" i="79" l="1"/>
  <c r="AD3" i="79" s="1"/>
  <c r="R14" i="79"/>
  <c r="U13" i="79"/>
  <c r="U11" i="79"/>
  <c r="R12" i="79"/>
  <c r="V13" i="79"/>
  <c r="S14" i="79"/>
  <c r="T23" i="79"/>
  <c r="W23" i="79" s="1"/>
  <c r="AD31" i="79"/>
  <c r="S32" i="79"/>
  <c r="T33" i="79"/>
  <c r="W33" i="79" s="1"/>
  <c r="U34" i="79"/>
  <c r="U12" i="79"/>
  <c r="S3" i="79"/>
  <c r="V11" i="79"/>
  <c r="S12" i="79"/>
  <c r="T14" i="79"/>
  <c r="W14" i="79" s="1"/>
  <c r="AD29" i="79"/>
  <c r="S30" i="79"/>
  <c r="T31" i="79"/>
  <c r="W31" i="79" s="1"/>
  <c r="U32" i="79"/>
  <c r="U31" i="79"/>
  <c r="T10" i="79"/>
  <c r="W10" i="79" s="1"/>
  <c r="V12" i="79"/>
  <c r="R13" i="79"/>
  <c r="U30" i="79"/>
  <c r="U10" i="79"/>
  <c r="R11" i="79"/>
  <c r="S13" i="79"/>
  <c r="AD34" i="79"/>
  <c r="M3" i="79"/>
  <c r="P3" i="79" s="1"/>
  <c r="V10"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Y18" i="71" s="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Y23" i="71" s="1"/>
  <c r="Z23" i="71" s="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AB24" i="71" s="1"/>
  <c r="P26" i="71"/>
  <c r="O26" i="71"/>
  <c r="N26" i="71"/>
  <c r="A15" i="51"/>
  <c r="B12" i="72" s="1"/>
  <c r="C76" i="9"/>
  <c r="I107" i="40"/>
  <c r="K6" i="4"/>
  <c r="B22" i="31"/>
  <c r="B14" i="74" s="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B88" i="71"/>
  <c r="F87" i="71"/>
  <c r="F86" i="71" s="1"/>
  <c r="B87" i="71"/>
  <c r="B86" i="71" s="1"/>
  <c r="D85" i="71"/>
  <c r="F84" i="71"/>
  <c r="F83" i="71" s="1"/>
  <c r="F82" i="71" s="1"/>
  <c r="E84" i="71"/>
  <c r="E83" i="71"/>
  <c r="E82" i="71"/>
  <c r="C84" i="71"/>
  <c r="D84" i="71"/>
  <c r="B84" i="71"/>
  <c r="B83" i="71"/>
  <c r="B82" i="71"/>
  <c r="D81" i="71"/>
  <c r="Q80" i="71"/>
  <c r="P80" i="71"/>
  <c r="O80" i="71"/>
  <c r="N80" i="71"/>
  <c r="F80" i="71"/>
  <c r="E80" i="71"/>
  <c r="U80" i="71"/>
  <c r="C80" i="71"/>
  <c r="C79" i="71" s="1"/>
  <c r="T80" i="71"/>
  <c r="B80" i="71"/>
  <c r="S80" i="71"/>
  <c r="Q79" i="71"/>
  <c r="P79" i="71"/>
  <c r="O79" i="71"/>
  <c r="N79" i="71"/>
  <c r="B79" i="71"/>
  <c r="B78" i="71"/>
  <c r="Q78" i="71"/>
  <c r="P78" i="71"/>
  <c r="O78" i="71"/>
  <c r="N78" i="71"/>
  <c r="Q77" i="71"/>
  <c r="P77" i="71"/>
  <c r="O77" i="71"/>
  <c r="N77" i="71"/>
  <c r="D77" i="71"/>
  <c r="Q76" i="71"/>
  <c r="P76" i="71"/>
  <c r="O76" i="71"/>
  <c r="N76" i="71"/>
  <c r="F76" i="71"/>
  <c r="E76" i="71"/>
  <c r="E75" i="71" s="1"/>
  <c r="E74" i="71" s="1"/>
  <c r="U76" i="7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c r="E72" i="71"/>
  <c r="E71" i="71" s="1"/>
  <c r="E70" i="71" s="1"/>
  <c r="U72" i="71"/>
  <c r="C72" i="71"/>
  <c r="T72" i="71"/>
  <c r="B72" i="71"/>
  <c r="S72" i="71" s="1"/>
  <c r="Q71" i="71"/>
  <c r="P71" i="71"/>
  <c r="O71" i="71"/>
  <c r="N71" i="71"/>
  <c r="F71" i="71"/>
  <c r="F70" i="71"/>
  <c r="B71" i="71"/>
  <c r="B70" i="71" s="1"/>
  <c r="Q70" i="71"/>
  <c r="P70" i="71"/>
  <c r="O70" i="71"/>
  <c r="N70" i="71"/>
  <c r="Q69" i="71"/>
  <c r="P69" i="71"/>
  <c r="O69" i="71"/>
  <c r="N69" i="71"/>
  <c r="D69" i="71"/>
  <c r="F68" i="71"/>
  <c r="F67" i="71" s="1"/>
  <c r="E68" i="7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c r="P53" i="71"/>
  <c r="E54" i="71"/>
  <c r="E55" i="71" s="1"/>
  <c r="E56" i="71" s="1"/>
  <c r="O53" i="71"/>
  <c r="C54" i="71" s="1"/>
  <c r="N53" i="71"/>
  <c r="B54" i="71"/>
  <c r="D53" i="71"/>
  <c r="Q52" i="71"/>
  <c r="P52" i="71"/>
  <c r="O52" i="71"/>
  <c r="N52" i="71"/>
  <c r="Q51" i="71"/>
  <c r="P51" i="71"/>
  <c r="O51" i="71"/>
  <c r="N51" i="71"/>
  <c r="Q50" i="71"/>
  <c r="P50" i="71"/>
  <c r="O50" i="71"/>
  <c r="N50" i="71"/>
  <c r="Q49" i="71"/>
  <c r="F50" i="71"/>
  <c r="F51" i="71" s="1"/>
  <c r="F52" i="71" s="1"/>
  <c r="V52" i="71" s="1"/>
  <c r="P49" i="71"/>
  <c r="E50" i="71"/>
  <c r="E51" i="71"/>
  <c r="O49" i="71"/>
  <c r="C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D46" i="71" s="1"/>
  <c r="N45" i="71"/>
  <c r="B46" i="71" s="1"/>
  <c r="D45" i="71"/>
  <c r="Q44" i="71"/>
  <c r="P44" i="71"/>
  <c r="O44" i="71"/>
  <c r="N44" i="71"/>
  <c r="Q43" i="71"/>
  <c r="P43" i="71"/>
  <c r="O43" i="71"/>
  <c r="N43" i="71"/>
  <c r="Q42" i="71"/>
  <c r="P42" i="71"/>
  <c r="O42" i="71"/>
  <c r="N42" i="71"/>
  <c r="F42" i="71"/>
  <c r="F43" i="71"/>
  <c r="F44" i="71" s="1"/>
  <c r="V44" i="71" s="1"/>
  <c r="Q41" i="71"/>
  <c r="P41" i="71"/>
  <c r="E42" i="71"/>
  <c r="E43" i="71" s="1"/>
  <c r="E44" i="71" s="1"/>
  <c r="U44" i="71" s="1"/>
  <c r="O41" i="71"/>
  <c r="C42" i="71" s="1"/>
  <c r="N41" i="71"/>
  <c r="B42" i="71" s="1"/>
  <c r="B43" i="71" s="1"/>
  <c r="B44" i="71" s="1"/>
  <c r="S44" i="71" s="1"/>
  <c r="D41" i="71"/>
  <c r="Q40" i="71"/>
  <c r="P40" i="71"/>
  <c r="O40" i="71"/>
  <c r="N40" i="71"/>
  <c r="AB39" i="71"/>
  <c r="Q39" i="71"/>
  <c r="P39" i="71"/>
  <c r="AA39" i="71"/>
  <c r="O39" i="71"/>
  <c r="Y39" i="71" s="1"/>
  <c r="Z39" i="71" s="1"/>
  <c r="N39" i="71"/>
  <c r="X39" i="71"/>
  <c r="Q38" i="71"/>
  <c r="AB38" i="71"/>
  <c r="P38" i="71"/>
  <c r="AA37" i="71" s="1"/>
  <c r="O38" i="71"/>
  <c r="Y38" i="71" s="1"/>
  <c r="Z38" i="71" s="1"/>
  <c r="N38" i="71"/>
  <c r="F38" i="71"/>
  <c r="F39" i="71" s="1"/>
  <c r="F40" i="71" s="1"/>
  <c r="V40" i="71" s="1"/>
  <c r="Q37" i="71"/>
  <c r="P37" i="71"/>
  <c r="O37" i="71"/>
  <c r="Y37" i="71" s="1"/>
  <c r="Z37" i="71" s="1"/>
  <c r="N37" i="71"/>
  <c r="D37" i="71"/>
  <c r="Q36" i="71"/>
  <c r="AB36" i="71"/>
  <c r="P36" i="71"/>
  <c r="O36" i="71"/>
  <c r="Y36" i="71" s="1"/>
  <c r="Z36" i="71" s="1"/>
  <c r="N36" i="71"/>
  <c r="X36" i="71" s="1"/>
  <c r="Q35" i="71"/>
  <c r="P35" i="71"/>
  <c r="AA34" i="71" s="1"/>
  <c r="O35" i="71"/>
  <c r="N35" i="71"/>
  <c r="X31" i="71" s="1"/>
  <c r="Q34" i="71"/>
  <c r="P34" i="71"/>
  <c r="O34" i="71"/>
  <c r="Y34" i="71"/>
  <c r="Z34" i="71" s="1"/>
  <c r="N34" i="71"/>
  <c r="Q33" i="71"/>
  <c r="P33" i="71"/>
  <c r="O33" i="71"/>
  <c r="N33" i="71"/>
  <c r="D33" i="71"/>
  <c r="Q32" i="71"/>
  <c r="P32" i="71"/>
  <c r="O32" i="71"/>
  <c r="Y32" i="71"/>
  <c r="Z32" i="71" s="1"/>
  <c r="N32" i="71"/>
  <c r="Q31" i="71"/>
  <c r="P31" i="71"/>
  <c r="O31" i="71"/>
  <c r="N31" i="71"/>
  <c r="Q30" i="71"/>
  <c r="P30" i="71"/>
  <c r="O30" i="71"/>
  <c r="Y30" i="71" s="1"/>
  <c r="Z30" i="71" s="1"/>
  <c r="N30" i="71"/>
  <c r="Q29" i="71"/>
  <c r="P29" i="71"/>
  <c r="O29" i="71"/>
  <c r="Y27" i="71" s="1"/>
  <c r="Z27" i="71" s="1"/>
  <c r="N29" i="71"/>
  <c r="D29" i="71"/>
  <c r="O28" i="71"/>
  <c r="N28" i="71"/>
  <c r="E30" i="71"/>
  <c r="E31" i="71" s="1"/>
  <c r="E32" i="71" s="1"/>
  <c r="U32" i="71" s="1"/>
  <c r="AA29" i="71"/>
  <c r="B34" i="71"/>
  <c r="B35" i="71"/>
  <c r="B36" i="71"/>
  <c r="S36" i="71" s="1"/>
  <c r="B38" i="71"/>
  <c r="B39" i="71" s="1"/>
  <c r="B40" i="71"/>
  <c r="S40" i="71" s="1"/>
  <c r="X37" i="71"/>
  <c r="E38" i="71"/>
  <c r="E39" i="71" s="1"/>
  <c r="E40" i="71" s="1"/>
  <c r="U40" i="71" s="1"/>
  <c r="N68" i="71"/>
  <c r="X32" i="71"/>
  <c r="C34" i="71"/>
  <c r="AA35" i="71"/>
  <c r="C38" i="71"/>
  <c r="C39" i="71" s="1"/>
  <c r="AB37" i="71"/>
  <c r="X38" i="71"/>
  <c r="AA38" i="71"/>
  <c r="C28" i="71"/>
  <c r="Y28" i="71"/>
  <c r="Z28" i="71" s="1"/>
  <c r="C47" i="71"/>
  <c r="D47" i="71" s="1"/>
  <c r="P28" i="71"/>
  <c r="AA28" i="71" s="1"/>
  <c r="U56" i="71"/>
  <c r="U68" i="71"/>
  <c r="Q28" i="71"/>
  <c r="C63" i="71"/>
  <c r="C64" i="71" s="1"/>
  <c r="D64" i="71" s="1"/>
  <c r="D62" i="71"/>
  <c r="O68" i="71"/>
  <c r="C67" i="71"/>
  <c r="C66" i="71" s="1"/>
  <c r="D66" i="71" s="1"/>
  <c r="Q68" i="71"/>
  <c r="C71" i="71"/>
  <c r="D72" i="71"/>
  <c r="C75" i="71"/>
  <c r="D76" i="71"/>
  <c r="E79" i="71"/>
  <c r="E78" i="71"/>
  <c r="D80" i="71"/>
  <c r="C83" i="71"/>
  <c r="C82" i="71" s="1"/>
  <c r="D82" i="71" s="1"/>
  <c r="T28" i="71"/>
  <c r="C27" i="71"/>
  <c r="F28" i="71"/>
  <c r="F27" i="71"/>
  <c r="F26" i="71" s="1"/>
  <c r="AA25" i="71"/>
  <c r="D28" i="71"/>
  <c r="U28" i="71"/>
  <c r="D67" i="71"/>
  <c r="D63" i="71"/>
  <c r="D83" i="71"/>
  <c r="D71" i="71"/>
  <c r="C70" i="71"/>
  <c r="D70" i="71"/>
  <c r="T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H18" i="36"/>
  <c r="F18" i="36"/>
  <c r="AA18" i="36" s="1"/>
  <c r="C18" i="36"/>
  <c r="Z18" i="35"/>
  <c r="Q18" i="35"/>
  <c r="D68" i="35"/>
  <c r="E68" i="35"/>
  <c r="F68" i="35" s="1"/>
  <c r="G68" i="35" s="1"/>
  <c r="F18" i="35"/>
  <c r="AA18" i="35"/>
  <c r="C18" i="35"/>
  <c r="Q21" i="37"/>
  <c r="Z21" i="37" s="1"/>
  <c r="D77" i="37"/>
  <c r="E77" i="37"/>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S21" i="21" s="1"/>
  <c r="AA21" i="21"/>
  <c r="D81" i="21"/>
  <c r="G20" i="20"/>
  <c r="C25" i="40" s="1"/>
  <c r="C22" i="20"/>
  <c r="B100" i="43" s="1"/>
  <c r="B57" i="43"/>
  <c r="S25" i="40"/>
  <c r="S18" i="36"/>
  <c r="H25" i="40"/>
  <c r="J25" i="40"/>
  <c r="W25" i="40" s="1"/>
  <c r="H29" i="39"/>
  <c r="AB29" i="39" s="1"/>
  <c r="J29" i="39"/>
  <c r="AC29" i="39" s="1"/>
  <c r="G66" i="36"/>
  <c r="J18" i="36"/>
  <c r="H18" i="35"/>
  <c r="AB18" i="35" s="1"/>
  <c r="S18" i="35"/>
  <c r="J18" i="35"/>
  <c r="F77" i="37"/>
  <c r="G77" i="37" s="1"/>
  <c r="H21" i="37"/>
  <c r="U21" i="37" s="1"/>
  <c r="F21" i="37"/>
  <c r="AA21" i="37" s="1"/>
  <c r="H21" i="34"/>
  <c r="AB21" i="34" s="1"/>
  <c r="H21" i="33"/>
  <c r="U21" i="33" s="1"/>
  <c r="F21" i="33"/>
  <c r="S21" i="33" s="1"/>
  <c r="E83" i="21"/>
  <c r="F83" i="21" s="1"/>
  <c r="H1" i="69"/>
  <c r="AB25" i="40"/>
  <c r="U25" i="40"/>
  <c r="U29" i="39"/>
  <c r="W29" i="39"/>
  <c r="AC18" i="36"/>
  <c r="W18" i="36"/>
  <c r="S21" i="37"/>
  <c r="AA21" i="33"/>
  <c r="U18" i="35"/>
  <c r="AC18" i="35"/>
  <c r="W18" i="35"/>
  <c r="J21" i="37"/>
  <c r="W21" i="37" s="1"/>
  <c r="J21" i="34"/>
  <c r="W21" i="34" s="1"/>
  <c r="J21" i="33"/>
  <c r="AC21" i="33" s="1"/>
  <c r="H21" i="21"/>
  <c r="F38" i="69"/>
  <c r="E37" i="69"/>
  <c r="F36" i="69"/>
  <c r="F35" i="69"/>
  <c r="F21" i="69"/>
  <c r="F40" i="69" s="1"/>
  <c r="F20" i="69"/>
  <c r="F39" i="69" s="1"/>
  <c r="E10" i="69"/>
  <c r="E9" i="69"/>
  <c r="AC21" i="37"/>
  <c r="AC21" i="34"/>
  <c r="G83" i="21"/>
  <c r="J21" i="21"/>
  <c r="W21" i="21" s="1"/>
  <c r="C40" i="69"/>
  <c r="F38" i="68"/>
  <c r="E37" i="68"/>
  <c r="F36" i="68"/>
  <c r="F35" i="68"/>
  <c r="F21" i="68"/>
  <c r="F40" i="68" s="1"/>
  <c r="C21" i="68"/>
  <c r="F20" i="68"/>
  <c r="F39" i="68" s="1"/>
  <c r="E10" i="68"/>
  <c r="E9" i="68"/>
  <c r="C7" i="68"/>
  <c r="C5" i="68" s="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B2" i="1"/>
  <c r="E15" i="4"/>
  <c r="F8" i="1" s="1"/>
  <c r="A7" i="1"/>
  <c r="B7" i="1" s="1"/>
  <c r="E7" i="1" s="1"/>
  <c r="A8" i="1"/>
  <c r="B8" i="1" s="1"/>
  <c r="E8" i="1" s="1"/>
  <c r="A9" i="1"/>
  <c r="A10" i="1"/>
  <c r="A11" i="1"/>
  <c r="B11" i="1" s="1"/>
  <c r="E11" i="1" s="1"/>
  <c r="A12" i="1"/>
  <c r="A13" i="1"/>
  <c r="K13" i="1" s="1"/>
  <c r="M13" i="1" s="1"/>
  <c r="O13" i="1" s="1"/>
  <c r="P13" i="1" s="1"/>
  <c r="A6" i="1"/>
  <c r="F3" i="35"/>
  <c r="B13" i="1"/>
  <c r="E13" i="1" s="1"/>
  <c r="G79" i="36"/>
  <c r="G85" i="35"/>
  <c r="G97" i="37"/>
  <c r="G110" i="34"/>
  <c r="G111" i="21"/>
  <c r="G109" i="33"/>
  <c r="D23" i="31"/>
  <c r="L2" i="31"/>
  <c r="K2" i="31"/>
  <c r="J2" i="31"/>
  <c r="I2" i="31"/>
  <c r="H2" i="31"/>
  <c r="G2" i="31"/>
  <c r="F2" i="31"/>
  <c r="E2" i="31"/>
  <c r="D2" i="31"/>
  <c r="C2" i="31"/>
  <c r="D46" i="15"/>
  <c r="BT112" i="3"/>
  <c r="BS112" i="3"/>
  <c r="BR112" i="3"/>
  <c r="BL112" i="3" s="1"/>
  <c r="BQ112" i="3"/>
  <c r="BP112" i="3"/>
  <c r="BO112" i="3"/>
  <c r="BN112" i="3"/>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L99" i="3" s="1"/>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A96" i="3" s="1"/>
  <c r="BE96" i="3"/>
  <c r="BD96" i="3"/>
  <c r="BC96" i="3"/>
  <c r="BB96" i="3"/>
  <c r="AX96" i="3"/>
  <c r="AW96" i="3"/>
  <c r="AV96" i="3"/>
  <c r="AC96" i="3"/>
  <c r="G96" i="3" s="1"/>
  <c r="H96" i="3"/>
  <c r="BT95" i="3"/>
  <c r="BS95" i="3"/>
  <c r="BR95" i="3"/>
  <c r="BQ95" i="3"/>
  <c r="BP95" i="3"/>
  <c r="BO95" i="3"/>
  <c r="BL95" i="3" s="1"/>
  <c r="BN95" i="3"/>
  <c r="BM95" i="3"/>
  <c r="BK95" i="3"/>
  <c r="BJ95" i="3"/>
  <c r="BI95" i="3"/>
  <c r="BH95" i="3"/>
  <c r="BG95" i="3"/>
  <c r="BA95" i="3" s="1"/>
  <c r="AZ95" i="3" s="1"/>
  <c r="BF95" i="3"/>
  <c r="BE95" i="3"/>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L92" i="3" s="1"/>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A89" i="3" s="1"/>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L83" i="3" s="1"/>
  <c r="BM83" i="3"/>
  <c r="BK83" i="3"/>
  <c r="BJ83" i="3"/>
  <c r="BI83" i="3"/>
  <c r="BH83" i="3"/>
  <c r="BG83" i="3"/>
  <c r="BF83" i="3"/>
  <c r="BA83" i="3" s="1"/>
  <c r="BE83" i="3"/>
  <c r="BD83" i="3"/>
  <c r="BC83" i="3"/>
  <c r="BB83" i="3"/>
  <c r="AX83" i="3"/>
  <c r="AW83" i="3"/>
  <c r="AV83" i="3"/>
  <c r="AC83" i="3"/>
  <c r="H83" i="3"/>
  <c r="G83" i="3" s="1"/>
  <c r="BT82" i="3"/>
  <c r="BS82" i="3"/>
  <c r="BR82" i="3"/>
  <c r="BQ82" i="3"/>
  <c r="BP82" i="3"/>
  <c r="BL82" i="3" s="1"/>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A78" i="3" s="1"/>
  <c r="AZ78" i="3" s="1"/>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A73" i="3" s="1"/>
  <c r="BD73" i="3"/>
  <c r="BC73" i="3"/>
  <c r="BB73" i="3"/>
  <c r="AX73" i="3"/>
  <c r="AW73" i="3"/>
  <c r="AV73" i="3"/>
  <c r="AC73" i="3"/>
  <c r="H73" i="3"/>
  <c r="G73" i="3" s="1"/>
  <c r="BT72" i="3"/>
  <c r="BS72" i="3"/>
  <c r="BR72" i="3"/>
  <c r="BQ72" i="3"/>
  <c r="BP72" i="3"/>
  <c r="BL72" i="3" s="1"/>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L71" i="3" s="1"/>
  <c r="BO71" i="3"/>
  <c r="BN71" i="3"/>
  <c r="BM71" i="3"/>
  <c r="BK71" i="3"/>
  <c r="BJ71" i="3"/>
  <c r="BI71" i="3"/>
  <c r="BH71" i="3"/>
  <c r="BG71" i="3"/>
  <c r="BF71" i="3"/>
  <c r="BE71" i="3"/>
  <c r="BD71" i="3"/>
  <c r="BC71" i="3"/>
  <c r="BB71" i="3"/>
  <c r="AX71" i="3"/>
  <c r="AW71" i="3"/>
  <c r="AV71" i="3"/>
  <c r="AC71" i="3"/>
  <c r="H71" i="3"/>
  <c r="G71" i="3" s="1"/>
  <c r="BT70" i="3"/>
  <c r="BS70" i="3"/>
  <c r="BR70" i="3"/>
  <c r="BQ70" i="3"/>
  <c r="BP70" i="3"/>
  <c r="BL70" i="3" s="1"/>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A67" i="3" s="1"/>
  <c r="BE67" i="3"/>
  <c r="BD67" i="3"/>
  <c r="BC67" i="3"/>
  <c r="BB67" i="3"/>
  <c r="AX67" i="3"/>
  <c r="AW67" i="3"/>
  <c r="AV67" i="3"/>
  <c r="AC67" i="3"/>
  <c r="H67" i="3"/>
  <c r="G67" i="3" s="1"/>
  <c r="BT66" i="3"/>
  <c r="BS66" i="3"/>
  <c r="BR66" i="3"/>
  <c r="BQ66" i="3"/>
  <c r="BP66" i="3"/>
  <c r="BL66" i="3" s="1"/>
  <c r="BO66" i="3"/>
  <c r="BN66" i="3"/>
  <c r="BM66" i="3"/>
  <c r="BK66" i="3"/>
  <c r="BJ66" i="3"/>
  <c r="BI66" i="3"/>
  <c r="BH66" i="3"/>
  <c r="BG66" i="3"/>
  <c r="BF66" i="3"/>
  <c r="BE66" i="3"/>
  <c r="BD66" i="3"/>
  <c r="BC66" i="3"/>
  <c r="BB66" i="3"/>
  <c r="BA66" i="3"/>
  <c r="AX66" i="3"/>
  <c r="AW66" i="3"/>
  <c r="AV66" i="3"/>
  <c r="AC66" i="3"/>
  <c r="H66" i="3"/>
  <c r="G66" i="3"/>
  <c r="BT65" i="3"/>
  <c r="BS65" i="3"/>
  <c r="BL65" i="3" s="1"/>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A62" i="3" s="1"/>
  <c r="BE62" i="3"/>
  <c r="BD62" i="3"/>
  <c r="BC62" i="3"/>
  <c r="BB62" i="3"/>
  <c r="AX62" i="3"/>
  <c r="AW62" i="3"/>
  <c r="AV62" i="3"/>
  <c r="AC62" i="3"/>
  <c r="H62" i="3"/>
  <c r="G62" i="3"/>
  <c r="BT61" i="3"/>
  <c r="BS61" i="3"/>
  <c r="BR61" i="3"/>
  <c r="BQ61" i="3"/>
  <c r="BL61" i="3" s="1"/>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A58" i="3" s="1"/>
  <c r="BF58" i="3"/>
  <c r="BE58" i="3"/>
  <c r="BD58" i="3"/>
  <c r="BC58" i="3"/>
  <c r="BB58" i="3"/>
  <c r="AX58" i="3"/>
  <c r="AW58" i="3"/>
  <c r="AV58" i="3"/>
  <c r="AC58" i="3"/>
  <c r="H58" i="3"/>
  <c r="G58" i="3"/>
  <c r="BT57" i="3"/>
  <c r="BS57" i="3"/>
  <c r="BR57" i="3"/>
  <c r="BQ57" i="3"/>
  <c r="BL57" i="3" s="1"/>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L48" i="3" s="1"/>
  <c r="BO48" i="3"/>
  <c r="BN48" i="3"/>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A46" i="3" s="1"/>
  <c r="BD46" i="3"/>
  <c r="BC46" i="3"/>
  <c r="BB46" i="3"/>
  <c r="AX46" i="3"/>
  <c r="AW46" i="3"/>
  <c r="AV46" i="3"/>
  <c r="AC46" i="3"/>
  <c r="H46" i="3"/>
  <c r="G46" i="3"/>
  <c r="BT45" i="3"/>
  <c r="BS45" i="3"/>
  <c r="BR45" i="3"/>
  <c r="BQ45" i="3"/>
  <c r="BP45" i="3"/>
  <c r="BL45" i="3" s="1"/>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A43" i="3" s="1"/>
  <c r="BD43" i="3"/>
  <c r="BC43" i="3"/>
  <c r="BB43" i="3"/>
  <c r="AX43" i="3"/>
  <c r="AW43" i="3"/>
  <c r="AV43" i="3"/>
  <c r="AC43" i="3"/>
  <c r="H43" i="3"/>
  <c r="G43" i="3" s="1"/>
  <c r="BT42" i="3"/>
  <c r="BS42" i="3"/>
  <c r="BR42" i="3"/>
  <c r="BQ42" i="3"/>
  <c r="BP42" i="3"/>
  <c r="BO42" i="3"/>
  <c r="BN42" i="3"/>
  <c r="BM42" i="3"/>
  <c r="BK42" i="3"/>
  <c r="BJ42" i="3"/>
  <c r="BI42" i="3"/>
  <c r="BH42" i="3"/>
  <c r="BG42" i="3"/>
  <c r="BA42" i="3" s="1"/>
  <c r="BF42" i="3"/>
  <c r="BE42" i="3"/>
  <c r="BD42" i="3"/>
  <c r="BC42" i="3"/>
  <c r="BB42" i="3"/>
  <c r="AX42" i="3"/>
  <c r="AW42" i="3"/>
  <c r="AV42" i="3"/>
  <c r="AC42" i="3"/>
  <c r="H42" i="3"/>
  <c r="G42" i="3"/>
  <c r="BT41" i="3"/>
  <c r="BS41" i="3"/>
  <c r="BR41" i="3"/>
  <c r="BQ41" i="3"/>
  <c r="BL41" i="3" s="1"/>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A39" i="3" s="1"/>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L34" i="3" s="1"/>
  <c r="BQ34" i="3"/>
  <c r="BP34" i="3"/>
  <c r="BO34" i="3"/>
  <c r="BN34" i="3"/>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A29" i="3" s="1"/>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L27" i="3" s="1"/>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BA25" i="3"/>
  <c r="AX25" i="3"/>
  <c r="AW25" i="3"/>
  <c r="AV25" i="3"/>
  <c r="AC25" i="3"/>
  <c r="H25" i="3"/>
  <c r="G25" i="3"/>
  <c r="BT24" i="3"/>
  <c r="BS24" i="3"/>
  <c r="BR24" i="3"/>
  <c r="BL24" i="3" s="1"/>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A22" i="3" s="1"/>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L18" i="3" s="1"/>
  <c r="BO18" i="3"/>
  <c r="BN18" i="3"/>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A206" i="3" s="1"/>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L199" i="3" s="1"/>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A196" i="3" s="1"/>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L194" i="3" s="1"/>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A190" i="3" s="1"/>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L187" i="3" s="1"/>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A173" i="3" s="1"/>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A172" i="3" s="1"/>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A133" i="3" s="1"/>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A122" i="3" s="1"/>
  <c r="BE122" i="3"/>
  <c r="BD122" i="3"/>
  <c r="BC122" i="3"/>
  <c r="BB122" i="3"/>
  <c r="AX122" i="3"/>
  <c r="AW122" i="3"/>
  <c r="AV122" i="3"/>
  <c r="AC122" i="3"/>
  <c r="H122" i="3"/>
  <c r="G122" i="3"/>
  <c r="BT121" i="3"/>
  <c r="BS121" i="3"/>
  <c r="BR121" i="3"/>
  <c r="BQ121" i="3"/>
  <c r="BL121" i="3" s="1"/>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A299" i="3" s="1"/>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A292" i="3" s="1"/>
  <c r="BD292" i="3"/>
  <c r="BC292" i="3"/>
  <c r="BB292" i="3"/>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A289" i="3" s="1"/>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L287" i="3" s="1"/>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L284" i="3" s="1"/>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A278" i="3" s="1"/>
  <c r="BG278" i="3"/>
  <c r="BF278" i="3"/>
  <c r="BE278" i="3"/>
  <c r="BD278" i="3"/>
  <c r="BC278" i="3"/>
  <c r="BB278" i="3"/>
  <c r="AX278" i="3"/>
  <c r="AW278" i="3"/>
  <c r="AV278" i="3"/>
  <c r="AC278" i="3"/>
  <c r="H278" i="3"/>
  <c r="G278" i="3"/>
  <c r="BT277" i="3"/>
  <c r="BS277" i="3"/>
  <c r="BL277" i="3" s="1"/>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L275" i="3" s="1"/>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A272" i="3" s="1"/>
  <c r="BG272" i="3"/>
  <c r="BF272" i="3"/>
  <c r="BE272" i="3"/>
  <c r="BD272" i="3"/>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G269" i="3" s="1"/>
  <c r="BT268" i="3"/>
  <c r="BS268" i="3"/>
  <c r="BR268" i="3"/>
  <c r="BQ268" i="3"/>
  <c r="BL268" i="3" s="1"/>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A265" i="3" s="1"/>
  <c r="BG265" i="3"/>
  <c r="BF265" i="3"/>
  <c r="BE265" i="3"/>
  <c r="BD265" i="3"/>
  <c r="BC265" i="3"/>
  <c r="BB265" i="3"/>
  <c r="AX265" i="3"/>
  <c r="AW265" i="3"/>
  <c r="AV265" i="3"/>
  <c r="AC265" i="3"/>
  <c r="H265" i="3"/>
  <c r="G265" i="3" s="1"/>
  <c r="BT264" i="3"/>
  <c r="BS264" i="3"/>
  <c r="BR264" i="3"/>
  <c r="BL264" i="3" s="1"/>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A256" i="3" s="1"/>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A252" i="3" s="1"/>
  <c r="AZ252" i="3" s="1"/>
  <c r="BF252" i="3"/>
  <c r="BE252" i="3"/>
  <c r="BD252" i="3"/>
  <c r="BC252" i="3"/>
  <c r="BB252" i="3"/>
  <c r="AX252" i="3"/>
  <c r="AW252" i="3"/>
  <c r="AV252" i="3"/>
  <c r="AC252" i="3"/>
  <c r="H252" i="3"/>
  <c r="G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L248" i="3" s="1"/>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K245" i="3"/>
  <c r="BJ245" i="3"/>
  <c r="BI245" i="3"/>
  <c r="BH245" i="3"/>
  <c r="BA245" i="3" s="1"/>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L242" i="3" s="1"/>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A240" i="3" s="1"/>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A236" i="3" s="1"/>
  <c r="BD236" i="3"/>
  <c r="BC236" i="3"/>
  <c r="BB236" i="3"/>
  <c r="AX236" i="3"/>
  <c r="AW236" i="3"/>
  <c r="AV236" i="3"/>
  <c r="AC236" i="3"/>
  <c r="H236" i="3"/>
  <c r="G236" i="3"/>
  <c r="BT235" i="3"/>
  <c r="BS235" i="3"/>
  <c r="BR235" i="3"/>
  <c r="BQ235" i="3"/>
  <c r="BP235" i="3"/>
  <c r="BL235" i="3" s="1"/>
  <c r="BO235" i="3"/>
  <c r="BN235" i="3"/>
  <c r="BM235" i="3"/>
  <c r="BK235" i="3"/>
  <c r="BJ235" i="3"/>
  <c r="BI235" i="3"/>
  <c r="BH235" i="3"/>
  <c r="BG235" i="3"/>
  <c r="BF235" i="3"/>
  <c r="BE235" i="3"/>
  <c r="BD235" i="3"/>
  <c r="BC235" i="3"/>
  <c r="BB235" i="3"/>
  <c r="AX235" i="3"/>
  <c r="AW235" i="3"/>
  <c r="AV235" i="3"/>
  <c r="AC235" i="3"/>
  <c r="H235" i="3"/>
  <c r="G235" i="3" s="1"/>
  <c r="BT234" i="3"/>
  <c r="BS234" i="3"/>
  <c r="BR234" i="3"/>
  <c r="BL234" i="3" s="1"/>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A226" i="3" s="1"/>
  <c r="BD226" i="3"/>
  <c r="BC226" i="3"/>
  <c r="BB226" i="3"/>
  <c r="AX226" i="3"/>
  <c r="AW226" i="3"/>
  <c r="AV226" i="3"/>
  <c r="AC226" i="3"/>
  <c r="H226" i="3"/>
  <c r="G226" i="3"/>
  <c r="BT225" i="3"/>
  <c r="BS225" i="3"/>
  <c r="BR225" i="3"/>
  <c r="BQ225" i="3"/>
  <c r="BP225" i="3"/>
  <c r="BL225" i="3" s="1"/>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L222" i="3" s="1"/>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L220" i="3" s="1"/>
  <c r="BM220" i="3"/>
  <c r="BK220" i="3"/>
  <c r="BJ220" i="3"/>
  <c r="BI220" i="3"/>
  <c r="BH220" i="3"/>
  <c r="BG220" i="3"/>
  <c r="BA220" i="3" s="1"/>
  <c r="AZ220" i="3" s="1"/>
  <c r="BF220" i="3"/>
  <c r="BE220" i="3"/>
  <c r="BD220" i="3"/>
  <c r="BC220" i="3"/>
  <c r="BB220" i="3"/>
  <c r="AX220" i="3"/>
  <c r="AW220" i="3"/>
  <c r="AV220" i="3"/>
  <c r="AC220" i="3"/>
  <c r="H220" i="3"/>
  <c r="BT219" i="3"/>
  <c r="BS219" i="3"/>
  <c r="BR219" i="3"/>
  <c r="BQ219" i="3"/>
  <c r="BL219" i="3" s="1"/>
  <c r="BP219" i="3"/>
  <c r="BO219" i="3"/>
  <c r="BN219" i="3"/>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A209" i="3" s="1"/>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L393" i="3" s="1"/>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A392" i="3" s="1"/>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A385" i="3" s="1"/>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L381" i="3" s="1"/>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A491" i="3" s="1"/>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c r="BT470" i="3"/>
  <c r="BS470" i="3"/>
  <c r="BR470" i="3"/>
  <c r="BQ470" i="3"/>
  <c r="BP470" i="3"/>
  <c r="BL470" i="3" s="1"/>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L466" i="3" s="1"/>
  <c r="BK466" i="3"/>
  <c r="BJ466" i="3"/>
  <c r="BI466" i="3"/>
  <c r="BH466" i="3"/>
  <c r="BG466" i="3"/>
  <c r="BA466" i="3" s="1"/>
  <c r="AZ466" i="3" s="1"/>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c r="AZ462" i="3" s="1"/>
  <c r="AX462" i="3"/>
  <c r="AW462" i="3"/>
  <c r="AV462" i="3"/>
  <c r="AC462" i="3"/>
  <c r="G462" i="3" s="1"/>
  <c r="H462" i="3"/>
  <c r="BT461" i="3"/>
  <c r="BS461" i="3"/>
  <c r="BR461" i="3"/>
  <c r="BL461" i="3" s="1"/>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A454" i="3" s="1"/>
  <c r="BF454" i="3"/>
  <c r="BE454" i="3"/>
  <c r="BD454" i="3"/>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s="1"/>
  <c r="BT445" i="3"/>
  <c r="BS445" i="3"/>
  <c r="BR445" i="3"/>
  <c r="BL445" i="3" s="1"/>
  <c r="BQ445" i="3"/>
  <c r="BP445" i="3"/>
  <c r="BO445" i="3"/>
  <c r="BN445" i="3"/>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L443" i="3" s="1"/>
  <c r="BM443" i="3"/>
  <c r="BK443" i="3"/>
  <c r="BJ443" i="3"/>
  <c r="BI443" i="3"/>
  <c r="BH443" i="3"/>
  <c r="BG443" i="3"/>
  <c r="BA443" i="3" s="1"/>
  <c r="AZ443" i="3" s="1"/>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A439" i="3" s="1"/>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L434" i="3" s="1"/>
  <c r="BQ434" i="3"/>
  <c r="BP434" i="3"/>
  <c r="BO434" i="3"/>
  <c r="BN434" i="3"/>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A432" i="3" s="1"/>
  <c r="BF432" i="3"/>
  <c r="BE432" i="3"/>
  <c r="BD432" i="3"/>
  <c r="BC432" i="3"/>
  <c r="BB432" i="3"/>
  <c r="AX432" i="3"/>
  <c r="AW432" i="3"/>
  <c r="AV432" i="3"/>
  <c r="AC432" i="3"/>
  <c r="H432" i="3"/>
  <c r="G432" i="3" s="1"/>
  <c r="BT431" i="3"/>
  <c r="BS431" i="3"/>
  <c r="BR431" i="3"/>
  <c r="BL431" i="3" s="1"/>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A421" i="3" s="1"/>
  <c r="AZ421" i="3" s="1"/>
  <c r="BF421" i="3"/>
  <c r="BE421" i="3"/>
  <c r="BD421" i="3"/>
  <c r="BC421" i="3"/>
  <c r="BB421" i="3"/>
  <c r="AX421" i="3"/>
  <c r="AW421" i="3"/>
  <c r="AV421" i="3"/>
  <c r="AC421" i="3"/>
  <c r="H421" i="3"/>
  <c r="G421" i="3" s="1"/>
  <c r="BT420" i="3"/>
  <c r="BS420" i="3"/>
  <c r="BR420" i="3"/>
  <c r="BL420" i="3" s="1"/>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A404" i="3" s="1"/>
  <c r="AZ404" i="3" s="1"/>
  <c r="BF404" i="3"/>
  <c r="BE404" i="3"/>
  <c r="BD404" i="3"/>
  <c r="BC404" i="3"/>
  <c r="BB404" i="3"/>
  <c r="AX404" i="3"/>
  <c r="AW404" i="3"/>
  <c r="AV404" i="3"/>
  <c r="AC404" i="3"/>
  <c r="H404" i="3"/>
  <c r="G404" i="3" s="1"/>
  <c r="BT403" i="3"/>
  <c r="BS403" i="3"/>
  <c r="BR403" i="3"/>
  <c r="BL403" i="3" s="1"/>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L400" i="3" s="1"/>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S504" i="31" s="1"/>
  <c r="R505" i="31"/>
  <c r="R506" i="3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R134" i="31" s="1"/>
  <c r="C135" i="31"/>
  <c r="R135" i="31" s="1"/>
  <c r="C136" i="31"/>
  <c r="R136" i="31" s="1"/>
  <c r="C137" i="31"/>
  <c r="R137" i="31" s="1"/>
  <c r="C138" i="31"/>
  <c r="R138" i="31" s="1"/>
  <c r="C139" i="31"/>
  <c r="R139" i="31" s="1"/>
  <c r="C140" i="31"/>
  <c r="R140" i="31" s="1"/>
  <c r="C141" i="31"/>
  <c r="R141" i="31" s="1"/>
  <c r="C142" i="31"/>
  <c r="R142" i="31" s="1"/>
  <c r="C143" i="31"/>
  <c r="R143" i="31" s="1"/>
  <c r="C144" i="31"/>
  <c r="R144" i="31" s="1"/>
  <c r="C145" i="31"/>
  <c r="R145" i="31" s="1"/>
  <c r="C146" i="31"/>
  <c r="R146" i="31" s="1"/>
  <c r="C147" i="31"/>
  <c r="R147" i="31" s="1"/>
  <c r="C148" i="31"/>
  <c r="R148" i="31" s="1"/>
  <c r="C149" i="31"/>
  <c r="R149" i="31" s="1"/>
  <c r="C150" i="31"/>
  <c r="R150" i="31" s="1"/>
  <c r="C151" i="31"/>
  <c r="R151" i="31" s="1"/>
  <c r="C152" i="31"/>
  <c r="R152" i="31" s="1"/>
  <c r="C153" i="31"/>
  <c r="R153" i="31" s="1"/>
  <c r="C154" i="31"/>
  <c r="R154" i="31" s="1"/>
  <c r="C155" i="31"/>
  <c r="R155" i="31" s="1"/>
  <c r="C156" i="31"/>
  <c r="R156" i="31" s="1"/>
  <c r="C157" i="31"/>
  <c r="R157" i="31" s="1"/>
  <c r="C158" i="31"/>
  <c r="R158" i="31" s="1"/>
  <c r="C159" i="31"/>
  <c r="R159" i="31" s="1"/>
  <c r="C160" i="31"/>
  <c r="R160" i="31" s="1"/>
  <c r="C161" i="31"/>
  <c r="R161" i="31" s="1"/>
  <c r="C162" i="31"/>
  <c r="R162" i="31" s="1"/>
  <c r="C163" i="31"/>
  <c r="R163" i="31" s="1"/>
  <c r="C164" i="31"/>
  <c r="R164" i="31" s="1"/>
  <c r="C165" i="31"/>
  <c r="R165" i="31" s="1"/>
  <c r="C166" i="31"/>
  <c r="R166" i="31" s="1"/>
  <c r="C167" i="31"/>
  <c r="R167" i="31" s="1"/>
  <c r="C168" i="31"/>
  <c r="R168" i="31" s="1"/>
  <c r="C169" i="31"/>
  <c r="R169" i="31" s="1"/>
  <c r="C170" i="31"/>
  <c r="R170" i="31" s="1"/>
  <c r="C171" i="31"/>
  <c r="R171" i="31" s="1"/>
  <c r="C172" i="31"/>
  <c r="R172" i="31" s="1"/>
  <c r="C173" i="31"/>
  <c r="R173" i="31" s="1"/>
  <c r="C174" i="31"/>
  <c r="R174" i="31" s="1"/>
  <c r="C175" i="31"/>
  <c r="R175" i="31" s="1"/>
  <c r="C176" i="31"/>
  <c r="R176" i="31" s="1"/>
  <c r="C177" i="31"/>
  <c r="R177" i="31" s="1"/>
  <c r="C178" i="31"/>
  <c r="R178" i="31" s="1"/>
  <c r="C179" i="31"/>
  <c r="R179" i="31" s="1"/>
  <c r="C180" i="31"/>
  <c r="R180" i="31" s="1"/>
  <c r="C181" i="31"/>
  <c r="R181" i="31" s="1"/>
  <c r="C182" i="31"/>
  <c r="R182" i="31" s="1"/>
  <c r="C183" i="31"/>
  <c r="R183" i="31" s="1"/>
  <c r="C184" i="31"/>
  <c r="R184" i="31" s="1"/>
  <c r="C185" i="31"/>
  <c r="R185" i="31" s="1"/>
  <c r="C186" i="31"/>
  <c r="R186" i="31" s="1"/>
  <c r="C187" i="31"/>
  <c r="R187" i="31" s="1"/>
  <c r="C188" i="31"/>
  <c r="R188" i="31" s="1"/>
  <c r="C189" i="31"/>
  <c r="R189" i="31" s="1"/>
  <c r="C190" i="31"/>
  <c r="R190" i="31" s="1"/>
  <c r="C191" i="31"/>
  <c r="R191" i="31" s="1"/>
  <c r="C192" i="31"/>
  <c r="R192" i="31" s="1"/>
  <c r="C193" i="31"/>
  <c r="R193" i="31" s="1"/>
  <c r="C194" i="31"/>
  <c r="R194" i="31" s="1"/>
  <c r="C195" i="31"/>
  <c r="R195" i="31" s="1"/>
  <c r="S195" i="31" s="1"/>
  <c r="C196" i="31"/>
  <c r="R196" i="31" s="1"/>
  <c r="S196" i="31" s="1"/>
  <c r="C197" i="31"/>
  <c r="R197" i="31" s="1"/>
  <c r="S197" i="31" s="1"/>
  <c r="C198" i="31"/>
  <c r="R198" i="31" s="1"/>
  <c r="S198" i="31" s="1"/>
  <c r="C199" i="31"/>
  <c r="R199" i="31" s="1"/>
  <c r="S199" i="31" s="1"/>
  <c r="C200" i="31"/>
  <c r="R200" i="31" s="1"/>
  <c r="S200" i="31" s="1"/>
  <c r="C201" i="31"/>
  <c r="R201" i="31" s="1"/>
  <c r="S201" i="31" s="1"/>
  <c r="C202" i="31"/>
  <c r="R202" i="31" s="1"/>
  <c r="S202" i="31" s="1"/>
  <c r="C203" i="31"/>
  <c r="R203" i="31" s="1"/>
  <c r="S203" i="31" s="1"/>
  <c r="C204" i="31"/>
  <c r="R204" i="31" s="1"/>
  <c r="S204" i="31" s="1"/>
  <c r="C205" i="31"/>
  <c r="R205" i="31" s="1"/>
  <c r="S205" i="31" s="1"/>
  <c r="C206" i="31"/>
  <c r="R206" i="31" s="1"/>
  <c r="S206" i="31" s="1"/>
  <c r="C207" i="31"/>
  <c r="R207" i="31" s="1"/>
  <c r="S207" i="31" s="1"/>
  <c r="C208" i="31"/>
  <c r="R208" i="31" s="1"/>
  <c r="S208" i="31" s="1"/>
  <c r="C209" i="31"/>
  <c r="R209" i="31" s="1"/>
  <c r="S209" i="31" s="1"/>
  <c r="C210" i="31"/>
  <c r="R210" i="31" s="1"/>
  <c r="S210" i="31" s="1"/>
  <c r="C211" i="31"/>
  <c r="R211" i="31" s="1"/>
  <c r="S211" i="31" s="1"/>
  <c r="C212" i="31"/>
  <c r="R212" i="31" s="1"/>
  <c r="S212" i="31" s="1"/>
  <c r="C213" i="31"/>
  <c r="R213" i="31" s="1"/>
  <c r="S213" i="31" s="1"/>
  <c r="C214" i="31"/>
  <c r="R214" i="31" s="1"/>
  <c r="S214" i="31" s="1"/>
  <c r="C215" i="31"/>
  <c r="R215" i="31" s="1"/>
  <c r="S215" i="31" s="1"/>
  <c r="C216" i="31"/>
  <c r="R216" i="31" s="1"/>
  <c r="S216" i="31" s="1"/>
  <c r="C217" i="31"/>
  <c r="R217" i="31" s="1"/>
  <c r="S217" i="31" s="1"/>
  <c r="C218" i="31"/>
  <c r="R218" i="31" s="1"/>
  <c r="S218" i="31" s="1"/>
  <c r="C219" i="31"/>
  <c r="R219" i="31" s="1"/>
  <c r="S219" i="31" s="1"/>
  <c r="C220" i="31"/>
  <c r="R220" i="31" s="1"/>
  <c r="S220" i="31" s="1"/>
  <c r="C221" i="31"/>
  <c r="R221" i="31" s="1"/>
  <c r="S221" i="31" s="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506" i="31"/>
  <c r="S502" i="31"/>
  <c r="S498" i="31"/>
  <c r="S467" i="31"/>
  <c r="S466" i="31"/>
  <c r="S465" i="31"/>
  <c r="S464" i="31"/>
  <c r="S463" i="31"/>
  <c r="S462" i="31"/>
  <c r="S461" i="31"/>
  <c r="S460" i="31"/>
  <c r="S459" i="31"/>
  <c r="S458" i="31"/>
  <c r="S457" i="31"/>
  <c r="S456" i="31"/>
  <c r="S455" i="31"/>
  <c r="S454" i="31"/>
  <c r="S453" i="31"/>
  <c r="S452" i="31"/>
  <c r="S451" i="31"/>
  <c r="S45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A503" i="3" s="1"/>
  <c r="AZ503" i="3" s="1"/>
  <c r="BG503" i="3"/>
  <c r="BH503" i="3"/>
  <c r="BI503" i="3"/>
  <c r="BJ503" i="3"/>
  <c r="BK503" i="3"/>
  <c r="BM503" i="3"/>
  <c r="BN503" i="3"/>
  <c r="BO503" i="3"/>
  <c r="BL503" i="3" s="1"/>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L505" i="3" s="1"/>
  <c r="BR505" i="3"/>
  <c r="BS505" i="3"/>
  <c r="BT505" i="3"/>
  <c r="H506" i="3"/>
  <c r="AC506" i="3"/>
  <c r="BB506" i="3"/>
  <c r="BC506" i="3"/>
  <c r="BD506" i="3"/>
  <c r="BA506" i="3" s="1"/>
  <c r="AZ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AZ508" i="3" s="1"/>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BL509" i="3" s="1"/>
  <c r="H510" i="3"/>
  <c r="AC510" i="3"/>
  <c r="BB510" i="3"/>
  <c r="BC510" i="3"/>
  <c r="BD510" i="3"/>
  <c r="BE510" i="3"/>
  <c r="BF510" i="3"/>
  <c r="BG510" i="3"/>
  <c r="BA510" i="3" s="1"/>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AC513" i="3"/>
  <c r="BB513" i="3"/>
  <c r="BC513" i="3"/>
  <c r="BD513" i="3"/>
  <c r="BA513" i="3" s="1"/>
  <c r="AZ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L514" i="3" s="1"/>
  <c r="BS514" i="3"/>
  <c r="BT514" i="3"/>
  <c r="H515" i="3"/>
  <c r="AC515" i="3"/>
  <c r="BB515" i="3"/>
  <c r="BC515" i="3"/>
  <c r="BD515" i="3"/>
  <c r="BE515" i="3"/>
  <c r="BA515" i="3" s="1"/>
  <c r="BF515" i="3"/>
  <c r="BG515" i="3"/>
  <c r="BH515" i="3"/>
  <c r="BI515" i="3"/>
  <c r="BJ515" i="3"/>
  <c r="BK515" i="3"/>
  <c r="BM515" i="3"/>
  <c r="BN515" i="3"/>
  <c r="BL515" i="3" s="1"/>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L516" i="3" s="1"/>
  <c r="BT516" i="3"/>
  <c r="H517" i="3"/>
  <c r="AC517" i="3"/>
  <c r="BB517" i="3"/>
  <c r="BC517" i="3"/>
  <c r="BD517" i="3"/>
  <c r="BE517" i="3"/>
  <c r="BF517" i="3"/>
  <c r="BA517" i="3" s="1"/>
  <c r="AZ517" i="3" s="1"/>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AZ519" i="3" s="1"/>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A521" i="3" s="1"/>
  <c r="BJ521" i="3"/>
  <c r="BK521" i="3"/>
  <c r="BM521" i="3"/>
  <c r="BN521" i="3"/>
  <c r="BO521" i="3"/>
  <c r="BP521" i="3"/>
  <c r="BR521" i="3"/>
  <c r="BS521" i="3"/>
  <c r="BT521" i="3"/>
  <c r="H522" i="3"/>
  <c r="AC522" i="3"/>
  <c r="BB522" i="3"/>
  <c r="BC522" i="3"/>
  <c r="BD522" i="3"/>
  <c r="BE522" i="3"/>
  <c r="BF522" i="3"/>
  <c r="BA522" i="3" s="1"/>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A524" i="3" s="1"/>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A526" i="3" s="1"/>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A539" i="3" s="1"/>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A550" i="3" s="1"/>
  <c r="BK550" i="3"/>
  <c r="BM550" i="3"/>
  <c r="BN550" i="3"/>
  <c r="BO550" i="3"/>
  <c r="BP550" i="3"/>
  <c r="BQ550" i="3"/>
  <c r="BR550" i="3"/>
  <c r="BL550" i="3" s="1"/>
  <c r="BS550" i="3"/>
  <c r="BT550" i="3"/>
  <c r="H551" i="3"/>
  <c r="AC551" i="3"/>
  <c r="G551" i="3" s="1"/>
  <c r="BB551" i="3"/>
  <c r="BC551" i="3"/>
  <c r="BD551" i="3"/>
  <c r="BA551" i="3" s="1"/>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BL570" i="3" s="1"/>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A575" i="3" s="1"/>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A577" i="3" s="1"/>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BL579" i="3" s="1"/>
  <c r="H580" i="3"/>
  <c r="AC580" i="3"/>
  <c r="BB580" i="3"/>
  <c r="BC580" i="3"/>
  <c r="BD580" i="3"/>
  <c r="BE580" i="3"/>
  <c r="BF580" i="3"/>
  <c r="BG580" i="3"/>
  <c r="BA580" i="3" s="1"/>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L584" i="3" s="1"/>
  <c r="BR584" i="3"/>
  <c r="BS584" i="3"/>
  <c r="BT584" i="3"/>
  <c r="H7" i="12"/>
  <c r="I7" i="12"/>
  <c r="J7" i="12"/>
  <c r="K7" i="12"/>
  <c r="H111" i="21"/>
  <c r="B109" i="39"/>
  <c r="B111" i="39"/>
  <c r="F36" i="39" s="1"/>
  <c r="S36" i="39" s="1"/>
  <c r="J30" i="36"/>
  <c r="H30" i="36"/>
  <c r="F30" i="36"/>
  <c r="AA30" i="36" s="1"/>
  <c r="C26" i="35"/>
  <c r="C79" i="35" s="1"/>
  <c r="J31" i="35"/>
  <c r="W31" i="35" s="1"/>
  <c r="H31" i="35"/>
  <c r="U31" i="35" s="1"/>
  <c r="F31" i="35"/>
  <c r="D87" i="35"/>
  <c r="E87" i="35" s="1"/>
  <c r="F87" i="35" s="1"/>
  <c r="G87" i="35" s="1"/>
  <c r="H87" i="35" s="1"/>
  <c r="I87" i="35" s="1"/>
  <c r="J87" i="35" s="1"/>
  <c r="K87" i="35" s="1"/>
  <c r="L87" i="35"/>
  <c r="M87" i="35" s="1"/>
  <c r="H34" i="37"/>
  <c r="D101" i="37"/>
  <c r="F34" i="37"/>
  <c r="D99" i="37"/>
  <c r="E99" i="37"/>
  <c r="F99" i="37" s="1"/>
  <c r="G99" i="37" s="1"/>
  <c r="H99" i="37" s="1"/>
  <c r="I99" i="37"/>
  <c r="J99" i="37" s="1"/>
  <c r="K99" i="37" s="1"/>
  <c r="L99" i="37" s="1"/>
  <c r="M99" i="37" s="1"/>
  <c r="H42" i="34"/>
  <c r="J42" i="34"/>
  <c r="W42" i="34" s="1"/>
  <c r="F42" i="34"/>
  <c r="D114" i="34"/>
  <c r="J38" i="34" s="1"/>
  <c r="D112" i="34"/>
  <c r="E112" i="34" s="1"/>
  <c r="F112" i="34" s="1"/>
  <c r="F40" i="33"/>
  <c r="J41" i="33"/>
  <c r="W41" i="33" s="1"/>
  <c r="D113" i="33"/>
  <c r="F37" i="33"/>
  <c r="S37" i="33" s="1"/>
  <c r="D111" i="33"/>
  <c r="E111" i="33" s="1"/>
  <c r="F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B103" i="40"/>
  <c r="J32" i="40" s="1"/>
  <c r="AC32" i="40"/>
  <c r="B101" i="40"/>
  <c r="J31" i="40" s="1"/>
  <c r="AC31" i="40" s="1"/>
  <c r="D100" i="40"/>
  <c r="E100" i="40"/>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Q39" i="40"/>
  <c r="Z39" i="40"/>
  <c r="Q38" i="40"/>
  <c r="Z38" i="40"/>
  <c r="J38" i="40"/>
  <c r="AC38" i="40" s="1"/>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c r="Q23" i="40"/>
  <c r="Z23" i="40"/>
  <c r="Q21" i="40"/>
  <c r="Z21" i="40" s="1"/>
  <c r="Q19" i="40"/>
  <c r="Z19" i="40"/>
  <c r="Q17" i="40"/>
  <c r="Z17" i="40"/>
  <c r="Q15" i="40"/>
  <c r="Z15" i="40"/>
  <c r="Q14" i="40"/>
  <c r="Z14" i="40" s="1"/>
  <c r="Q13" i="40"/>
  <c r="Z13" i="40"/>
  <c r="Q12" i="40"/>
  <c r="Z12" i="40"/>
  <c r="Q11" i="40"/>
  <c r="Z11" i="40"/>
  <c r="Q10" i="40"/>
  <c r="Z10" i="40" s="1"/>
  <c r="Q9" i="40"/>
  <c r="Z9" i="40"/>
  <c r="J9" i="40"/>
  <c r="W9" i="40"/>
  <c r="H9" i="40"/>
  <c r="AB9" i="40"/>
  <c r="F9" i="40"/>
  <c r="S9" i="40" s="1"/>
  <c r="J8" i="40"/>
  <c r="AC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s="1"/>
  <c r="Q9" i="39"/>
  <c r="Z9" i="39" s="1"/>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c r="D75" i="37"/>
  <c r="E75" i="37"/>
  <c r="D73" i="37"/>
  <c r="E73" i="37" s="1"/>
  <c r="F73" i="37" s="1"/>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AC31" i="37"/>
  <c r="Q30" i="37"/>
  <c r="Z30" i="37" s="1"/>
  <c r="J30" i="37"/>
  <c r="AC30" i="37" s="1"/>
  <c r="H30" i="37"/>
  <c r="AB30" i="37" s="1"/>
  <c r="F30" i="37"/>
  <c r="AA30" i="37" s="1"/>
  <c r="Q29" i="37"/>
  <c r="Z29" i="37" s="1"/>
  <c r="H29" i="37"/>
  <c r="AB29" i="37"/>
  <c r="Q28" i="37"/>
  <c r="Z28" i="37"/>
  <c r="Q27" i="37"/>
  <c r="Z27" i="37" s="1"/>
  <c r="Q26" i="37"/>
  <c r="Z26" i="37" s="1"/>
  <c r="J26" i="37"/>
  <c r="AC26" i="37"/>
  <c r="F26" i="37"/>
  <c r="AA26" i="37" s="1"/>
  <c r="Q25" i="37"/>
  <c r="Z25" i="37" s="1"/>
  <c r="J25" i="37"/>
  <c r="AC25" i="37"/>
  <c r="F25" i="37"/>
  <c r="AA25" i="37"/>
  <c r="Q23" i="37"/>
  <c r="Z23" i="37" s="1"/>
  <c r="Q19" i="37"/>
  <c r="Z19" i="37" s="1"/>
  <c r="Q17" i="37"/>
  <c r="Z17" i="37"/>
  <c r="Q15" i="37"/>
  <c r="Z15" i="37"/>
  <c r="Q14" i="37"/>
  <c r="Z14" i="37" s="1"/>
  <c r="Q13" i="37"/>
  <c r="Z13" i="37" s="1"/>
  <c r="Q12" i="37"/>
  <c r="Z12" i="37"/>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c r="F83" i="36" s="1"/>
  <c r="G83" i="36" s="1"/>
  <c r="H83" i="36"/>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c r="D68" i="36"/>
  <c r="E68" i="36" s="1"/>
  <c r="F68" i="36" s="1"/>
  <c r="G68" i="36" s="1"/>
  <c r="D64" i="36"/>
  <c r="E64" i="36"/>
  <c r="F64" i="36" s="1"/>
  <c r="G64" i="36" s="1"/>
  <c r="J16" i="36"/>
  <c r="D62" i="36"/>
  <c r="E62" i="36" s="1"/>
  <c r="F62" i="36" s="1"/>
  <c r="G62" i="36" s="1"/>
  <c r="B59" i="36"/>
  <c r="B57" i="36"/>
  <c r="H12" i="36" s="1"/>
  <c r="U12" i="36" s="1"/>
  <c r="J12" i="36"/>
  <c r="B55" i="36"/>
  <c r="C51" i="36"/>
  <c r="J9" i="36" s="1"/>
  <c r="AC9" i="36" s="1"/>
  <c r="P37" i="36"/>
  <c r="P36" i="36"/>
  <c r="V35" i="36"/>
  <c r="T35" i="36"/>
  <c r="R35" i="36"/>
  <c r="P35" i="36"/>
  <c r="Q34" i="36"/>
  <c r="Z34" i="36"/>
  <c r="Q33" i="36"/>
  <c r="Z33" i="36"/>
  <c r="Q32" i="36"/>
  <c r="Z32" i="36" s="1"/>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s="1"/>
  <c r="Q22" i="36"/>
  <c r="Z22" i="36" s="1"/>
  <c r="J22" i="36"/>
  <c r="AC22" i="36"/>
  <c r="Q20" i="36"/>
  <c r="Z20" i="36"/>
  <c r="Q16" i="36"/>
  <c r="Z16" i="36"/>
  <c r="Q14" i="36"/>
  <c r="Z14" i="36" s="1"/>
  <c r="Q13" i="36"/>
  <c r="Z13" i="36"/>
  <c r="Q12" i="36"/>
  <c r="Z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AC22" i="35" s="1"/>
  <c r="B101" i="35"/>
  <c r="H36" i="35" s="1"/>
  <c r="AB36" i="35" s="1"/>
  <c r="B99" i="35"/>
  <c r="B97" i="35"/>
  <c r="B77" i="35"/>
  <c r="B75" i="35"/>
  <c r="J24" i="35" s="1"/>
  <c r="AC24" i="35" s="1"/>
  <c r="B73" i="35"/>
  <c r="H23" i="35"/>
  <c r="U2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s="1"/>
  <c r="H80" i="35" s="1"/>
  <c r="I80" i="35" s="1"/>
  <c r="J80" i="35" s="1"/>
  <c r="K80" i="35" s="1"/>
  <c r="L80" i="35" s="1"/>
  <c r="M80" i="35" s="1"/>
  <c r="D72" i="35"/>
  <c r="E72" i="35"/>
  <c r="F72" i="35" s="1"/>
  <c r="G72" i="35" s="1"/>
  <c r="D70" i="35"/>
  <c r="E70" i="35"/>
  <c r="F70" i="35"/>
  <c r="G70" i="35" s="1"/>
  <c r="D66" i="35"/>
  <c r="E66" i="35"/>
  <c r="F66" i="35" s="1"/>
  <c r="G66" i="35" s="1"/>
  <c r="D64" i="35"/>
  <c r="E64" i="35"/>
  <c r="F64" i="35"/>
  <c r="G64" i="35" s="1"/>
  <c r="J14" i="35"/>
  <c r="W14" i="35"/>
  <c r="C53" i="35"/>
  <c r="J9" i="35"/>
  <c r="P39" i="35"/>
  <c r="P38" i="35"/>
  <c r="V37" i="35"/>
  <c r="T37" i="35"/>
  <c r="R37" i="35"/>
  <c r="P37" i="35"/>
  <c r="Q36" i="35"/>
  <c r="Z36" i="35"/>
  <c r="Q35" i="35"/>
  <c r="Z35" i="35" s="1"/>
  <c r="Q34" i="35"/>
  <c r="Z34" i="35"/>
  <c r="J34" i="35"/>
  <c r="AC34" i="35"/>
  <c r="H34" i="35"/>
  <c r="AB34" i="35"/>
  <c r="F34" i="35"/>
  <c r="AA34" i="35" s="1"/>
  <c r="Q33" i="35"/>
  <c r="Z33" i="35"/>
  <c r="Q32" i="35"/>
  <c r="Z32" i="35"/>
  <c r="H32" i="35"/>
  <c r="AB32" i="35" s="1"/>
  <c r="F32" i="35"/>
  <c r="AA32" i="35" s="1"/>
  <c r="Q31" i="35"/>
  <c r="Z31" i="35" s="1"/>
  <c r="AC31" i="35"/>
  <c r="AB31" i="35"/>
  <c r="AA31" i="35"/>
  <c r="Q30" i="35"/>
  <c r="Z30" i="35" s="1"/>
  <c r="Q29" i="35"/>
  <c r="Z29" i="35"/>
  <c r="Q28" i="35"/>
  <c r="Z28" i="35"/>
  <c r="J28" i="35"/>
  <c r="AC28" i="35" s="1"/>
  <c r="H28" i="35"/>
  <c r="AB28" i="35" s="1"/>
  <c r="F28" i="35"/>
  <c r="AA28" i="35"/>
  <c r="Q27" i="35"/>
  <c r="Z27" i="35"/>
  <c r="Q26" i="35"/>
  <c r="Z26" i="35" s="1"/>
  <c r="Q25" i="35"/>
  <c r="Z25" i="35" s="1"/>
  <c r="Q24" i="35"/>
  <c r="Z24" i="35"/>
  <c r="Q23" i="35"/>
  <c r="Z23" i="35"/>
  <c r="J23" i="35"/>
  <c r="AC23" i="35" s="1"/>
  <c r="Q22" i="35"/>
  <c r="Z22" i="35" s="1"/>
  <c r="Q20" i="35"/>
  <c r="Z20" i="35"/>
  <c r="Q16" i="35"/>
  <c r="Z16" i="35"/>
  <c r="Q14" i="35"/>
  <c r="Z14" i="35" s="1"/>
  <c r="Q13" i="35"/>
  <c r="Z13" i="35" s="1"/>
  <c r="Q12" i="35"/>
  <c r="Z12" i="35"/>
  <c r="Q11" i="35"/>
  <c r="Z11" i="35"/>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c r="Q43" i="34"/>
  <c r="Z43" i="34"/>
  <c r="Q42" i="34"/>
  <c r="Z42" i="34" s="1"/>
  <c r="Q41" i="34"/>
  <c r="Z41" i="34"/>
  <c r="Q40" i="34"/>
  <c r="Z40" i="34"/>
  <c r="Q39" i="34"/>
  <c r="Z39" i="34"/>
  <c r="H39" i="34"/>
  <c r="AB39" i="34" s="1"/>
  <c r="Q38" i="34"/>
  <c r="Z38" i="34"/>
  <c r="Q37" i="34"/>
  <c r="Z37" i="34" s="1"/>
  <c r="Q36" i="34"/>
  <c r="Z36" i="34" s="1"/>
  <c r="Q35" i="34"/>
  <c r="Z35" i="34"/>
  <c r="Q34" i="34"/>
  <c r="Z34" i="34"/>
  <c r="J34" i="34"/>
  <c r="AC34" i="34" s="1"/>
  <c r="H34" i="34"/>
  <c r="AB34" i="34" s="1"/>
  <c r="F34" i="34"/>
  <c r="AA34" i="34" s="1"/>
  <c r="Q33" i="34"/>
  <c r="Z33" i="34"/>
  <c r="Q32" i="34"/>
  <c r="Z32" i="34" s="1"/>
  <c r="Q31" i="34"/>
  <c r="Z31" i="34"/>
  <c r="Q30" i="34"/>
  <c r="Z30" i="34"/>
  <c r="Q29" i="34"/>
  <c r="Z29" i="34"/>
  <c r="Q28" i="34"/>
  <c r="Z28" i="34" s="1"/>
  <c r="Q27" i="34"/>
  <c r="Z27" i="34"/>
  <c r="Q25" i="34"/>
  <c r="Z25" i="34"/>
  <c r="Q23" i="34"/>
  <c r="Z23" i="34"/>
  <c r="C23" i="34"/>
  <c r="Q19" i="34"/>
  <c r="Z19" i="34"/>
  <c r="C19" i="34"/>
  <c r="Q17" i="34"/>
  <c r="Z17" i="34"/>
  <c r="C17" i="34"/>
  <c r="Q15" i="34"/>
  <c r="Z15" i="34"/>
  <c r="Q14" i="34"/>
  <c r="Z14" i="34"/>
  <c r="Q13" i="34"/>
  <c r="Z13" i="34" s="1"/>
  <c r="Q12" i="34"/>
  <c r="Z12" i="34" s="1"/>
  <c r="Q11" i="34"/>
  <c r="Z11" i="34"/>
  <c r="Q10" i="34"/>
  <c r="Z10" i="34"/>
  <c r="F10" i="34"/>
  <c r="AA10" i="34" s="1"/>
  <c r="Q9" i="34"/>
  <c r="Z9" i="34"/>
  <c r="J8" i="34"/>
  <c r="H8" i="34"/>
  <c r="U8" i="34" s="1"/>
  <c r="F8" i="34"/>
  <c r="AA8" i="34" s="1"/>
  <c r="D121" i="33"/>
  <c r="E121" i="33"/>
  <c r="F109" i="33"/>
  <c r="E109" i="33"/>
  <c r="D109" i="33"/>
  <c r="C109" i="33"/>
  <c r="D91" i="33"/>
  <c r="E91" i="33" s="1"/>
  <c r="B88" i="33"/>
  <c r="J26" i="33" s="1"/>
  <c r="W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c r="Q44" i="33"/>
  <c r="Z44" i="33"/>
  <c r="Q43" i="33"/>
  <c r="Z43" i="33" s="1"/>
  <c r="Q42" i="33"/>
  <c r="Z42" i="33"/>
  <c r="J42" i="33"/>
  <c r="AC42" i="33" s="1"/>
  <c r="AC41" i="33"/>
  <c r="Q41" i="33"/>
  <c r="Z41" i="33"/>
  <c r="Q40" i="33"/>
  <c r="Z40" i="33"/>
  <c r="J40" i="33"/>
  <c r="H40" i="33"/>
  <c r="AB40" i="33" s="1"/>
  <c r="AA40" i="33"/>
  <c r="Q39" i="33"/>
  <c r="Z39" i="33"/>
  <c r="J39" i="33"/>
  <c r="AC39" i="33" s="1"/>
  <c r="Q38" i="33"/>
  <c r="Z38" i="33"/>
  <c r="J38" i="33"/>
  <c r="AC38" i="33" s="1"/>
  <c r="F38" i="33"/>
  <c r="AA38" i="33" s="1"/>
  <c r="Q37" i="33"/>
  <c r="Z37" i="33"/>
  <c r="Q36" i="33"/>
  <c r="Z36" i="33" s="1"/>
  <c r="Q35" i="33"/>
  <c r="Z35" i="33"/>
  <c r="H35" i="33"/>
  <c r="AB35" i="33" s="1"/>
  <c r="Q34" i="33"/>
  <c r="Z34" i="33" s="1"/>
  <c r="Q33" i="33"/>
  <c r="Z33" i="33"/>
  <c r="J33" i="33"/>
  <c r="AC33" i="33" s="1"/>
  <c r="H33" i="33"/>
  <c r="AB33" i="33" s="1"/>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s="1"/>
  <c r="Q14" i="33"/>
  <c r="Z14" i="33" s="1"/>
  <c r="Q13" i="33"/>
  <c r="Z13" i="33"/>
  <c r="Q12" i="33"/>
  <c r="Z12" i="33"/>
  <c r="H12" i="33"/>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s="1"/>
  <c r="C24" i="20"/>
  <c r="B97" i="43" s="1"/>
  <c r="C21" i="20"/>
  <c r="B99" i="43" s="1"/>
  <c r="B76" i="43"/>
  <c r="C20" i="20"/>
  <c r="B101" i="43" s="1"/>
  <c r="B79" i="43"/>
  <c r="C18" i="20"/>
  <c r="C17" i="20"/>
  <c r="B61" i="43" s="1"/>
  <c r="C16" i="20"/>
  <c r="C17" i="39"/>
  <c r="C15" i="20"/>
  <c r="B72" i="43" s="1"/>
  <c r="E54" i="21"/>
  <c r="F54" i="21" s="1"/>
  <c r="I54" i="21"/>
  <c r="J54" i="21" s="1"/>
  <c r="G54" i="21"/>
  <c r="H54" i="21" s="1"/>
  <c r="D125" i="21"/>
  <c r="E125" i="21" s="1"/>
  <c r="F125" i="21" s="1"/>
  <c r="G125" i="21" s="1"/>
  <c r="D123" i="21"/>
  <c r="E123" i="21"/>
  <c r="F123" i="2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c r="B130" i="21"/>
  <c r="B128" i="21"/>
  <c r="J45" i="21"/>
  <c r="W45" i="21"/>
  <c r="B126" i="21"/>
  <c r="B98" i="21"/>
  <c r="H31" i="21" s="1"/>
  <c r="B96" i="21"/>
  <c r="B94" i="21"/>
  <c r="J29" i="21" s="1"/>
  <c r="AC29" i="21" s="1"/>
  <c r="B92" i="21"/>
  <c r="B90" i="21"/>
  <c r="J27" i="21"/>
  <c r="W27" i="21" s="1"/>
  <c r="B74" i="21"/>
  <c r="B72" i="21"/>
  <c r="H13" i="21" s="1"/>
  <c r="B70" i="21"/>
  <c r="F12" i="21"/>
  <c r="S12" i="21" s="1"/>
  <c r="C19" i="21"/>
  <c r="C17" i="21"/>
  <c r="C23" i="21"/>
  <c r="Q9" i="21"/>
  <c r="Z9" i="21"/>
  <c r="Q10" i="21"/>
  <c r="Z10" i="21"/>
  <c r="Q11" i="21"/>
  <c r="Z11" i="21" s="1"/>
  <c r="Q12" i="21"/>
  <c r="Z12" i="21" s="1"/>
  <c r="Q13" i="21"/>
  <c r="Z13" i="21"/>
  <c r="Q14" i="21"/>
  <c r="Z14" i="21"/>
  <c r="Q15" i="21"/>
  <c r="Z15" i="21" s="1"/>
  <c r="Q17" i="21"/>
  <c r="Z17" i="21" s="1"/>
  <c r="Q19" i="21"/>
  <c r="Z19" i="21"/>
  <c r="Q23" i="21"/>
  <c r="Z23" i="21"/>
  <c r="Q25" i="21"/>
  <c r="Z25" i="21" s="1"/>
  <c r="Q26" i="21"/>
  <c r="Z26" i="21" s="1"/>
  <c r="Q27" i="21"/>
  <c r="Z27" i="21"/>
  <c r="Q28" i="21"/>
  <c r="Z28" i="2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c r="J39" i="21"/>
  <c r="AC39" i="21" s="1"/>
  <c r="Q39" i="21"/>
  <c r="Z39" i="21" s="1"/>
  <c r="H40" i="21"/>
  <c r="AB40" i="21"/>
  <c r="Q40" i="21"/>
  <c r="Z40" i="21"/>
  <c r="Q41" i="21"/>
  <c r="Z41" i="21" s="1"/>
  <c r="Q42" i="21"/>
  <c r="Z42" i="21" s="1"/>
  <c r="J43" i="21"/>
  <c r="AC43" i="2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A586" i="3" s="1"/>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c r="F38" i="21"/>
  <c r="S38" i="21"/>
  <c r="F36" i="21"/>
  <c r="S36" i="21"/>
  <c r="F39" i="21"/>
  <c r="AA39" i="21" s="1"/>
  <c r="J40" i="21"/>
  <c r="W40" i="21"/>
  <c r="H35" i="21"/>
  <c r="AB35" i="21"/>
  <c r="J8" i="21"/>
  <c r="AC8" i="21" s="1"/>
  <c r="H8" i="21"/>
  <c r="U8" i="21" s="1"/>
  <c r="H10" i="21"/>
  <c r="AB10" i="21" s="1"/>
  <c r="H39" i="21"/>
  <c r="U39" i="21"/>
  <c r="J34" i="21"/>
  <c r="W34" i="21" s="1"/>
  <c r="H36" i="21"/>
  <c r="U36" i="21" s="1"/>
  <c r="F35" i="21"/>
  <c r="AA35" i="21"/>
  <c r="J10" i="21"/>
  <c r="AC10" i="21" s="1"/>
  <c r="H26" i="21"/>
  <c r="AB26" i="21"/>
  <c r="AB19" i="21"/>
  <c r="J19" i="21"/>
  <c r="W19" i="21" s="1"/>
  <c r="J12" i="21"/>
  <c r="AC12" i="21" s="1"/>
  <c r="H12" i="21"/>
  <c r="AB12" i="21" s="1"/>
  <c r="J26" i="21"/>
  <c r="W26" i="21"/>
  <c r="F26" i="21"/>
  <c r="S26" i="21" s="1"/>
  <c r="AB41" i="21"/>
  <c r="S41" i="21"/>
  <c r="AA41" i="21"/>
  <c r="F45" i="39"/>
  <c r="S45" i="39" s="1"/>
  <c r="J45" i="39"/>
  <c r="W45" i="39"/>
  <c r="H36" i="39"/>
  <c r="AB36" i="39" s="1"/>
  <c r="J35" i="39"/>
  <c r="AC35" i="39"/>
  <c r="F35" i="39"/>
  <c r="AA35" i="39"/>
  <c r="U9" i="39"/>
  <c r="W25" i="37"/>
  <c r="U30" i="37"/>
  <c r="W31" i="37"/>
  <c r="E103" i="37"/>
  <c r="F103" i="37" s="1"/>
  <c r="G103" i="37" s="1"/>
  <c r="H103" i="37" s="1"/>
  <c r="I103" i="37" s="1"/>
  <c r="J103" i="37" s="1"/>
  <c r="K103" i="37" s="1"/>
  <c r="L103" i="37" s="1"/>
  <c r="M103" i="37" s="1"/>
  <c r="F39" i="37"/>
  <c r="S39" i="37"/>
  <c r="U14" i="37"/>
  <c r="F29" i="36"/>
  <c r="AA29" i="36" s="1"/>
  <c r="F16" i="36"/>
  <c r="AA16" i="36"/>
  <c r="W28" i="36"/>
  <c r="U31" i="36"/>
  <c r="J33" i="36"/>
  <c r="AC33" i="36" s="1"/>
  <c r="H22" i="35"/>
  <c r="AB22" i="35" s="1"/>
  <c r="W28" i="35"/>
  <c r="S34" i="35"/>
  <c r="W34" i="35"/>
  <c r="W22" i="35"/>
  <c r="S31" i="35"/>
  <c r="U34" i="35"/>
  <c r="F36" i="34"/>
  <c r="J35" i="34"/>
  <c r="U34" i="34"/>
  <c r="H39" i="33"/>
  <c r="AB39" i="33" s="1"/>
  <c r="U33" i="33"/>
  <c r="S40" i="33"/>
  <c r="H39" i="37"/>
  <c r="AB39" i="37" s="1"/>
  <c r="S27" i="35"/>
  <c r="F11" i="40"/>
  <c r="AA11" i="40"/>
  <c r="H11" i="40"/>
  <c r="AB11" i="40" s="1"/>
  <c r="W8" i="40"/>
  <c r="AA9" i="40"/>
  <c r="AC9" i="40"/>
  <c r="U9" i="40"/>
  <c r="S34" i="40"/>
  <c r="W31" i="40"/>
  <c r="U34" i="40"/>
  <c r="S38" i="40"/>
  <c r="F42" i="39"/>
  <c r="AA42" i="39" s="1"/>
  <c r="F41" i="39"/>
  <c r="S41" i="39" s="1"/>
  <c r="H40" i="39"/>
  <c r="AB40" i="39" s="1"/>
  <c r="H39" i="39"/>
  <c r="U39" i="39" s="1"/>
  <c r="S38" i="39"/>
  <c r="H34" i="39"/>
  <c r="U34" i="39" s="1"/>
  <c r="E108" i="39"/>
  <c r="H31" i="39"/>
  <c r="AB31" i="39"/>
  <c r="F31" i="39"/>
  <c r="AA31" i="39"/>
  <c r="E100" i="39"/>
  <c r="F100" i="39" s="1"/>
  <c r="G100" i="39" s="1"/>
  <c r="H19" i="39"/>
  <c r="AB19" i="39" s="1"/>
  <c r="F19" i="39"/>
  <c r="AA19" i="39" s="1"/>
  <c r="H17" i="39"/>
  <c r="AB17" i="39" s="1"/>
  <c r="F17" i="39"/>
  <c r="AA17" i="39" s="1"/>
  <c r="J23" i="40"/>
  <c r="AC23" i="40" s="1"/>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H11" i="39"/>
  <c r="S40" i="39"/>
  <c r="H32" i="33"/>
  <c r="AB32" i="33" s="1"/>
  <c r="H11" i="21"/>
  <c r="U11" i="21" s="1"/>
  <c r="J11" i="21"/>
  <c r="W11" i="21" s="1"/>
  <c r="H37" i="40"/>
  <c r="U37" i="40" s="1"/>
  <c r="H36" i="40"/>
  <c r="AB36" i="40"/>
  <c r="F35" i="40"/>
  <c r="AA35" i="40"/>
  <c r="H23" i="40"/>
  <c r="H17" i="40"/>
  <c r="U17" i="40" s="1"/>
  <c r="J15" i="40"/>
  <c r="W15" i="40"/>
  <c r="J11" i="40"/>
  <c r="W11" i="40"/>
  <c r="AB8" i="39"/>
  <c r="AC12" i="34"/>
  <c r="AB12" i="36"/>
  <c r="W32" i="40"/>
  <c r="F37" i="39"/>
  <c r="AA37" i="39" s="1"/>
  <c r="J34" i="36"/>
  <c r="W34" i="36" s="1"/>
  <c r="U30" i="36"/>
  <c r="J30" i="35"/>
  <c r="W30" i="35" s="1"/>
  <c r="H30" i="35"/>
  <c r="AB30" i="35" s="1"/>
  <c r="F22" i="35"/>
  <c r="AA22" i="35"/>
  <c r="H10" i="35"/>
  <c r="U10" i="35" s="1"/>
  <c r="F33" i="36"/>
  <c r="AA33" i="36" s="1"/>
  <c r="W30" i="36"/>
  <c r="H16" i="36"/>
  <c r="AB16" i="36" s="1"/>
  <c r="E85" i="36"/>
  <c r="F85" i="36"/>
  <c r="G85" i="36" s="1"/>
  <c r="H85" i="36"/>
  <c r="I85" i="36" s="1"/>
  <c r="J85" i="36" s="1"/>
  <c r="K85" i="36" s="1"/>
  <c r="L85" i="36" s="1"/>
  <c r="M85" i="36" s="1"/>
  <c r="J29" i="36"/>
  <c r="AC29" i="36" s="1"/>
  <c r="F12" i="36"/>
  <c r="F24" i="36"/>
  <c r="AA24" i="36" s="1"/>
  <c r="F34" i="36"/>
  <c r="S34" i="36"/>
  <c r="F14" i="35"/>
  <c r="AA14" i="35"/>
  <c r="F23" i="35"/>
  <c r="AA23" i="35" s="1"/>
  <c r="J32" i="35"/>
  <c r="AC32" i="35" s="1"/>
  <c r="J16" i="35"/>
  <c r="AC16" i="35"/>
  <c r="H16" i="35"/>
  <c r="U16" i="35" s="1"/>
  <c r="F16" i="35"/>
  <c r="S16" i="35"/>
  <c r="H14" i="35"/>
  <c r="AB14" i="35"/>
  <c r="J29" i="35"/>
  <c r="H33" i="35"/>
  <c r="U33" i="35" s="1"/>
  <c r="AB33" i="35"/>
  <c r="J20" i="35"/>
  <c r="W20" i="35"/>
  <c r="F35" i="37"/>
  <c r="S35" i="37" s="1"/>
  <c r="E101" i="37"/>
  <c r="F101" i="37" s="1"/>
  <c r="G101" i="37" s="1"/>
  <c r="H101" i="37" s="1"/>
  <c r="I101" i="37" s="1"/>
  <c r="J101" i="37" s="1"/>
  <c r="K101" i="37" s="1"/>
  <c r="L101" i="37" s="1"/>
  <c r="M101" i="37" s="1"/>
  <c r="J34" i="37"/>
  <c r="W34" i="37"/>
  <c r="AA39" i="37"/>
  <c r="AB34" i="37"/>
  <c r="J33" i="37"/>
  <c r="AC33" i="37" s="1"/>
  <c r="U42" i="34"/>
  <c r="E114" i="34"/>
  <c r="H36" i="34"/>
  <c r="U36" i="34" s="1"/>
  <c r="F28" i="34"/>
  <c r="AA28" i="34"/>
  <c r="H23" i="34"/>
  <c r="U23" i="34" s="1"/>
  <c r="J23" i="34"/>
  <c r="W23" i="34" s="1"/>
  <c r="F19" i="34"/>
  <c r="F15" i="34"/>
  <c r="S15" i="34" s="1"/>
  <c r="J15" i="34"/>
  <c r="AC15" i="34" s="1"/>
  <c r="H15" i="34"/>
  <c r="AB15" i="34" s="1"/>
  <c r="J28" i="34"/>
  <c r="W28" i="34"/>
  <c r="F41" i="33"/>
  <c r="AA41" i="33" s="1"/>
  <c r="E113" i="33"/>
  <c r="F32" i="33"/>
  <c r="AA32" i="33" s="1"/>
  <c r="J19" i="33"/>
  <c r="AC19" i="33" s="1"/>
  <c r="J15" i="33"/>
  <c r="AC15" i="33" s="1"/>
  <c r="F11" i="33"/>
  <c r="AA11" i="33" s="1"/>
  <c r="F37" i="40"/>
  <c r="AA37" i="40" s="1"/>
  <c r="F36" i="40"/>
  <c r="AA36" i="40"/>
  <c r="H28" i="40"/>
  <c r="U28" i="40"/>
  <c r="F23" i="40"/>
  <c r="AA23" i="40"/>
  <c r="F17" i="40"/>
  <c r="AA17" i="40" s="1"/>
  <c r="J17" i="40"/>
  <c r="W17" i="40"/>
  <c r="F15" i="40"/>
  <c r="S15" i="40"/>
  <c r="H15" i="40"/>
  <c r="AB15" i="40"/>
  <c r="AC11" i="40"/>
  <c r="S12" i="36"/>
  <c r="AA12" i="36"/>
  <c r="AB30" i="36"/>
  <c r="F29" i="35"/>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AA15" i="34"/>
  <c r="F113" i="33"/>
  <c r="G113" i="33" s="1"/>
  <c r="H113" i="33" s="1"/>
  <c r="I113" i="33" s="1"/>
  <c r="J113" i="33" s="1"/>
  <c r="K113" i="33" s="1"/>
  <c r="L113" i="33" s="1"/>
  <c r="M113" i="33" s="1"/>
  <c r="H37" i="33"/>
  <c r="AB37" i="33" s="1"/>
  <c r="H15" i="33"/>
  <c r="AB15" i="33" s="1"/>
  <c r="H11" i="33"/>
  <c r="AB11" i="33" s="1"/>
  <c r="F28" i="40"/>
  <c r="AA28" i="40" s="1"/>
  <c r="AA42" i="34"/>
  <c r="S42" i="34"/>
  <c r="J11" i="33"/>
  <c r="W11" i="33" s="1"/>
  <c r="S28" i="34"/>
  <c r="G123" i="21"/>
  <c r="H123" i="21" s="1"/>
  <c r="I123" i="21" s="1"/>
  <c r="J123" i="21" s="1"/>
  <c r="K123" i="21" s="1"/>
  <c r="L123" i="21" s="1"/>
  <c r="M123" i="21" s="1"/>
  <c r="J42" i="21"/>
  <c r="AC42" i="21"/>
  <c r="H42" i="21"/>
  <c r="U42" i="21"/>
  <c r="J44" i="34"/>
  <c r="F44" i="34"/>
  <c r="AA44" i="34"/>
  <c r="J10" i="35"/>
  <c r="AC10" i="35" s="1"/>
  <c r="J14" i="21"/>
  <c r="W14" i="21" s="1"/>
  <c r="F14" i="21"/>
  <c r="S14" i="21"/>
  <c r="H14" i="21"/>
  <c r="U14" i="21"/>
  <c r="F28" i="21"/>
  <c r="AA28" i="21" s="1"/>
  <c r="H30" i="21"/>
  <c r="U30" i="21"/>
  <c r="F30" i="21"/>
  <c r="S30" i="21"/>
  <c r="J30" i="21"/>
  <c r="AC30" i="21" s="1"/>
  <c r="J44" i="21"/>
  <c r="AC44" i="21"/>
  <c r="H44" i="21"/>
  <c r="U44" i="21"/>
  <c r="F44" i="21"/>
  <c r="AA44" i="21"/>
  <c r="H46" i="21"/>
  <c r="U46" i="21" s="1"/>
  <c r="J46" i="21"/>
  <c r="W46" i="21"/>
  <c r="F46" i="21"/>
  <c r="AA46" i="21"/>
  <c r="E119" i="21"/>
  <c r="F119" i="21"/>
  <c r="G119" i="2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s="1"/>
  <c r="F27" i="21"/>
  <c r="AA27" i="21"/>
  <c r="H29" i="21"/>
  <c r="U29" i="21"/>
  <c r="F31" i="21"/>
  <c r="S31" i="21" s="1"/>
  <c r="F45" i="21"/>
  <c r="AA45" i="21"/>
  <c r="J13" i="33"/>
  <c r="H13" i="33"/>
  <c r="U13" i="33" s="1"/>
  <c r="F13" i="33"/>
  <c r="S13" i="33"/>
  <c r="J31" i="33"/>
  <c r="W31" i="33"/>
  <c r="H31" i="33"/>
  <c r="U31" i="33" s="1"/>
  <c r="F31" i="33"/>
  <c r="H45" i="33"/>
  <c r="U45" i="33"/>
  <c r="J45" i="33"/>
  <c r="W45" i="33"/>
  <c r="F45" i="33"/>
  <c r="AA45" i="33"/>
  <c r="H30" i="34"/>
  <c r="F30" i="34"/>
  <c r="S30" i="34"/>
  <c r="J30" i="34"/>
  <c r="H32" i="34"/>
  <c r="F32" i="34"/>
  <c r="J32" i="34"/>
  <c r="W32" i="34"/>
  <c r="H46" i="34"/>
  <c r="U46" i="34"/>
  <c r="F46" i="34"/>
  <c r="J46" i="34"/>
  <c r="H11" i="35"/>
  <c r="AB11" i="35" s="1"/>
  <c r="J11" i="35"/>
  <c r="F11" i="35"/>
  <c r="S11" i="35" s="1"/>
  <c r="J26" i="36"/>
  <c r="W26" i="36"/>
  <c r="H28" i="36"/>
  <c r="U28" i="36" s="1"/>
  <c r="J11" i="36"/>
  <c r="AC11" i="36" s="1"/>
  <c r="H11" i="36"/>
  <c r="U11" i="36" s="1"/>
  <c r="F11" i="36"/>
  <c r="AA11" i="36" s="1"/>
  <c r="H13" i="36"/>
  <c r="AB13" i="36"/>
  <c r="J13" i="36"/>
  <c r="F13" i="36"/>
  <c r="S13" i="36"/>
  <c r="E89" i="37"/>
  <c r="F89" i="37" s="1"/>
  <c r="G89" i="37"/>
  <c r="H89" i="37" s="1"/>
  <c r="I89" i="37" s="1"/>
  <c r="J89" i="37" s="1"/>
  <c r="K89" i="37" s="1"/>
  <c r="L89" i="37" s="1"/>
  <c r="M89" i="37" s="1"/>
  <c r="J29" i="37"/>
  <c r="W29" i="37"/>
  <c r="F29" i="37"/>
  <c r="S29" i="37" s="1"/>
  <c r="F105" i="37"/>
  <c r="H36" i="37"/>
  <c r="AB36" i="37"/>
  <c r="F107" i="37"/>
  <c r="J37" i="37"/>
  <c r="AC37" i="37"/>
  <c r="H37" i="37"/>
  <c r="U37" i="37" s="1"/>
  <c r="H40" i="37"/>
  <c r="U40" i="37" s="1"/>
  <c r="J40" i="37"/>
  <c r="AC40" i="37"/>
  <c r="F40" i="37"/>
  <c r="AA40" i="37" s="1"/>
  <c r="AC12" i="40"/>
  <c r="W12" i="40"/>
  <c r="H14" i="33"/>
  <c r="U14" i="33" s="1"/>
  <c r="F14" i="33"/>
  <c r="S14" i="33"/>
  <c r="J14" i="33"/>
  <c r="H30" i="33"/>
  <c r="F30" i="33"/>
  <c r="J30" i="33"/>
  <c r="H44" i="33"/>
  <c r="J44" i="33"/>
  <c r="AC44" i="33"/>
  <c r="F44" i="33"/>
  <c r="AA44" i="33" s="1"/>
  <c r="S44" i="33"/>
  <c r="J46" i="33"/>
  <c r="AC46" i="33" s="1"/>
  <c r="F46" i="33"/>
  <c r="AA46" i="33" s="1"/>
  <c r="H46" i="33"/>
  <c r="AB46" i="33"/>
  <c r="H13" i="34"/>
  <c r="U13" i="34"/>
  <c r="J13" i="34"/>
  <c r="W13" i="34" s="1"/>
  <c r="F13" i="34"/>
  <c r="AA13" i="34" s="1"/>
  <c r="J29" i="34"/>
  <c r="F29" i="34"/>
  <c r="S29" i="34"/>
  <c r="H29" i="34"/>
  <c r="AB29" i="34"/>
  <c r="J31" i="34"/>
  <c r="AC31" i="34" s="1"/>
  <c r="H31" i="34"/>
  <c r="AB31" i="34" s="1"/>
  <c r="F31" i="34"/>
  <c r="S31" i="34"/>
  <c r="H45" i="34"/>
  <c r="U45" i="34" s="1"/>
  <c r="J45" i="34"/>
  <c r="W45" i="34" s="1"/>
  <c r="F45" i="34"/>
  <c r="S45" i="34" s="1"/>
  <c r="H47" i="34"/>
  <c r="U47" i="34"/>
  <c r="F47" i="34"/>
  <c r="S47" i="34"/>
  <c r="J47" i="34"/>
  <c r="AC47" i="34" s="1"/>
  <c r="F13" i="35"/>
  <c r="AA13" i="35" s="1"/>
  <c r="J13" i="35"/>
  <c r="AC13" i="35"/>
  <c r="H13" i="35"/>
  <c r="U13" i="35"/>
  <c r="J25" i="35"/>
  <c r="W25" i="35" s="1"/>
  <c r="F25" i="35"/>
  <c r="S25" i="35" s="1"/>
  <c r="H25" i="35"/>
  <c r="AB25" i="35"/>
  <c r="J35" i="35"/>
  <c r="AC35" i="35"/>
  <c r="F35" i="35"/>
  <c r="AA35" i="35" s="1"/>
  <c r="H35" i="35"/>
  <c r="AB35" i="35" s="1"/>
  <c r="H25" i="36"/>
  <c r="AB25" i="36" s="1"/>
  <c r="H13" i="37"/>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H30" i="40"/>
  <c r="AB30" i="40" s="1"/>
  <c r="H33" i="40"/>
  <c r="U33" i="40" s="1"/>
  <c r="J35" i="40"/>
  <c r="AC35" i="40" s="1"/>
  <c r="J37" i="40"/>
  <c r="AC37" i="40" s="1"/>
  <c r="H13" i="40"/>
  <c r="U13" i="40"/>
  <c r="J13" i="40"/>
  <c r="W13" i="40" s="1"/>
  <c r="F13" i="40"/>
  <c r="AA13" i="40" s="1"/>
  <c r="F14" i="37"/>
  <c r="S14" i="37" s="1"/>
  <c r="F13" i="39"/>
  <c r="J13" i="39"/>
  <c r="W13" i="39" s="1"/>
  <c r="H13" i="39"/>
  <c r="H14" i="40"/>
  <c r="AB14" i="40"/>
  <c r="J14" i="40"/>
  <c r="W14" i="40"/>
  <c r="F14" i="40"/>
  <c r="AA14" i="40"/>
  <c r="J14" i="37"/>
  <c r="AC14" i="37"/>
  <c r="J27" i="37"/>
  <c r="AC27" i="37" s="1"/>
  <c r="U31" i="34"/>
  <c r="U46" i="33"/>
  <c r="AA14" i="33"/>
  <c r="J36" i="37"/>
  <c r="AC36" i="37" s="1"/>
  <c r="G105" i="37"/>
  <c r="J10" i="36"/>
  <c r="AC10" i="36" s="1"/>
  <c r="AB30" i="21"/>
  <c r="AA14" i="37"/>
  <c r="AC13" i="36"/>
  <c r="W13" i="36"/>
  <c r="AB46" i="34"/>
  <c r="S45" i="33"/>
  <c r="AB45" i="33"/>
  <c r="AB31" i="33"/>
  <c r="S44" i="34"/>
  <c r="BA585" i="3"/>
  <c r="F17" i="21"/>
  <c r="AA17" i="21" s="1"/>
  <c r="H17" i="21"/>
  <c r="AB17" i="21" s="1"/>
  <c r="F15" i="21"/>
  <c r="S15" i="21" s="1"/>
  <c r="J41" i="39"/>
  <c r="W41" i="39" s="1"/>
  <c r="AC45" i="39"/>
  <c r="W35" i="39"/>
  <c r="U36" i="39"/>
  <c r="S35" i="39"/>
  <c r="G544" i="3"/>
  <c r="G540" i="3"/>
  <c r="G536" i="3"/>
  <c r="G535" i="3"/>
  <c r="G532" i="3"/>
  <c r="G531" i="3"/>
  <c r="G528" i="3"/>
  <c r="G527" i="3"/>
  <c r="G523" i="3"/>
  <c r="G518" i="3"/>
  <c r="G510" i="3"/>
  <c r="G508" i="3"/>
  <c r="G504" i="3"/>
  <c r="G496" i="3"/>
  <c r="G580" i="3"/>
  <c r="G576" i="3"/>
  <c r="G572" i="3"/>
  <c r="G568" i="3"/>
  <c r="G564" i="3"/>
  <c r="G560" i="3"/>
  <c r="G554" i="3"/>
  <c r="G550" i="3"/>
  <c r="BL580" i="3"/>
  <c r="AZ580" i="3" s="1"/>
  <c r="BL576" i="3"/>
  <c r="BL572" i="3"/>
  <c r="AZ572" i="3" s="1"/>
  <c r="BL568" i="3"/>
  <c r="BL564" i="3"/>
  <c r="BL560" i="3"/>
  <c r="BL554" i="3"/>
  <c r="BL546" i="3"/>
  <c r="BL542" i="3"/>
  <c r="BL538" i="3"/>
  <c r="BL534" i="3"/>
  <c r="BL530" i="3"/>
  <c r="AZ530" i="3" s="1"/>
  <c r="BL526" i="3"/>
  <c r="BL582" i="3"/>
  <c r="BL578" i="3"/>
  <c r="BL566" i="3"/>
  <c r="BL562" i="3"/>
  <c r="BL556" i="3"/>
  <c r="AZ556" i="3" s="1"/>
  <c r="BL552" i="3"/>
  <c r="BL544" i="3"/>
  <c r="AZ544" i="3" s="1"/>
  <c r="BL540" i="3"/>
  <c r="G533" i="3"/>
  <c r="BL532" i="3"/>
  <c r="G529" i="3"/>
  <c r="BL528" i="3"/>
  <c r="G525" i="3"/>
  <c r="BA584" i="3"/>
  <c r="BA582" i="3"/>
  <c r="AZ582" i="3" s="1"/>
  <c r="BA578" i="3"/>
  <c r="BA576" i="3"/>
  <c r="AZ576" i="3"/>
  <c r="BA574" i="3"/>
  <c r="AZ574" i="3" s="1"/>
  <c r="BA570" i="3"/>
  <c r="AZ570" i="3" s="1"/>
  <c r="BA568" i="3"/>
  <c r="BA566" i="3"/>
  <c r="BA564" i="3"/>
  <c r="AZ564" i="3"/>
  <c r="BA562" i="3"/>
  <c r="AZ562" i="3"/>
  <c r="BA560" i="3"/>
  <c r="AZ560" i="3" s="1"/>
  <c r="BA558" i="3"/>
  <c r="AZ558" i="3" s="1"/>
  <c r="BA556" i="3"/>
  <c r="BA554" i="3"/>
  <c r="AZ554" i="3" s="1"/>
  <c r="BA552" i="3"/>
  <c r="AZ552" i="3"/>
  <c r="BA548" i="3"/>
  <c r="AZ548" i="3" s="1"/>
  <c r="BA546" i="3"/>
  <c r="BA544" i="3"/>
  <c r="BA542" i="3"/>
  <c r="AZ542" i="3"/>
  <c r="BA540" i="3"/>
  <c r="AZ540" i="3" s="1"/>
  <c r="BA538" i="3"/>
  <c r="AZ538" i="3" s="1"/>
  <c r="BA534" i="3"/>
  <c r="AZ534" i="3" s="1"/>
  <c r="BA532" i="3"/>
  <c r="AZ532" i="3"/>
  <c r="BA530" i="3"/>
  <c r="BA528" i="3"/>
  <c r="AZ528" i="3" s="1"/>
  <c r="AZ526" i="3"/>
  <c r="BA518" i="3"/>
  <c r="AZ518" i="3" s="1"/>
  <c r="BA587" i="3"/>
  <c r="BA583" i="3"/>
  <c r="BA581" i="3"/>
  <c r="AZ581" i="3" s="1"/>
  <c r="BA579" i="3"/>
  <c r="BA573" i="3"/>
  <c r="BA571" i="3"/>
  <c r="BA569" i="3"/>
  <c r="BA567" i="3"/>
  <c r="BA565" i="3"/>
  <c r="BA563" i="3"/>
  <c r="AZ563" i="3" s="1"/>
  <c r="BA561" i="3"/>
  <c r="BA559" i="3"/>
  <c r="BA555" i="3"/>
  <c r="BA553" i="3"/>
  <c r="BA549" i="3"/>
  <c r="BA547" i="3"/>
  <c r="BA545" i="3"/>
  <c r="BA543" i="3"/>
  <c r="AZ543" i="3" s="1"/>
  <c r="BA537" i="3"/>
  <c r="BA535" i="3"/>
  <c r="BA533" i="3"/>
  <c r="AZ533" i="3" s="1"/>
  <c r="BA531" i="3"/>
  <c r="BA529" i="3"/>
  <c r="BA527" i="3"/>
  <c r="AZ527" i="3" s="1"/>
  <c r="G583" i="3"/>
  <c r="G581" i="3"/>
  <c r="G579" i="3"/>
  <c r="G577" i="3"/>
  <c r="G575" i="3"/>
  <c r="G573" i="3"/>
  <c r="G571" i="3"/>
  <c r="G569" i="3"/>
  <c r="G567" i="3"/>
  <c r="G565" i="3"/>
  <c r="G563" i="3"/>
  <c r="G561" i="3"/>
  <c r="BL558" i="3"/>
  <c r="BA557" i="3"/>
  <c r="AZ557" i="3" s="1"/>
  <c r="AC557" i="3"/>
  <c r="G557" i="3" s="1"/>
  <c r="BQ557" i="3"/>
  <c r="BL557" i="3"/>
  <c r="BQ583" i="3"/>
  <c r="BL583" i="3" s="1"/>
  <c r="AZ583" i="3" s="1"/>
  <c r="BQ581" i="3"/>
  <c r="BL581" i="3" s="1"/>
  <c r="BQ579" i="3"/>
  <c r="AZ579" i="3"/>
  <c r="BQ577" i="3"/>
  <c r="BL577" i="3"/>
  <c r="AZ577" i="3" s="1"/>
  <c r="BQ575" i="3"/>
  <c r="BL575" i="3"/>
  <c r="BQ573" i="3"/>
  <c r="BL573" i="3"/>
  <c r="AZ573" i="3"/>
  <c r="BQ571" i="3"/>
  <c r="BL571" i="3"/>
  <c r="AZ571" i="3" s="1"/>
  <c r="BQ569" i="3"/>
  <c r="BQ567" i="3"/>
  <c r="BL567" i="3" s="1"/>
  <c r="BQ565" i="3"/>
  <c r="BL565" i="3" s="1"/>
  <c r="AZ565" i="3" s="1"/>
  <c r="BQ563" i="3"/>
  <c r="BL563" i="3"/>
  <c r="BQ561" i="3"/>
  <c r="BL561" i="3" s="1"/>
  <c r="AZ561" i="3" s="1"/>
  <c r="BQ559" i="3"/>
  <c r="BL559" i="3" s="1"/>
  <c r="AZ559" i="3" s="1"/>
  <c r="G559" i="3"/>
  <c r="G555" i="3"/>
  <c r="G553" i="3"/>
  <c r="G549" i="3"/>
  <c r="G547" i="3"/>
  <c r="G545" i="3"/>
  <c r="G543" i="3"/>
  <c r="G541" i="3"/>
  <c r="BQ555" i="3"/>
  <c r="BL555" i="3" s="1"/>
  <c r="AZ555" i="3" s="1"/>
  <c r="BQ553" i="3"/>
  <c r="BL553" i="3" s="1"/>
  <c r="AZ553" i="3" s="1"/>
  <c r="BQ551" i="3"/>
  <c r="BL551" i="3"/>
  <c r="BQ549" i="3"/>
  <c r="BQ547" i="3"/>
  <c r="BL547" i="3"/>
  <c r="BQ545" i="3"/>
  <c r="BL545" i="3"/>
  <c r="BQ543" i="3"/>
  <c r="BL543" i="3"/>
  <c r="BQ541" i="3"/>
  <c r="BL541" i="3"/>
  <c r="BQ539" i="3"/>
  <c r="BL539" i="3" s="1"/>
  <c r="BQ537" i="3"/>
  <c r="BL537" i="3" s="1"/>
  <c r="AZ537" i="3" s="1"/>
  <c r="BQ535" i="3"/>
  <c r="BL535" i="3" s="1"/>
  <c r="AZ535" i="3" s="1"/>
  <c r="BQ533" i="3"/>
  <c r="BQ531" i="3"/>
  <c r="BL531" i="3" s="1"/>
  <c r="AZ531" i="3" s="1"/>
  <c r="BQ529" i="3"/>
  <c r="BL529" i="3" s="1"/>
  <c r="BQ527" i="3"/>
  <c r="BL527" i="3"/>
  <c r="BQ525" i="3"/>
  <c r="BL525" i="3" s="1"/>
  <c r="BQ523" i="3"/>
  <c r="AC521" i="3"/>
  <c r="BQ521" i="3"/>
  <c r="G519" i="3"/>
  <c r="G517" i="3"/>
  <c r="G515" i="3"/>
  <c r="G513" i="3"/>
  <c r="G511" i="3"/>
  <c r="BQ519" i="3"/>
  <c r="BQ517" i="3"/>
  <c r="BQ515" i="3"/>
  <c r="BQ513" i="3"/>
  <c r="BQ511" i="3"/>
  <c r="BL511" i="3" s="1"/>
  <c r="BA509" i="3"/>
  <c r="AZ509" i="3" s="1"/>
  <c r="AC509" i="3"/>
  <c r="BQ509" i="3"/>
  <c r="G505" i="3"/>
  <c r="G503" i="3"/>
  <c r="G501" i="3"/>
  <c r="G499" i="3"/>
  <c r="G497" i="3"/>
  <c r="G495" i="3"/>
  <c r="BQ507" i="3"/>
  <c r="BQ505" i="3"/>
  <c r="BQ503" i="3"/>
  <c r="BQ501" i="3"/>
  <c r="BQ499" i="3"/>
  <c r="BQ497" i="3"/>
  <c r="BL497" i="3"/>
  <c r="BQ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s="1"/>
  <c r="J25" i="21"/>
  <c r="AC25" i="21" s="1"/>
  <c r="E125" i="33"/>
  <c r="F125" i="33"/>
  <c r="G125" i="33" s="1"/>
  <c r="H43" i="33"/>
  <c r="AB43" i="33" s="1"/>
  <c r="H17" i="37"/>
  <c r="AA36" i="39"/>
  <c r="F39" i="33"/>
  <c r="AA39" i="33" s="1"/>
  <c r="F42" i="33"/>
  <c r="AA42" i="33" s="1"/>
  <c r="H28" i="34"/>
  <c r="AB28" i="34" s="1"/>
  <c r="F14" i="36"/>
  <c r="AA14" i="36" s="1"/>
  <c r="F22" i="36"/>
  <c r="S22" i="36"/>
  <c r="F26" i="36"/>
  <c r="S26" i="36"/>
  <c r="H35" i="34"/>
  <c r="U35" i="34" s="1"/>
  <c r="F41" i="34"/>
  <c r="S41" i="34" s="1"/>
  <c r="H41" i="34"/>
  <c r="U41" i="34" s="1"/>
  <c r="J41" i="34"/>
  <c r="AC41" i="34" s="1"/>
  <c r="F10" i="35"/>
  <c r="S10" i="35" s="1"/>
  <c r="F24" i="35"/>
  <c r="AA24" i="35" s="1"/>
  <c r="H24" i="35"/>
  <c r="AB24" i="35"/>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s="1"/>
  <c r="U14" i="40"/>
  <c r="U35" i="35"/>
  <c r="W23" i="35"/>
  <c r="W14" i="37"/>
  <c r="AB28" i="37"/>
  <c r="U33" i="37"/>
  <c r="U39" i="37"/>
  <c r="W26" i="37"/>
  <c r="U26" i="37"/>
  <c r="W47" i="34"/>
  <c r="AB13"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12" i="37"/>
  <c r="H12" i="37"/>
  <c r="AB12" i="37" s="1"/>
  <c r="F12" i="37"/>
  <c r="S12" i="37" s="1"/>
  <c r="E71" i="37"/>
  <c r="F15" i="37"/>
  <c r="AA15" i="37"/>
  <c r="E94" i="37"/>
  <c r="F31" i="37"/>
  <c r="S31" i="37"/>
  <c r="F12" i="39"/>
  <c r="S12" i="39" s="1"/>
  <c r="J42" i="39"/>
  <c r="AC42" i="39" s="1"/>
  <c r="H21" i="40"/>
  <c r="AB21" i="40" s="1"/>
  <c r="F94" i="37"/>
  <c r="G94" i="37" s="1"/>
  <c r="H94" i="37"/>
  <c r="I94" i="37" s="1"/>
  <c r="J94" i="37" s="1"/>
  <c r="K94" i="37" s="1"/>
  <c r="L94" i="37" s="1"/>
  <c r="M94" i="37" s="1"/>
  <c r="H31" i="37"/>
  <c r="U31" i="37" s="1"/>
  <c r="F71" i="37"/>
  <c r="G71" i="37" s="1"/>
  <c r="J15" i="37"/>
  <c r="W15" i="37"/>
  <c r="AT6" i="3"/>
  <c r="AA25" i="21"/>
  <c r="H19" i="40"/>
  <c r="U19" i="40" s="1"/>
  <c r="F88" i="40"/>
  <c r="G88" i="40" s="1"/>
  <c r="F19" i="40"/>
  <c r="S19" i="40"/>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S11" i="39"/>
  <c r="G4" i="4"/>
  <c r="I4" i="4"/>
  <c r="A2" i="9"/>
  <c r="F61" i="43"/>
  <c r="H64" i="43" s="1"/>
  <c r="AZ20" i="3"/>
  <c r="AZ24" i="3"/>
  <c r="BL549" i="3"/>
  <c r="AZ549" i="3" s="1"/>
  <c r="AZ546" i="3"/>
  <c r="G546" i="3"/>
  <c r="G524" i="3"/>
  <c r="G303" i="3"/>
  <c r="BL304" i="3"/>
  <c r="G305" i="3"/>
  <c r="BL306" i="3"/>
  <c r="BA308" i="3"/>
  <c r="AZ308" i="3" s="1"/>
  <c r="BA309" i="3"/>
  <c r="BL309" i="3"/>
  <c r="G310" i="3"/>
  <c r="BA311" i="3"/>
  <c r="G319" i="3"/>
  <c r="BL320" i="3"/>
  <c r="G321" i="3"/>
  <c r="BL322" i="3"/>
  <c r="BA324" i="3"/>
  <c r="AZ324" i="3"/>
  <c r="BA325" i="3"/>
  <c r="BL325" i="3"/>
  <c r="G326" i="3"/>
  <c r="BA327" i="3"/>
  <c r="G335" i="3"/>
  <c r="BL336" i="3"/>
  <c r="G337" i="3"/>
  <c r="BL338" i="3"/>
  <c r="BA340" i="3"/>
  <c r="BA341" i="3"/>
  <c r="AZ341" i="3" s="1"/>
  <c r="BL341" i="3"/>
  <c r="BA343" i="3"/>
  <c r="AZ343" i="3" s="1"/>
  <c r="BA345" i="3"/>
  <c r="BL355" i="3"/>
  <c r="G356" i="3"/>
  <c r="BL357" i="3"/>
  <c r="BA359" i="3"/>
  <c r="AZ359" i="3" s="1"/>
  <c r="BA360" i="3"/>
  <c r="BL360" i="3"/>
  <c r="AZ360" i="3" s="1"/>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AZ120" i="3" s="1"/>
  <c r="G121" i="3"/>
  <c r="BA123" i="3"/>
  <c r="BL124" i="3"/>
  <c r="G125" i="3"/>
  <c r="BA127" i="3"/>
  <c r="AZ127" i="3"/>
  <c r="BL128" i="3"/>
  <c r="AZ128" i="3" s="1"/>
  <c r="G129" i="3"/>
  <c r="BA131" i="3"/>
  <c r="BL132" i="3"/>
  <c r="G133" i="3"/>
  <c r="BA135" i="3"/>
  <c r="BL136" i="3"/>
  <c r="G137" i="3"/>
  <c r="BA139" i="3"/>
  <c r="AZ139" i="3" s="1"/>
  <c r="BL140" i="3"/>
  <c r="G141" i="3"/>
  <c r="BA143" i="3"/>
  <c r="AZ143" i="3" s="1"/>
  <c r="BL144" i="3"/>
  <c r="AZ144" i="3" s="1"/>
  <c r="G145" i="3"/>
  <c r="BA147" i="3"/>
  <c r="AZ147" i="3"/>
  <c r="BL148" i="3"/>
  <c r="AZ148" i="3"/>
  <c r="G149" i="3"/>
  <c r="BA151" i="3"/>
  <c r="AZ151" i="3"/>
  <c r="BL152" i="3"/>
  <c r="G153" i="3"/>
  <c r="BA155" i="3"/>
  <c r="AZ155" i="3" s="1"/>
  <c r="BL156" i="3"/>
  <c r="AZ156" i="3"/>
  <c r="G157" i="3"/>
  <c r="BA159" i="3"/>
  <c r="BL160" i="3"/>
  <c r="G161" i="3"/>
  <c r="BA163" i="3"/>
  <c r="BL164" i="3"/>
  <c r="AZ164" i="3" s="1"/>
  <c r="G165" i="3"/>
  <c r="BA167" i="3"/>
  <c r="AZ167" i="3" s="1"/>
  <c r="BL168" i="3"/>
  <c r="AZ168" i="3" s="1"/>
  <c r="G169" i="3"/>
  <c r="BA171" i="3"/>
  <c r="BL172" i="3"/>
  <c r="AZ172" i="3"/>
  <c r="G173" i="3"/>
  <c r="BA175" i="3"/>
  <c r="AZ175" i="3"/>
  <c r="BL176" i="3"/>
  <c r="G177" i="3"/>
  <c r="BA179" i="3"/>
  <c r="BL180" i="3"/>
  <c r="G181" i="3"/>
  <c r="BA183" i="3"/>
  <c r="AZ183" i="3" s="1"/>
  <c r="BL184" i="3"/>
  <c r="G185" i="3"/>
  <c r="BA187" i="3"/>
  <c r="AZ187" i="3"/>
  <c r="BL188" i="3"/>
  <c r="G189" i="3"/>
  <c r="BA191" i="3"/>
  <c r="AZ191" i="3"/>
  <c r="BL192" i="3"/>
  <c r="G193" i="3"/>
  <c r="BA195" i="3"/>
  <c r="AZ195" i="3" s="1"/>
  <c r="BL196" i="3"/>
  <c r="AZ196" i="3"/>
  <c r="G197" i="3"/>
  <c r="BA199" i="3"/>
  <c r="AZ199" i="3"/>
  <c r="BL200" i="3"/>
  <c r="G201" i="3"/>
  <c r="BA203" i="3"/>
  <c r="AZ203" i="3" s="1"/>
  <c r="BL204" i="3"/>
  <c r="AZ204" i="3" s="1"/>
  <c r="AZ75" i="3"/>
  <c r="AZ83" i="3"/>
  <c r="AZ152" i="3"/>
  <c r="AZ160" i="3"/>
  <c r="AZ176" i="3"/>
  <c r="AZ89" i="3"/>
  <c r="AZ101" i="3"/>
  <c r="G534" i="3"/>
  <c r="G530" i="3"/>
  <c r="G522"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BA329" i="3"/>
  <c r="BL329" i="3"/>
  <c r="AZ329" i="3" s="1"/>
  <c r="G330" i="3"/>
  <c r="G333" i="3"/>
  <c r="BL334" i="3"/>
  <c r="BA336" i="3"/>
  <c r="AZ336" i="3"/>
  <c r="BA337" i="3"/>
  <c r="AZ337" i="3"/>
  <c r="BL337" i="3"/>
  <c r="G338" i="3"/>
  <c r="G341" i="3"/>
  <c r="BA342" i="3"/>
  <c r="BL342" i="3"/>
  <c r="AZ342" i="3"/>
  <c r="BA344" i="3"/>
  <c r="BL344" i="3"/>
  <c r="AZ344" i="3" s="1"/>
  <c r="BA346" i="3"/>
  <c r="BA347" i="3"/>
  <c r="BL347" i="3"/>
  <c r="AZ347" i="3" s="1"/>
  <c r="G350" i="3"/>
  <c r="BA351" i="3"/>
  <c r="AZ351" i="3" s="1"/>
  <c r="BL351" i="3"/>
  <c r="G352" i="3"/>
  <c r="G354" i="3"/>
  <c r="BA355" i="3"/>
  <c r="AZ355" i="3"/>
  <c r="BA356" i="3"/>
  <c r="BL356" i="3"/>
  <c r="AZ356" i="3" s="1"/>
  <c r="G357" i="3"/>
  <c r="G360" i="3"/>
  <c r="BL361" i="3"/>
  <c r="AZ361" i="3" s="1"/>
  <c r="BA363" i="3"/>
  <c r="BA364" i="3"/>
  <c r="AZ364" i="3" s="1"/>
  <c r="BL364" i="3"/>
  <c r="G365" i="3"/>
  <c r="G368" i="3"/>
  <c r="BL369" i="3"/>
  <c r="BA371" i="3"/>
  <c r="AZ371" i="3" s="1"/>
  <c r="BA372" i="3"/>
  <c r="AZ372" i="3"/>
  <c r="BL372" i="3"/>
  <c r="G373" i="3"/>
  <c r="G376" i="3"/>
  <c r="BL377" i="3"/>
  <c r="BL379" i="3"/>
  <c r="AZ379" i="3" s="1"/>
  <c r="BA381" i="3"/>
  <c r="AZ381" i="3"/>
  <c r="BA382" i="3"/>
  <c r="BL382" i="3"/>
  <c r="G383" i="3"/>
  <c r="G386" i="3"/>
  <c r="BL387" i="3"/>
  <c r="BA389" i="3"/>
  <c r="AZ389" i="3" s="1"/>
  <c r="BA390" i="3"/>
  <c r="AZ390" i="3" s="1"/>
  <c r="BL390" i="3"/>
  <c r="G391" i="3"/>
  <c r="G394" i="3"/>
  <c r="AZ138" i="3"/>
  <c r="AZ162" i="3"/>
  <c r="AZ190" i="3"/>
  <c r="AZ194" i="3"/>
  <c r="BA16" i="3"/>
  <c r="AZ16" i="3"/>
  <c r="BL303" i="3"/>
  <c r="G304" i="3"/>
  <c r="BA306" i="3"/>
  <c r="AZ306" i="3" s="1"/>
  <c r="BL307" i="3"/>
  <c r="G308" i="3"/>
  <c r="BA310" i="3"/>
  <c r="AZ310" i="3"/>
  <c r="BL311" i="3"/>
  <c r="AZ311" i="3"/>
  <c r="G312" i="3"/>
  <c r="BA314" i="3"/>
  <c r="BL315" i="3"/>
  <c r="G316" i="3"/>
  <c r="BA318" i="3"/>
  <c r="AZ318" i="3"/>
  <c r="BL319" i="3"/>
  <c r="G320" i="3"/>
  <c r="BA322" i="3"/>
  <c r="AZ322" i="3" s="1"/>
  <c r="BL323" i="3"/>
  <c r="AZ323" i="3"/>
  <c r="G324" i="3"/>
  <c r="BA326" i="3"/>
  <c r="AZ326" i="3" s="1"/>
  <c r="BL327" i="3"/>
  <c r="AZ327" i="3"/>
  <c r="G328" i="3"/>
  <c r="BA330" i="3"/>
  <c r="AZ330" i="3"/>
  <c r="BL331" i="3"/>
  <c r="AZ331" i="3"/>
  <c r="G332" i="3"/>
  <c r="BA334" i="3"/>
  <c r="AZ334" i="3"/>
  <c r="BL335" i="3"/>
  <c r="G336" i="3"/>
  <c r="BA338" i="3"/>
  <c r="AZ338" i="3" s="1"/>
  <c r="BL339" i="3"/>
  <c r="AZ339" i="3" s="1"/>
  <c r="G340" i="3"/>
  <c r="BL343" i="3"/>
  <c r="G344" i="3"/>
  <c r="G348" i="3"/>
  <c r="G355" i="3"/>
  <c r="AZ303" i="3"/>
  <c r="G342" i="3"/>
  <c r="BL345" i="3"/>
  <c r="AZ345" i="3"/>
  <c r="G346" i="3"/>
  <c r="BL349" i="3"/>
  <c r="AZ349" i="3" s="1"/>
  <c r="BL352" i="3"/>
  <c r="G353" i="3"/>
  <c r="BA357" i="3"/>
  <c r="AZ357" i="3"/>
  <c r="BL358" i="3"/>
  <c r="AZ358" i="3" s="1"/>
  <c r="G359" i="3"/>
  <c r="BA361" i="3"/>
  <c r="BL362" i="3"/>
  <c r="AZ362" i="3" s="1"/>
  <c r="G363" i="3"/>
  <c r="BA365" i="3"/>
  <c r="BL366" i="3"/>
  <c r="AZ366" i="3"/>
  <c r="G367" i="3"/>
  <c r="BA369" i="3"/>
  <c r="AZ369" i="3"/>
  <c r="BL370" i="3"/>
  <c r="G371" i="3"/>
  <c r="BA373" i="3"/>
  <c r="AZ373" i="3" s="1"/>
  <c r="BL374" i="3"/>
  <c r="AZ374" i="3" s="1"/>
  <c r="G375" i="3"/>
  <c r="BA377" i="3"/>
  <c r="AZ377" i="3" s="1"/>
  <c r="AZ233" i="3"/>
  <c r="AZ257" i="3"/>
  <c r="BA379" i="3"/>
  <c r="BL380" i="3"/>
  <c r="G381" i="3"/>
  <c r="BA383" i="3"/>
  <c r="AZ383" i="3" s="1"/>
  <c r="BL384" i="3"/>
  <c r="AZ384" i="3" s="1"/>
  <c r="G385" i="3"/>
  <c r="BA387" i="3"/>
  <c r="AZ387" i="3"/>
  <c r="BL388" i="3"/>
  <c r="G389" i="3"/>
  <c r="BA391" i="3"/>
  <c r="AZ391" i="3" s="1"/>
  <c r="BL392" i="3"/>
  <c r="AZ392" i="3" s="1"/>
  <c r="G393" i="3"/>
  <c r="AZ275" i="3"/>
  <c r="AZ287" i="3"/>
  <c r="AZ291" i="3"/>
  <c r="AZ299" i="3"/>
  <c r="AZ309" i="3"/>
  <c r="AZ317" i="3"/>
  <c r="AZ325" i="3"/>
  <c r="G548" i="3"/>
  <c r="G538" i="3"/>
  <c r="G520" i="3"/>
  <c r="G502" i="3"/>
  <c r="G17" i="3"/>
  <c r="BA17" i="3"/>
  <c r="AZ350" i="3"/>
  <c r="BA15" i="3"/>
  <c r="AZ15" i="3" s="1"/>
  <c r="AZ380" i="3"/>
  <c r="AZ388" i="3"/>
  <c r="G509" i="3"/>
  <c r="AZ376" i="3"/>
  <c r="AZ382" i="3"/>
  <c r="U36" i="40"/>
  <c r="F83" i="43"/>
  <c r="H85" i="43" s="1"/>
  <c r="F50" i="43"/>
  <c r="H54" i="43" s="1"/>
  <c r="F72" i="43"/>
  <c r="H75" i="43" s="1"/>
  <c r="U17" i="39"/>
  <c r="S14" i="35"/>
  <c r="U43" i="21"/>
  <c r="U35" i="21"/>
  <c r="AC35" i="21"/>
  <c r="G8" i="1"/>
  <c r="G10" i="1"/>
  <c r="AC11" i="39"/>
  <c r="W37" i="37"/>
  <c r="S15" i="37"/>
  <c r="AA12" i="40"/>
  <c r="J37" i="33"/>
  <c r="W37" i="33" s="1"/>
  <c r="J34" i="33"/>
  <c r="W34" i="33" s="1"/>
  <c r="F33" i="34"/>
  <c r="S33" i="34" s="1"/>
  <c r="W12" i="36"/>
  <c r="AC12" i="36"/>
  <c r="H20" i="36"/>
  <c r="U20" i="36" s="1"/>
  <c r="J20" i="36"/>
  <c r="W20" i="36" s="1"/>
  <c r="W24" i="36"/>
  <c r="J27" i="36"/>
  <c r="W27" i="36" s="1"/>
  <c r="AB25" i="37"/>
  <c r="F111" i="40"/>
  <c r="G111" i="40" s="1"/>
  <c r="H111" i="40" s="1"/>
  <c r="I111" i="40" s="1"/>
  <c r="J111" i="40" s="1"/>
  <c r="K111" i="40"/>
  <c r="L111" i="40" s="1"/>
  <c r="M111" i="40" s="1"/>
  <c r="H35" i="40"/>
  <c r="AC29" i="35"/>
  <c r="W29" i="35"/>
  <c r="H35" i="37"/>
  <c r="U35" i="37"/>
  <c r="AC14" i="35"/>
  <c r="H20" i="35"/>
  <c r="U20" i="35"/>
  <c r="F20" i="35"/>
  <c r="AA20" i="35"/>
  <c r="AB23" i="35"/>
  <c r="AB29" i="36"/>
  <c r="U29" i="36"/>
  <c r="H32" i="37"/>
  <c r="AB32" i="37"/>
  <c r="F96" i="37"/>
  <c r="G96" i="37" s="1"/>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C40" i="11"/>
  <c r="AZ215" i="3"/>
  <c r="AZ248" i="3"/>
  <c r="AZ256" i="3"/>
  <c r="AZ271" i="3"/>
  <c r="AZ61" i="3"/>
  <c r="AZ66" i="3"/>
  <c r="AZ72" i="3"/>
  <c r="AZ82" i="3"/>
  <c r="AZ94" i="3"/>
  <c r="F23" i="39"/>
  <c r="AA23" i="39"/>
  <c r="H27" i="36"/>
  <c r="U27" i="36" s="1"/>
  <c r="F27" i="36"/>
  <c r="AA27" i="36" s="1"/>
  <c r="H33" i="34"/>
  <c r="U33" i="34" s="1"/>
  <c r="F32" i="37"/>
  <c r="AA32" i="37"/>
  <c r="H96" i="37"/>
  <c r="I96" i="37" s="1"/>
  <c r="J96" i="37" s="1"/>
  <c r="K96" i="37" s="1"/>
  <c r="L96" i="37" s="1"/>
  <c r="M96" i="37" s="1"/>
  <c r="F20" i="36"/>
  <c r="AA20" i="36" s="1"/>
  <c r="J33" i="34"/>
  <c r="AC33" i="34" s="1"/>
  <c r="H23" i="39"/>
  <c r="U23" i="39" s="1"/>
  <c r="D48" i="9"/>
  <c r="M52" i="9" s="1"/>
  <c r="K9" i="1"/>
  <c r="M9" i="1" s="1"/>
  <c r="D93" i="9"/>
  <c r="K6" i="1"/>
  <c r="AC26" i="33"/>
  <c r="AB34" i="36"/>
  <c r="U34" i="36"/>
  <c r="AB33" i="36"/>
  <c r="U33" i="36"/>
  <c r="AC12" i="39"/>
  <c r="W12" i="39"/>
  <c r="AC39" i="40"/>
  <c r="W39" i="40"/>
  <c r="AZ401" i="3"/>
  <c r="AZ412" i="3"/>
  <c r="AZ417" i="3"/>
  <c r="AZ428" i="3"/>
  <c r="AZ433" i="3"/>
  <c r="AZ465" i="3"/>
  <c r="AZ586" i="3"/>
  <c r="W12" i="33"/>
  <c r="AC12" i="33"/>
  <c r="AZ551" i="3"/>
  <c r="AZ550" i="3"/>
  <c r="AZ408" i="3"/>
  <c r="AZ437" i="3"/>
  <c r="AZ441" i="3"/>
  <c r="AZ473" i="3"/>
  <c r="AA39" i="34"/>
  <c r="BL14" i="3"/>
  <c r="AC13" i="34"/>
  <c r="AA47" i="34"/>
  <c r="W28" i="37"/>
  <c r="S19" i="39"/>
  <c r="F12" i="33"/>
  <c r="H12" i="39"/>
  <c r="AB12" i="39"/>
  <c r="F39" i="40"/>
  <c r="BA14" i="3"/>
  <c r="AZ14" i="3" s="1"/>
  <c r="AZ367" i="3"/>
  <c r="AZ224" i="3"/>
  <c r="AZ234" i="3"/>
  <c r="AZ250" i="3"/>
  <c r="AZ41" i="3"/>
  <c r="B12" i="1"/>
  <c r="E12" i="1" s="1"/>
  <c r="B10" i="1"/>
  <c r="E10" i="1" s="1"/>
  <c r="AZ84" i="3"/>
  <c r="AZ111" i="3"/>
  <c r="K12" i="1"/>
  <c r="M12" i="1" s="1"/>
  <c r="S13" i="1"/>
  <c r="AR13" i="1" s="1"/>
  <c r="R13" i="1"/>
  <c r="J51" i="67"/>
  <c r="C42" i="1"/>
  <c r="C77" i="82" s="1"/>
  <c r="C74" i="82" s="1"/>
  <c r="B41" i="1"/>
  <c r="AB37" i="40"/>
  <c r="S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S24" i="36"/>
  <c r="U24" i="36"/>
  <c r="U23"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F75" i="37"/>
  <c r="F19" i="37"/>
  <c r="AA19" i="37" s="1"/>
  <c r="F79" i="37"/>
  <c r="F23" i="37"/>
  <c r="S23" i="37" s="1"/>
  <c r="U23" i="37"/>
  <c r="U15" i="37"/>
  <c r="AC13" i="37"/>
  <c r="AA13" i="37"/>
  <c r="H10" i="37"/>
  <c r="AB10" i="37" s="1"/>
  <c r="F63" i="37"/>
  <c r="F11" i="37"/>
  <c r="S11" i="37" s="1"/>
  <c r="AB8" i="34"/>
  <c r="W41" i="34"/>
  <c r="AC42" i="34"/>
  <c r="AB35" i="34"/>
  <c r="U39" i="34"/>
  <c r="U28" i="34"/>
  <c r="AA29" i="34"/>
  <c r="S23" i="34"/>
  <c r="S13" i="34"/>
  <c r="H10" i="34"/>
  <c r="AB10" i="34" s="1"/>
  <c r="F11" i="34"/>
  <c r="S11" i="34" s="1"/>
  <c r="F70" i="34"/>
  <c r="S32" i="33"/>
  <c r="H41" i="33"/>
  <c r="U41" i="33" s="1"/>
  <c r="F121" i="33"/>
  <c r="G121" i="33" s="1"/>
  <c r="H121" i="33" s="1"/>
  <c r="I121" i="33" s="1"/>
  <c r="J121" i="33" s="1"/>
  <c r="K121" i="33" s="1"/>
  <c r="L121" i="33" s="1"/>
  <c r="M121" i="33" s="1"/>
  <c r="J35" i="33"/>
  <c r="W35" i="33" s="1"/>
  <c r="AA37" i="33"/>
  <c r="J32" i="33"/>
  <c r="S46" i="33"/>
  <c r="S43" i="33"/>
  <c r="J23" i="33"/>
  <c r="W23" i="33" s="1"/>
  <c r="H23" i="33"/>
  <c r="U23" i="33" s="1"/>
  <c r="F19" i="33"/>
  <c r="S19" i="33" s="1"/>
  <c r="J17" i="33"/>
  <c r="W17" i="33" s="1"/>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W29" i="36"/>
  <c r="AC20" i="36"/>
  <c r="U25" i="36"/>
  <c r="AB28" i="36"/>
  <c r="AA13" i="36"/>
  <c r="W9" i="36"/>
  <c r="W22" i="36"/>
  <c r="AB20" i="35"/>
  <c r="AC25" i="35"/>
  <c r="U25" i="35"/>
  <c r="S24" i="35"/>
  <c r="U24" i="35"/>
  <c r="S35" i="35"/>
  <c r="W35" i="35"/>
  <c r="AA16" i="35"/>
  <c r="AA35" i="37"/>
  <c r="W36" i="37"/>
  <c r="S28" i="37"/>
  <c r="W32" i="37"/>
  <c r="U36" i="37"/>
  <c r="S40" i="37"/>
  <c r="U38" i="37"/>
  <c r="AB37" i="37"/>
  <c r="AC34" i="37"/>
  <c r="AB35" i="37"/>
  <c r="AA31" i="37"/>
  <c r="U19" i="37"/>
  <c r="AA29" i="37"/>
  <c r="U8" i="37"/>
  <c r="W19" i="34"/>
  <c r="AB33" i="34"/>
  <c r="AC45" i="34"/>
  <c r="AA31" i="34"/>
  <c r="AA30" i="34"/>
  <c r="AB47" i="34"/>
  <c r="AB36" i="34"/>
  <c r="AC32" i="34"/>
  <c r="AC29" i="34"/>
  <c r="W29" i="34"/>
  <c r="W46" i="34"/>
  <c r="AC46" i="34"/>
  <c r="S32" i="34"/>
  <c r="AA32" i="34"/>
  <c r="U30" i="34"/>
  <c r="AB30" i="34"/>
  <c r="U38" i="34"/>
  <c r="AA19" i="34"/>
  <c r="S19" i="34"/>
  <c r="AA36" i="34"/>
  <c r="S36" i="34"/>
  <c r="S8" i="34"/>
  <c r="S46" i="34"/>
  <c r="AA46" i="34"/>
  <c r="U32" i="34"/>
  <c r="AB32" i="34"/>
  <c r="AC35" i="34"/>
  <c r="W35" i="34"/>
  <c r="AB28" i="33"/>
  <c r="W46" i="33"/>
  <c r="U44" i="33"/>
  <c r="AB44" i="33"/>
  <c r="S30" i="33"/>
  <c r="AA30" i="33"/>
  <c r="AC14" i="33"/>
  <c r="W14" i="33"/>
  <c r="AC30" i="33"/>
  <c r="W30" i="33"/>
  <c r="S31" i="33"/>
  <c r="AA31" i="33"/>
  <c r="W13" i="33"/>
  <c r="AC13" i="33"/>
  <c r="U15" i="33"/>
  <c r="S11" i="33"/>
  <c r="AC28" i="33"/>
  <c r="S28" i="33"/>
  <c r="W9"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c r="F29" i="21"/>
  <c r="S29" i="21" s="1"/>
  <c r="F13" i="21"/>
  <c r="S13" i="21" s="1"/>
  <c r="AA13" i="2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S27" i="21"/>
  <c r="S17" i="21"/>
  <c r="AA15" i="21"/>
  <c r="AC27"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AC19" i="37" s="1"/>
  <c r="G75" i="37"/>
  <c r="S19" i="37"/>
  <c r="AA23" i="37"/>
  <c r="J23" i="37"/>
  <c r="W23" i="37" s="1"/>
  <c r="G79" i="37"/>
  <c r="J10" i="37"/>
  <c r="W10" i="37" s="1"/>
  <c r="G63" i="37"/>
  <c r="H11" i="37"/>
  <c r="AB11" i="37" s="1"/>
  <c r="G70" i="34"/>
  <c r="H70" i="34" s="1"/>
  <c r="I70" i="34" s="1"/>
  <c r="J70" i="34" s="1"/>
  <c r="K70" i="34" s="1"/>
  <c r="L70" i="34" s="1"/>
  <c r="M70" i="34" s="1"/>
  <c r="H11" i="34"/>
  <c r="U11" i="34" s="1"/>
  <c r="J10" i="34"/>
  <c r="AC10" i="34" s="1"/>
  <c r="AC32" i="33"/>
  <c r="W32" i="33"/>
  <c r="J27" i="33"/>
  <c r="AC27" i="33" s="1"/>
  <c r="F23" i="33"/>
  <c r="S23" i="33" s="1"/>
  <c r="AC23" i="33"/>
  <c r="H19" i="33"/>
  <c r="AB19" i="33" s="1"/>
  <c r="H17" i="33"/>
  <c r="U17" i="33" s="1"/>
  <c r="F17" i="33"/>
  <c r="S17" i="33" s="1"/>
  <c r="S37" i="21"/>
  <c r="AA23" i="21"/>
  <c r="AB15" i="21"/>
  <c r="J23" i="21"/>
  <c r="AC23" i="21" s="1"/>
  <c r="F85" i="21"/>
  <c r="G85" i="21"/>
  <c r="H23" i="21"/>
  <c r="AP7" i="1"/>
  <c r="AB45" i="21"/>
  <c r="AB9" i="21"/>
  <c r="AA32" i="21"/>
  <c r="S32" i="21"/>
  <c r="AB32" i="21"/>
  <c r="U32" i="21"/>
  <c r="U32" i="39"/>
  <c r="AC32" i="39"/>
  <c r="W32" i="39"/>
  <c r="W19" i="37"/>
  <c r="H63" i="37"/>
  <c r="I63" i="37"/>
  <c r="J63" i="37" s="1"/>
  <c r="K63" i="37" s="1"/>
  <c r="L63" i="37" s="1"/>
  <c r="M63" i="37" s="1"/>
  <c r="J11" i="37"/>
  <c r="AC11" i="37" s="1"/>
  <c r="J11" i="34"/>
  <c r="W11" i="34" s="1"/>
  <c r="U23" i="21"/>
  <c r="AB23" i="21"/>
  <c r="H109" i="9"/>
  <c r="M49" i="9" s="1"/>
  <c r="H112" i="9"/>
  <c r="D21" i="53" s="1"/>
  <c r="B39" i="72" s="1"/>
  <c r="H111" i="9"/>
  <c r="D126" i="9" s="1"/>
  <c r="AD3" i="71"/>
  <c r="J1" i="73"/>
  <c r="H69" i="43"/>
  <c r="C24" i="12"/>
  <c r="C22" i="71"/>
  <c r="C21" i="71" s="1"/>
  <c r="D22" i="71"/>
  <c r="D23" i="71"/>
  <c r="D24" i="71"/>
  <c r="U24" i="71"/>
  <c r="S24" i="71"/>
  <c r="T24" i="71"/>
  <c r="AB22" i="71"/>
  <c r="X20" i="71"/>
  <c r="X19" i="71"/>
  <c r="AA20" i="71"/>
  <c r="AA19" i="71"/>
  <c r="X23" i="71"/>
  <c r="Z18" i="71"/>
  <c r="Y19" i="71"/>
  <c r="Z19" i="71" s="1"/>
  <c r="AB20" i="71"/>
  <c r="AB19" i="71"/>
  <c r="S20" i="71"/>
  <c r="F21" i="71"/>
  <c r="F20" i="71" s="1"/>
  <c r="F19" i="71" s="1"/>
  <c r="F18" i="71" s="1"/>
  <c r="F17" i="71" s="1"/>
  <c r="Y20" i="71"/>
  <c r="Z20" i="71" s="1"/>
  <c r="X3" i="71"/>
  <c r="E21" i="71"/>
  <c r="E20" i="71"/>
  <c r="E19" i="71" s="1"/>
  <c r="E18" i="71" s="1"/>
  <c r="E17" i="71" s="1"/>
  <c r="E16" i="71" s="1"/>
  <c r="V20" i="71"/>
  <c r="M6" i="15"/>
  <c r="F40" i="15"/>
  <c r="L48" i="67"/>
  <c r="F38" i="15"/>
  <c r="E11" i="76"/>
  <c r="M6" i="67"/>
  <c r="F37" i="15"/>
  <c r="B10" i="76"/>
  <c r="M28" i="15"/>
  <c r="F8" i="67"/>
  <c r="B11" i="76"/>
  <c r="F42" i="67"/>
  <c r="C76" i="15"/>
  <c r="AO13" i="1"/>
  <c r="B7" i="76"/>
  <c r="M26" i="67"/>
  <c r="B12" i="76"/>
  <c r="M8" i="15"/>
  <c r="F6" i="67"/>
  <c r="F26" i="67"/>
  <c r="F16" i="15"/>
  <c r="D35" i="9"/>
  <c r="F7" i="15"/>
  <c r="F37" i="67"/>
  <c r="F26" i="15"/>
  <c r="L48" i="15"/>
  <c r="E12" i="76"/>
  <c r="M29" i="15"/>
  <c r="E2" i="68"/>
  <c r="D34" i="9"/>
  <c r="F20" i="31"/>
  <c r="B8" i="76"/>
  <c r="B9" i="76"/>
  <c r="M9" i="67"/>
  <c r="D4" i="73"/>
  <c r="M9" i="15"/>
  <c r="F36" i="67"/>
  <c r="F42" i="15"/>
  <c r="F16" i="67"/>
  <c r="D5" i="73"/>
  <c r="D3" i="73"/>
  <c r="M22" i="15"/>
  <c r="M23" i="15"/>
  <c r="F13" i="67"/>
  <c r="F8" i="15"/>
  <c r="E8" i="76"/>
  <c r="B13" i="76"/>
  <c r="M26" i="15"/>
  <c r="E9" i="76"/>
  <c r="F6" i="15"/>
  <c r="F4" i="73"/>
  <c r="D6" i="73"/>
  <c r="E10" i="76"/>
  <c r="C76" i="67"/>
  <c r="J15" i="15"/>
  <c r="F38" i="67"/>
  <c r="D7" i="73"/>
  <c r="F13" i="15"/>
  <c r="F7" i="73"/>
  <c r="L47" i="15"/>
  <c r="F43" i="15"/>
  <c r="F6" i="73"/>
  <c r="E7" i="76"/>
  <c r="F5" i="73"/>
  <c r="F3" i="73"/>
  <c r="M8" i="67"/>
  <c r="L47" i="67"/>
  <c r="F9" i="15"/>
  <c r="M24" i="15"/>
  <c r="E13" i="76"/>
  <c r="M29" i="67"/>
  <c r="F36" i="15"/>
  <c r="E2" i="69"/>
  <c r="G6" i="31" l="1"/>
  <c r="H6" i="31" s="1"/>
  <c r="I6" i="31" s="1"/>
  <c r="J6" i="31" s="1"/>
  <c r="K6" i="31" s="1"/>
  <c r="L6" i="31" s="1"/>
  <c r="M6" i="31" s="1"/>
  <c r="N6" i="31" s="1"/>
  <c r="O6" i="31" s="1"/>
  <c r="P6" i="31" s="1"/>
  <c r="Q6" i="31" s="1"/>
  <c r="R6" i="31" s="1"/>
  <c r="S6" i="31" s="1"/>
  <c r="E105" i="31"/>
  <c r="E107" i="31"/>
  <c r="E104" i="31"/>
  <c r="E106" i="31"/>
  <c r="E108" i="31"/>
  <c r="H50" i="43"/>
  <c r="D19" i="53"/>
  <c r="B38" i="72" s="1"/>
  <c r="S30" i="40"/>
  <c r="W19" i="33"/>
  <c r="D21" i="71"/>
  <c r="C20" i="71"/>
  <c r="AB35" i="40"/>
  <c r="U35" i="40"/>
  <c r="AB12" i="40"/>
  <c r="U12" i="40"/>
  <c r="AZ505" i="3"/>
  <c r="BA501" i="3"/>
  <c r="AZ501" i="3" s="1"/>
  <c r="BE5" i="3"/>
  <c r="BR5" i="3"/>
  <c r="BL500" i="3"/>
  <c r="AZ500" i="3" s="1"/>
  <c r="BJ5" i="3"/>
  <c r="BL493" i="3"/>
  <c r="BS5" i="3"/>
  <c r="BA493" i="3"/>
  <c r="AZ493" i="3" s="1"/>
  <c r="BI5" i="3"/>
  <c r="AZ525" i="3"/>
  <c r="BA499" i="3"/>
  <c r="AZ499" i="3" s="1"/>
  <c r="BD5" i="3"/>
  <c r="BP5" i="3"/>
  <c r="BA496" i="3"/>
  <c r="BG5" i="3"/>
  <c r="BO5" i="3"/>
  <c r="BL494" i="3"/>
  <c r="AZ568" i="3"/>
  <c r="BL496" i="3"/>
  <c r="AZ510" i="3"/>
  <c r="BK5" i="3"/>
  <c r="BC5" i="3"/>
  <c r="BA497" i="3"/>
  <c r="AZ497" i="3" s="1"/>
  <c r="G493" i="3"/>
  <c r="AC5" i="3"/>
  <c r="E15" i="71"/>
  <c r="E14" i="71" s="1"/>
  <c r="E13" i="71" s="1"/>
  <c r="E12" i="71" s="1"/>
  <c r="V16" i="71"/>
  <c r="AB17" i="33"/>
  <c r="AC23" i="37"/>
  <c r="AC9" i="21"/>
  <c r="D6" i="52"/>
  <c r="AB36" i="21"/>
  <c r="W44" i="34"/>
  <c r="AC44" i="34"/>
  <c r="J9" i="37"/>
  <c r="W9" i="37" s="1"/>
  <c r="H9" i="37"/>
  <c r="U9" i="37" s="1"/>
  <c r="F9" i="37"/>
  <c r="S9" i="37" s="1"/>
  <c r="AZ524" i="3"/>
  <c r="AZ522" i="3"/>
  <c r="BM5" i="3"/>
  <c r="F29" i="6" s="1"/>
  <c r="BL498" i="3"/>
  <c r="BQ5" i="3"/>
  <c r="F28" i="6" s="1"/>
  <c r="BA498" i="3"/>
  <c r="AZ498" i="3" s="1"/>
  <c r="BH5" i="3"/>
  <c r="BT5" i="3"/>
  <c r="G28" i="6" s="1"/>
  <c r="BA494" i="3"/>
  <c r="AZ494" i="3" s="1"/>
  <c r="BF5" i="3"/>
  <c r="D16" i="53"/>
  <c r="B34" i="72" s="1"/>
  <c r="AC17" i="33"/>
  <c r="AC15" i="21"/>
  <c r="AZ585" i="3"/>
  <c r="W30" i="34"/>
  <c r="AC30" i="34"/>
  <c r="AZ520" i="3"/>
  <c r="AZ515" i="3"/>
  <c r="AZ514" i="3"/>
  <c r="AZ512" i="3"/>
  <c r="BA511" i="3"/>
  <c r="AZ511" i="3" s="1"/>
  <c r="BA504" i="3"/>
  <c r="AZ504" i="3" s="1"/>
  <c r="AB41" i="33"/>
  <c r="BL521" i="3"/>
  <c r="AZ521" i="3" s="1"/>
  <c r="F29" i="33"/>
  <c r="H29" i="33"/>
  <c r="J29" i="33"/>
  <c r="H14" i="34"/>
  <c r="F14" i="34"/>
  <c r="J14" i="34"/>
  <c r="J12" i="35"/>
  <c r="H12" i="35"/>
  <c r="F12" i="35"/>
  <c r="W12" i="37"/>
  <c r="AC12" i="37"/>
  <c r="W23" i="21"/>
  <c r="AA45" i="39"/>
  <c r="U16" i="36"/>
  <c r="AA27" i="40"/>
  <c r="BN5" i="3"/>
  <c r="G29" i="6" s="1"/>
  <c r="U17" i="37"/>
  <c r="AB17" i="37"/>
  <c r="AZ578" i="3"/>
  <c r="AB30" i="33"/>
  <c r="U30" i="33"/>
  <c r="BL495" i="3"/>
  <c r="AZ495" i="3" s="1"/>
  <c r="BL507" i="3"/>
  <c r="AZ507" i="3" s="1"/>
  <c r="AZ547" i="3"/>
  <c r="AZ567" i="3"/>
  <c r="AB13" i="37"/>
  <c r="U13" i="37"/>
  <c r="AZ545" i="3"/>
  <c r="AZ566" i="3"/>
  <c r="S11" i="36"/>
  <c r="H28" i="21"/>
  <c r="J28" i="21"/>
  <c r="J33" i="40"/>
  <c r="F33" i="40"/>
  <c r="BA541" i="3"/>
  <c r="AZ541" i="3" s="1"/>
  <c r="AZ539" i="3"/>
  <c r="AZ536" i="3"/>
  <c r="BL523" i="3"/>
  <c r="AZ523" i="3" s="1"/>
  <c r="BL569" i="3"/>
  <c r="AZ569" i="3" s="1"/>
  <c r="AZ529" i="3"/>
  <c r="BL585" i="3"/>
  <c r="AZ575" i="3"/>
  <c r="AB20" i="36"/>
  <c r="F48" i="9"/>
  <c r="O52" i="9" s="1"/>
  <c r="F32" i="81"/>
  <c r="F60" i="81" s="1"/>
  <c r="F52" i="82"/>
  <c r="F28" i="81"/>
  <c r="C28" i="81" s="1"/>
  <c r="F53" i="82"/>
  <c r="M18" i="81"/>
  <c r="F48" i="82"/>
  <c r="O52" i="82" s="1"/>
  <c r="D68" i="82"/>
  <c r="F54" i="82"/>
  <c r="W31" i="34"/>
  <c r="S13" i="35"/>
  <c r="AB23" i="40"/>
  <c r="U23" i="40"/>
  <c r="B94" i="43"/>
  <c r="B73" i="43"/>
  <c r="C21" i="39"/>
  <c r="AC8" i="34"/>
  <c r="W8" i="34"/>
  <c r="H27" i="37"/>
  <c r="F27" i="37"/>
  <c r="BL587" i="3"/>
  <c r="AZ587" i="3" s="1"/>
  <c r="W16" i="36"/>
  <c r="AC16" i="36"/>
  <c r="W11" i="35"/>
  <c r="AC11" i="35"/>
  <c r="U12" i="33"/>
  <c r="AB12" i="33"/>
  <c r="W40" i="40"/>
  <c r="AC40" i="40"/>
  <c r="H40" i="40"/>
  <c r="F40" i="40"/>
  <c r="S29" i="35"/>
  <c r="AA29" i="35"/>
  <c r="AC40" i="33"/>
  <c r="W40" i="33"/>
  <c r="J25" i="36"/>
  <c r="F25" i="36"/>
  <c r="F32" i="36"/>
  <c r="H32" i="36"/>
  <c r="J32" i="36"/>
  <c r="W32" i="36" s="1"/>
  <c r="W39" i="33"/>
  <c r="AC27" i="35"/>
  <c r="F9" i="34"/>
  <c r="AA9" i="34" s="1"/>
  <c r="J23" i="36"/>
  <c r="AZ422" i="3"/>
  <c r="AZ423" i="3"/>
  <c r="AZ458" i="3"/>
  <c r="W40" i="39"/>
  <c r="H9" i="34"/>
  <c r="F12" i="34"/>
  <c r="F9" i="36"/>
  <c r="H39" i="40"/>
  <c r="G566" i="3"/>
  <c r="AZ485" i="3"/>
  <c r="H12" i="34"/>
  <c r="H9" i="36"/>
  <c r="AZ403" i="3"/>
  <c r="AZ420" i="3"/>
  <c r="AZ432" i="3"/>
  <c r="AZ435" i="3"/>
  <c r="AZ436" i="3"/>
  <c r="AZ438" i="3"/>
  <c r="AZ470" i="3"/>
  <c r="AZ385" i="3"/>
  <c r="F26" i="33"/>
  <c r="AA26" i="33" s="1"/>
  <c r="F44" i="39"/>
  <c r="H38" i="40"/>
  <c r="AZ398" i="3"/>
  <c r="AZ400" i="3"/>
  <c r="AZ402" i="3"/>
  <c r="AZ419" i="3"/>
  <c r="J31" i="21"/>
  <c r="J36" i="39"/>
  <c r="B75" i="43"/>
  <c r="J36" i="35"/>
  <c r="F23" i="36"/>
  <c r="AA34" i="39"/>
  <c r="AZ415" i="3"/>
  <c r="AZ451" i="3"/>
  <c r="AZ488" i="3"/>
  <c r="AZ410" i="3"/>
  <c r="AZ448" i="3"/>
  <c r="AZ449" i="3"/>
  <c r="AZ467" i="3"/>
  <c r="AZ262" i="3"/>
  <c r="J44" i="39"/>
  <c r="H38" i="33"/>
  <c r="AZ431" i="3"/>
  <c r="AZ439" i="3"/>
  <c r="M20" i="15"/>
  <c r="F34" i="81"/>
  <c r="F62" i="81" s="1"/>
  <c r="M20" i="81"/>
  <c r="BA442" i="3"/>
  <c r="AZ442" i="3" s="1"/>
  <c r="G452" i="3"/>
  <c r="BA461" i="3"/>
  <c r="AZ461" i="3" s="1"/>
  <c r="BL485" i="3"/>
  <c r="BL368" i="3"/>
  <c r="G369" i="3"/>
  <c r="BL216" i="3"/>
  <c r="G221" i="3"/>
  <c r="AZ226" i="3"/>
  <c r="G231" i="3"/>
  <c r="BL240" i="3"/>
  <c r="AZ240" i="3" s="1"/>
  <c r="BA261" i="3"/>
  <c r="X30" i="71"/>
  <c r="X25" i="71"/>
  <c r="X28" i="71"/>
  <c r="X29" i="71"/>
  <c r="C43" i="71"/>
  <c r="D42" i="71"/>
  <c r="X21" i="71"/>
  <c r="AZ478" i="3"/>
  <c r="AZ483" i="3"/>
  <c r="AZ258" i="3"/>
  <c r="V76" i="71"/>
  <c r="F75" i="71"/>
  <c r="F74" i="71" s="1"/>
  <c r="D79" i="71"/>
  <c r="C78" i="71"/>
  <c r="D78" i="71" s="1"/>
  <c r="BL468" i="3"/>
  <c r="AZ468" i="3" s="1"/>
  <c r="AZ489" i="3"/>
  <c r="BA386" i="3"/>
  <c r="AZ244" i="3"/>
  <c r="M18" i="82"/>
  <c r="B118" i="82" s="1"/>
  <c r="BA447" i="3"/>
  <c r="AZ447" i="3" s="1"/>
  <c r="BL449" i="3"/>
  <c r="BL457" i="3"/>
  <c r="AZ457" i="3" s="1"/>
  <c r="BL487" i="3"/>
  <c r="AZ487" i="3" s="1"/>
  <c r="G488" i="3"/>
  <c r="BA307" i="3"/>
  <c r="AZ307" i="3" s="1"/>
  <c r="BA316" i="3"/>
  <c r="AZ316" i="3" s="1"/>
  <c r="BA319" i="3"/>
  <c r="AZ319" i="3" s="1"/>
  <c r="BL348" i="3"/>
  <c r="AZ348" i="3" s="1"/>
  <c r="BA354" i="3"/>
  <c r="AZ242" i="3"/>
  <c r="AZ289" i="3"/>
  <c r="AZ292" i="3"/>
  <c r="D78" i="9"/>
  <c r="D78" i="82"/>
  <c r="D93" i="82"/>
  <c r="BA455" i="3"/>
  <c r="AZ455" i="3" s="1"/>
  <c r="G466" i="3"/>
  <c r="BA475" i="3"/>
  <c r="AZ475" i="3" s="1"/>
  <c r="BL482" i="3"/>
  <c r="AZ482" i="3" s="1"/>
  <c r="G483" i="3"/>
  <c r="BA315" i="3"/>
  <c r="AZ315" i="3" s="1"/>
  <c r="BL328" i="3"/>
  <c r="AZ328" i="3" s="1"/>
  <c r="BL340" i="3"/>
  <c r="AZ340" i="3" s="1"/>
  <c r="BL346" i="3"/>
  <c r="AZ346" i="3" s="1"/>
  <c r="BA353" i="3"/>
  <c r="BL365" i="3"/>
  <c r="AZ365" i="3" s="1"/>
  <c r="BA370" i="3"/>
  <c r="AZ370" i="3" s="1"/>
  <c r="BA396" i="3"/>
  <c r="AZ396" i="3" s="1"/>
  <c r="AZ397" i="3"/>
  <c r="AZ210" i="3"/>
  <c r="AZ211" i="3"/>
  <c r="BA213" i="3"/>
  <c r="BA214" i="3"/>
  <c r="AZ214" i="3" s="1"/>
  <c r="BA235" i="3"/>
  <c r="AZ235" i="3" s="1"/>
  <c r="BL244" i="3"/>
  <c r="AZ278" i="3"/>
  <c r="AZ46" i="3"/>
  <c r="BL446" i="3"/>
  <c r="AZ446" i="3" s="1"/>
  <c r="G447" i="3"/>
  <c r="BA480" i="3"/>
  <c r="AZ480" i="3" s="1"/>
  <c r="BA492" i="3"/>
  <c r="AZ492" i="3" s="1"/>
  <c r="BL316" i="3"/>
  <c r="BA333" i="3"/>
  <c r="AZ333" i="3" s="1"/>
  <c r="BA352" i="3"/>
  <c r="AZ352" i="3" s="1"/>
  <c r="BL354" i="3"/>
  <c r="BL385" i="3"/>
  <c r="BA395" i="3"/>
  <c r="AZ395" i="3" s="1"/>
  <c r="BA212" i="3"/>
  <c r="AZ212" i="3" s="1"/>
  <c r="BA216" i="3"/>
  <c r="BA221" i="3"/>
  <c r="AZ221" i="3" s="1"/>
  <c r="BA222" i="3"/>
  <c r="AZ222" i="3" s="1"/>
  <c r="BA225" i="3"/>
  <c r="AZ225" i="3" s="1"/>
  <c r="BL228" i="3"/>
  <c r="BA238" i="3"/>
  <c r="AZ238" i="3" s="1"/>
  <c r="BL245" i="3"/>
  <c r="AZ245" i="3" s="1"/>
  <c r="G247" i="3"/>
  <c r="BA285" i="3"/>
  <c r="BL454" i="3"/>
  <c r="AZ454" i="3" s="1"/>
  <c r="BL474" i="3"/>
  <c r="AZ474" i="3" s="1"/>
  <c r="BA481" i="3"/>
  <c r="AZ481" i="3" s="1"/>
  <c r="BA486" i="3"/>
  <c r="AZ486" i="3" s="1"/>
  <c r="BA332" i="3"/>
  <c r="AZ332" i="3" s="1"/>
  <c r="BA335" i="3"/>
  <c r="AZ335" i="3" s="1"/>
  <c r="BL363" i="3"/>
  <c r="AZ363" i="3" s="1"/>
  <c r="BL386" i="3"/>
  <c r="BL396" i="3"/>
  <c r="BA217" i="3"/>
  <c r="AZ217" i="3" s="1"/>
  <c r="AZ228" i="3"/>
  <c r="BA231" i="3"/>
  <c r="AZ231" i="3" s="1"/>
  <c r="BA239" i="3"/>
  <c r="AZ239" i="3" s="1"/>
  <c r="BL241" i="3"/>
  <c r="G444" i="3"/>
  <c r="BA472" i="3"/>
  <c r="AZ472" i="3" s="1"/>
  <c r="BL479" i="3"/>
  <c r="AZ479" i="3" s="1"/>
  <c r="G480" i="3"/>
  <c r="BL490" i="3"/>
  <c r="AZ490" i="3" s="1"/>
  <c r="G491" i="3"/>
  <c r="BL491" i="3"/>
  <c r="AZ491" i="3" s="1"/>
  <c r="BL314" i="3"/>
  <c r="AZ314" i="3" s="1"/>
  <c r="BL333" i="3"/>
  <c r="BL353" i="3"/>
  <c r="BA368" i="3"/>
  <c r="AZ368" i="3" s="1"/>
  <c r="G396" i="3"/>
  <c r="BL208" i="3"/>
  <c r="BL209" i="3"/>
  <c r="AZ209" i="3" s="1"/>
  <c r="BL221" i="3"/>
  <c r="BL226" i="3"/>
  <c r="AZ236" i="3"/>
  <c r="BL238" i="3"/>
  <c r="G241" i="3"/>
  <c r="BL261" i="3"/>
  <c r="BA282" i="3"/>
  <c r="BA116" i="3"/>
  <c r="AZ116" i="3" s="1"/>
  <c r="AZ122" i="3"/>
  <c r="BA208" i="3"/>
  <c r="G223" i="3"/>
  <c r="BL223" i="3"/>
  <c r="AZ223" i="3" s="1"/>
  <c r="BL232" i="3"/>
  <c r="AZ232" i="3" s="1"/>
  <c r="G233" i="3"/>
  <c r="G243" i="3"/>
  <c r="BL243" i="3"/>
  <c r="AZ243" i="3" s="1"/>
  <c r="BA251" i="3"/>
  <c r="AZ251" i="3" s="1"/>
  <c r="BL258" i="3"/>
  <c r="G260" i="3"/>
  <c r="BA268" i="3"/>
  <c r="AZ268" i="3" s="1"/>
  <c r="BA277" i="3"/>
  <c r="AZ277" i="3" s="1"/>
  <c r="BL281" i="3"/>
  <c r="AZ281" i="3" s="1"/>
  <c r="BL288" i="3"/>
  <c r="AZ288" i="3" s="1"/>
  <c r="BA295" i="3"/>
  <c r="AZ295" i="3" s="1"/>
  <c r="G299" i="3"/>
  <c r="G302" i="3"/>
  <c r="BA142" i="3"/>
  <c r="AZ70" i="3"/>
  <c r="BA230" i="3"/>
  <c r="AZ230" i="3" s="1"/>
  <c r="BL249" i="3"/>
  <c r="AZ249" i="3" s="1"/>
  <c r="AZ284" i="3"/>
  <c r="AZ137" i="3"/>
  <c r="G220" i="3"/>
  <c r="BA241" i="3"/>
  <c r="AZ241" i="3" s="1"/>
  <c r="BA254" i="3"/>
  <c r="AZ254" i="3" s="1"/>
  <c r="BL259" i="3"/>
  <c r="AZ259" i="3" s="1"/>
  <c r="BA263" i="3"/>
  <c r="AZ263" i="3" s="1"/>
  <c r="BL266" i="3"/>
  <c r="BL273" i="3"/>
  <c r="BA280" i="3"/>
  <c r="AZ280" i="3" s="1"/>
  <c r="BA290" i="3"/>
  <c r="AZ290" i="3" s="1"/>
  <c r="BL294" i="3"/>
  <c r="AZ294" i="3" s="1"/>
  <c r="BA298" i="3"/>
  <c r="AZ298" i="3" s="1"/>
  <c r="BA301" i="3"/>
  <c r="AZ301" i="3" s="1"/>
  <c r="BL114" i="3"/>
  <c r="AZ114" i="3" s="1"/>
  <c r="AZ121" i="3"/>
  <c r="BA136" i="3"/>
  <c r="AZ136" i="3" s="1"/>
  <c r="BL229" i="3"/>
  <c r="AZ229" i="3" s="1"/>
  <c r="BL239" i="3"/>
  <c r="BA247" i="3"/>
  <c r="AZ247" i="3" s="1"/>
  <c r="BA273" i="3"/>
  <c r="AZ273" i="3" s="1"/>
  <c r="BL276" i="3"/>
  <c r="G277" i="3"/>
  <c r="BA283" i="3"/>
  <c r="AZ283" i="3" s="1"/>
  <c r="BL283" i="3"/>
  <c r="BA286" i="3"/>
  <c r="BL286" i="3"/>
  <c r="BA293" i="3"/>
  <c r="AZ293" i="3" s="1"/>
  <c r="BL297" i="3"/>
  <c r="BL300" i="3"/>
  <c r="BL113" i="3"/>
  <c r="BA118" i="3"/>
  <c r="BA124" i="3"/>
  <c r="AZ124" i="3" s="1"/>
  <c r="BA132" i="3"/>
  <c r="AZ132" i="3" s="1"/>
  <c r="G217" i="3"/>
  <c r="BA218" i="3"/>
  <c r="AZ218" i="3" s="1"/>
  <c r="BA227" i="3"/>
  <c r="AZ227" i="3" s="1"/>
  <c r="BA237" i="3"/>
  <c r="AZ237" i="3" s="1"/>
  <c r="BL253" i="3"/>
  <c r="BL262" i="3"/>
  <c r="BA266" i="3"/>
  <c r="BL269" i="3"/>
  <c r="AZ269" i="3" s="1"/>
  <c r="BA276" i="3"/>
  <c r="BL279" i="3"/>
  <c r="G280" i="3"/>
  <c r="BL282" i="3"/>
  <c r="G283" i="3"/>
  <c r="BL285" i="3"/>
  <c r="G286" i="3"/>
  <c r="BA296" i="3"/>
  <c r="AZ296" i="3" s="1"/>
  <c r="G124" i="3"/>
  <c r="BL131" i="3"/>
  <c r="AZ131" i="3" s="1"/>
  <c r="BL153" i="3"/>
  <c r="AZ153" i="3" s="1"/>
  <c r="BL173" i="3"/>
  <c r="AZ173" i="3" s="1"/>
  <c r="BL32" i="3"/>
  <c r="AZ32" i="3" s="1"/>
  <c r="AZ57" i="3"/>
  <c r="BL76" i="3"/>
  <c r="BL213" i="3"/>
  <c r="BL246" i="3"/>
  <c r="AZ246" i="3" s="1"/>
  <c r="G253" i="3"/>
  <c r="BA253" i="3"/>
  <c r="AZ253" i="3" s="1"/>
  <c r="BL265" i="3"/>
  <c r="AZ265" i="3" s="1"/>
  <c r="BL272" i="3"/>
  <c r="AZ272" i="3" s="1"/>
  <c r="BA279" i="3"/>
  <c r="BL289" i="3"/>
  <c r="G290" i="3"/>
  <c r="BA297" i="3"/>
  <c r="BA300" i="3"/>
  <c r="BA302" i="3"/>
  <c r="AZ302" i="3" s="1"/>
  <c r="BA113" i="3"/>
  <c r="AZ113" i="3" s="1"/>
  <c r="BA117" i="3"/>
  <c r="AZ117" i="3" s="1"/>
  <c r="BL117" i="3"/>
  <c r="BL130" i="3"/>
  <c r="AZ130" i="3" s="1"/>
  <c r="BL135" i="3"/>
  <c r="AZ135" i="3" s="1"/>
  <c r="G136" i="3"/>
  <c r="BA157" i="3"/>
  <c r="AZ157" i="3" s="1"/>
  <c r="BL201" i="3"/>
  <c r="AZ201" i="3" s="1"/>
  <c r="AZ91" i="3"/>
  <c r="BL118" i="3"/>
  <c r="BL150" i="3"/>
  <c r="AZ150" i="3" s="1"/>
  <c r="BL163" i="3"/>
  <c r="AZ163" i="3" s="1"/>
  <c r="BA188" i="3"/>
  <c r="AZ188" i="3" s="1"/>
  <c r="BL205" i="3"/>
  <c r="BA21" i="3"/>
  <c r="AZ21" i="3" s="1"/>
  <c r="BL28" i="3"/>
  <c r="BL31" i="3"/>
  <c r="AZ31" i="3" s="1"/>
  <c r="BL35" i="3"/>
  <c r="BL38" i="3"/>
  <c r="BL42" i="3"/>
  <c r="AZ42" i="3" s="1"/>
  <c r="BA49" i="3"/>
  <c r="AZ49" i="3" s="1"/>
  <c r="BA53" i="3"/>
  <c r="AZ53" i="3" s="1"/>
  <c r="BA60" i="3"/>
  <c r="AZ60" i="3" s="1"/>
  <c r="AZ76" i="3"/>
  <c r="BA81" i="3"/>
  <c r="BL86" i="3"/>
  <c r="BL91" i="3"/>
  <c r="AZ96" i="3"/>
  <c r="AB35" i="71"/>
  <c r="AB32" i="71"/>
  <c r="AB25" i="71"/>
  <c r="AB34" i="71"/>
  <c r="AB28" i="71"/>
  <c r="AB23" i="71"/>
  <c r="X18" i="71"/>
  <c r="BA181" i="3"/>
  <c r="BA184" i="3"/>
  <c r="AZ184" i="3" s="1"/>
  <c r="BA207" i="3"/>
  <c r="AZ207" i="3" s="1"/>
  <c r="BA30" i="3"/>
  <c r="BL52" i="3"/>
  <c r="BA69" i="3"/>
  <c r="BA71" i="3"/>
  <c r="AZ71" i="3" s="1"/>
  <c r="BL79" i="3"/>
  <c r="AZ79" i="3" s="1"/>
  <c r="F66" i="71"/>
  <c r="Q67" i="71"/>
  <c r="BA125" i="3"/>
  <c r="AZ125" i="3" s="1"/>
  <c r="BA134" i="3"/>
  <c r="AZ134" i="3" s="1"/>
  <c r="BL149" i="3"/>
  <c r="AZ149" i="3" s="1"/>
  <c r="BL166" i="3"/>
  <c r="AZ166" i="3" s="1"/>
  <c r="BA180" i="3"/>
  <c r="AZ180" i="3" s="1"/>
  <c r="BL186" i="3"/>
  <c r="AZ186" i="3" s="1"/>
  <c r="BA198" i="3"/>
  <c r="AZ25" i="3"/>
  <c r="AZ27" i="3"/>
  <c r="AZ34" i="3"/>
  <c r="BA37" i="3"/>
  <c r="AZ37" i="3" s="1"/>
  <c r="BA40" i="3"/>
  <c r="AZ40" i="3" s="1"/>
  <c r="AZ99" i="3"/>
  <c r="O66" i="71"/>
  <c r="O65" i="71"/>
  <c r="C35" i="71"/>
  <c r="D34" i="71"/>
  <c r="G134" i="3"/>
  <c r="BL142" i="3"/>
  <c r="BL154" i="3"/>
  <c r="AZ154" i="3" s="1"/>
  <c r="BA161" i="3"/>
  <c r="AZ161" i="3" s="1"/>
  <c r="BL171" i="3"/>
  <c r="AZ171" i="3" s="1"/>
  <c r="BA178" i="3"/>
  <c r="AZ178" i="3" s="1"/>
  <c r="BL181" i="3"/>
  <c r="BA185" i="3"/>
  <c r="AZ185" i="3" s="1"/>
  <c r="BA200" i="3"/>
  <c r="AZ200" i="3" s="1"/>
  <c r="BA205" i="3"/>
  <c r="AZ205" i="3" s="1"/>
  <c r="BL207" i="3"/>
  <c r="BL19" i="3"/>
  <c r="BL5" i="3" s="1"/>
  <c r="BA23" i="3"/>
  <c r="AZ23" i="3" s="1"/>
  <c r="BA28" i="3"/>
  <c r="BL30" i="3"/>
  <c r="BA35" i="3"/>
  <c r="AZ35" i="3" s="1"/>
  <c r="BA38" i="3"/>
  <c r="AZ38" i="3" s="1"/>
  <c r="BA44" i="3"/>
  <c r="AZ44" i="3" s="1"/>
  <c r="BA52" i="3"/>
  <c r="G59" i="3"/>
  <c r="BA59" i="3"/>
  <c r="AZ59" i="3" s="1"/>
  <c r="BA63" i="3"/>
  <c r="AZ63" i="3" s="1"/>
  <c r="BL64" i="3"/>
  <c r="AZ64" i="3" s="1"/>
  <c r="BL68" i="3"/>
  <c r="BL69" i="3"/>
  <c r="AZ73" i="3"/>
  <c r="BL77" i="3"/>
  <c r="BL93" i="3"/>
  <c r="AZ93" i="3" s="1"/>
  <c r="BA109" i="3"/>
  <c r="B55" i="71"/>
  <c r="B56" i="71" s="1"/>
  <c r="S56" i="71" s="1"/>
  <c r="BL123" i="3"/>
  <c r="AZ123" i="3" s="1"/>
  <c r="BL133" i="3"/>
  <c r="AZ133" i="3" s="1"/>
  <c r="BA141" i="3"/>
  <c r="AZ141" i="3" s="1"/>
  <c r="BA146" i="3"/>
  <c r="AZ146" i="3" s="1"/>
  <c r="BL159" i="3"/>
  <c r="AZ159" i="3" s="1"/>
  <c r="BL170" i="3"/>
  <c r="AZ170" i="3" s="1"/>
  <c r="BA174" i="3"/>
  <c r="AZ174" i="3" s="1"/>
  <c r="BA177" i="3"/>
  <c r="AZ177" i="3" s="1"/>
  <c r="BL179" i="3"/>
  <c r="AZ179" i="3" s="1"/>
  <c r="BL182" i="3"/>
  <c r="AZ182" i="3" s="1"/>
  <c r="BL189" i="3"/>
  <c r="AZ189" i="3" s="1"/>
  <c r="BA193" i="3"/>
  <c r="AZ193" i="3" s="1"/>
  <c r="BL197" i="3"/>
  <c r="BL198" i="3"/>
  <c r="BL202" i="3"/>
  <c r="BL206" i="3"/>
  <c r="AZ206" i="3" s="1"/>
  <c r="G23" i="3"/>
  <c r="BL26" i="3"/>
  <c r="BL29" i="3"/>
  <c r="AZ29" i="3" s="1"/>
  <c r="BL33" i="3"/>
  <c r="BL36" i="3"/>
  <c r="BL37" i="3"/>
  <c r="BL40" i="3"/>
  <c r="BA45" i="3"/>
  <c r="AZ45" i="3" s="1"/>
  <c r="BA47" i="3"/>
  <c r="AZ47" i="3" s="1"/>
  <c r="BL51" i="3"/>
  <c r="AZ51" i="3" s="1"/>
  <c r="BL55" i="3"/>
  <c r="AZ55" i="3" s="1"/>
  <c r="BL62" i="3"/>
  <c r="AZ62" i="3" s="1"/>
  <c r="BA68" i="3"/>
  <c r="BA77" i="3"/>
  <c r="BL108" i="3"/>
  <c r="BL110" i="3"/>
  <c r="AZ110" i="3" s="1"/>
  <c r="G123" i="3"/>
  <c r="BA140" i="3"/>
  <c r="AZ140" i="3" s="1"/>
  <c r="BA145" i="3"/>
  <c r="AZ145" i="3" s="1"/>
  <c r="BA158" i="3"/>
  <c r="AZ158" i="3" s="1"/>
  <c r="BL165" i="3"/>
  <c r="AZ165" i="3" s="1"/>
  <c r="BA169" i="3"/>
  <c r="AZ169" i="3" s="1"/>
  <c r="BL178" i="3"/>
  <c r="BA192" i="3"/>
  <c r="AZ192" i="3" s="1"/>
  <c r="BA197" i="3"/>
  <c r="AZ197" i="3" s="1"/>
  <c r="G202" i="3"/>
  <c r="BA202" i="3"/>
  <c r="AZ202" i="3" s="1"/>
  <c r="BA19" i="3"/>
  <c r="AZ19" i="3" s="1"/>
  <c r="BL22" i="3"/>
  <c r="AZ22" i="3" s="1"/>
  <c r="G26" i="3"/>
  <c r="BA26" i="3"/>
  <c r="G33" i="3"/>
  <c r="BA33" i="3"/>
  <c r="BA36" i="3"/>
  <c r="AZ36" i="3" s="1"/>
  <c r="BL39" i="3"/>
  <c r="AZ39" i="3" s="1"/>
  <c r="BL43" i="3"/>
  <c r="AZ43" i="3" s="1"/>
  <c r="BA50" i="3"/>
  <c r="AZ50" i="3" s="1"/>
  <c r="BL54" i="3"/>
  <c r="AZ54" i="3" s="1"/>
  <c r="BL58" i="3"/>
  <c r="AZ58" i="3" s="1"/>
  <c r="BL67" i="3"/>
  <c r="AZ67" i="3" s="1"/>
  <c r="BL81" i="3"/>
  <c r="AB18" i="36"/>
  <c r="U18" i="36"/>
  <c r="AB31" i="71"/>
  <c r="C55" i="71"/>
  <c r="D54" i="71"/>
  <c r="BA65" i="3"/>
  <c r="AZ65" i="3" s="1"/>
  <c r="BL74" i="3"/>
  <c r="AZ74" i="3" s="1"/>
  <c r="G85" i="3"/>
  <c r="BA92" i="3"/>
  <c r="AZ92" i="3" s="1"/>
  <c r="G107" i="3"/>
  <c r="BL109" i="3"/>
  <c r="G1" i="81"/>
  <c r="AB29" i="71"/>
  <c r="AB27" i="71"/>
  <c r="F30" i="71"/>
  <c r="F31" i="71" s="1"/>
  <c r="F32" i="71" s="1"/>
  <c r="V32" i="71" s="1"/>
  <c r="AA31" i="71"/>
  <c r="P68" i="71"/>
  <c r="E67" i="71"/>
  <c r="AB26" i="71"/>
  <c r="AA22" i="71"/>
  <c r="X22" i="71"/>
  <c r="BL80" i="3"/>
  <c r="AZ80" i="3" s="1"/>
  <c r="BA103" i="3"/>
  <c r="AZ103" i="3" s="1"/>
  <c r="AZ104" i="3"/>
  <c r="AA26" i="71"/>
  <c r="AA27" i="71"/>
  <c r="E28" i="71"/>
  <c r="AA3" i="71"/>
  <c r="X26" i="71"/>
  <c r="AA36" i="71"/>
  <c r="V80" i="71"/>
  <c r="F79" i="71"/>
  <c r="F78" i="71" s="1"/>
  <c r="Y21" i="71"/>
  <c r="Z21" i="71" s="1"/>
  <c r="X11" i="71"/>
  <c r="BL87" i="3"/>
  <c r="AZ87" i="3" s="1"/>
  <c r="BL102" i="3"/>
  <c r="AZ102" i="3" s="1"/>
  <c r="AB21" i="21"/>
  <c r="U21" i="21"/>
  <c r="AC25" i="40"/>
  <c r="AA30" i="71"/>
  <c r="E34" i="71"/>
  <c r="E35" i="71" s="1"/>
  <c r="E36" i="71" s="1"/>
  <c r="U36" i="71" s="1"/>
  <c r="AA33" i="71"/>
  <c r="AA32" i="71"/>
  <c r="C51" i="71"/>
  <c r="D50" i="71"/>
  <c r="AA18" i="71"/>
  <c r="Y12" i="71"/>
  <c r="Z12" i="71" s="1"/>
  <c r="BL88" i="3"/>
  <c r="AZ88" i="3" s="1"/>
  <c r="BA97" i="3"/>
  <c r="AZ97" i="3" s="1"/>
  <c r="BA105" i="3"/>
  <c r="AB21" i="37"/>
  <c r="D38" i="71"/>
  <c r="AB33" i="71"/>
  <c r="B47" i="71"/>
  <c r="B48" i="71" s="1"/>
  <c r="S48" i="71" s="1"/>
  <c r="E52" i="71"/>
  <c r="U52" i="71" s="1"/>
  <c r="B59" i="71"/>
  <c r="B60" i="71" s="1"/>
  <c r="S60" i="71" s="1"/>
  <c r="AB18" i="71"/>
  <c r="BA85" i="3"/>
  <c r="AZ85" i="3" s="1"/>
  <c r="G104" i="3"/>
  <c r="BA106" i="3"/>
  <c r="AZ106" i="3" s="1"/>
  <c r="BA107" i="3"/>
  <c r="AZ107" i="3" s="1"/>
  <c r="BA108" i="3"/>
  <c r="AZ108" i="3" s="1"/>
  <c r="D75" i="71"/>
  <c r="C74" i="71"/>
  <c r="D74" i="71" s="1"/>
  <c r="C59" i="71"/>
  <c r="X27" i="71"/>
  <c r="B30" i="71"/>
  <c r="B31" i="71" s="1"/>
  <c r="B32" i="71" s="1"/>
  <c r="S32" i="71" s="1"/>
  <c r="Y31" i="71"/>
  <c r="Z31" i="71" s="1"/>
  <c r="Y33" i="71"/>
  <c r="Z33" i="71" s="1"/>
  <c r="Y35" i="71"/>
  <c r="Z35" i="71" s="1"/>
  <c r="F55" i="71"/>
  <c r="F56" i="71" s="1"/>
  <c r="V56" i="71" s="1"/>
  <c r="E63" i="71"/>
  <c r="E64" i="71" s="1"/>
  <c r="U64" i="71" s="1"/>
  <c r="B67" i="71"/>
  <c r="Y24" i="71"/>
  <c r="Z24" i="71" s="1"/>
  <c r="AA21" i="71"/>
  <c r="AB12" i="71"/>
  <c r="G68" i="3"/>
  <c r="G78" i="3"/>
  <c r="BA86" i="3"/>
  <c r="BL105" i="3"/>
  <c r="C26" i="71"/>
  <c r="D26" i="71" s="1"/>
  <c r="D27" i="71"/>
  <c r="C40" i="71"/>
  <c r="D39" i="71"/>
  <c r="AB9" i="71"/>
  <c r="C87" i="71"/>
  <c r="D88" i="71"/>
  <c r="AA24" i="71"/>
  <c r="X17" i="71"/>
  <c r="AB17" i="71"/>
  <c r="C51" i="10"/>
  <c r="A13" i="51" s="1"/>
  <c r="B11" i="72" s="1"/>
  <c r="A2" i="82"/>
  <c r="A118" i="82"/>
  <c r="AB21" i="33"/>
  <c r="O67" i="71"/>
  <c r="T68" i="71"/>
  <c r="Y26" i="71"/>
  <c r="Z26" i="71" s="1"/>
  <c r="X35" i="71"/>
  <c r="Y29" i="71"/>
  <c r="Z29" i="71" s="1"/>
  <c r="X9" i="71"/>
  <c r="V68" i="71"/>
  <c r="X24" i="71"/>
  <c r="Y10" i="71"/>
  <c r="Z10" i="71" s="1"/>
  <c r="B88" i="43"/>
  <c r="C30" i="71"/>
  <c r="AB30" i="71"/>
  <c r="F34" i="71"/>
  <c r="F35" i="71" s="1"/>
  <c r="F36" i="71" s="1"/>
  <c r="V36" i="71" s="1"/>
  <c r="Y22" i="71"/>
  <c r="Z22" i="71" s="1"/>
  <c r="AB21" i="71"/>
  <c r="X15" i="71"/>
  <c r="X10" i="71"/>
  <c r="Y14" i="71"/>
  <c r="Z14" i="71" s="1"/>
  <c r="B28" i="71"/>
  <c r="Y25" i="71"/>
  <c r="Z25" i="71" s="1"/>
  <c r="X34" i="71"/>
  <c r="X33" i="71"/>
  <c r="M56" i="9"/>
  <c r="N56" i="82"/>
  <c r="M56" i="82"/>
  <c r="J56" i="82"/>
  <c r="J57" i="82" s="1"/>
  <c r="J59" i="82" s="1"/>
  <c r="J61" i="82" s="1"/>
  <c r="K56" i="82"/>
  <c r="X12" i="71"/>
  <c r="Y9" i="71"/>
  <c r="Z9" i="71" s="1"/>
  <c r="AA23" i="71"/>
  <c r="AA15" i="71"/>
  <c r="AA12" i="71"/>
  <c r="X13" i="71"/>
  <c r="V24" i="71"/>
  <c r="AB15" i="71"/>
  <c r="Y17" i="71"/>
  <c r="Z17" i="71" s="1"/>
  <c r="AA13" i="71"/>
  <c r="X14" i="71"/>
  <c r="AB11" i="71"/>
  <c r="AA9" i="71"/>
  <c r="AA11" i="71"/>
  <c r="Y11" i="71"/>
  <c r="Z11" i="71" s="1"/>
  <c r="AB10" i="71"/>
  <c r="M47" i="82"/>
  <c r="J51" i="81"/>
  <c r="AA17" i="71"/>
  <c r="AA10" i="71"/>
  <c r="Y13" i="71"/>
  <c r="Z13" i="71" s="1"/>
  <c r="AB13" i="71"/>
  <c r="K56" i="9"/>
  <c r="AA14" i="71"/>
  <c r="AB14" i="71"/>
  <c r="S42" i="33"/>
  <c r="F34" i="68"/>
  <c r="C36" i="68" s="1"/>
  <c r="H27" i="33"/>
  <c r="U27" i="33" s="1"/>
  <c r="AB26" i="33"/>
  <c r="S15" i="33"/>
  <c r="U39" i="33"/>
  <c r="U43" i="33"/>
  <c r="W42" i="33"/>
  <c r="F36" i="33"/>
  <c r="J36" i="33"/>
  <c r="W36" i="33" s="1"/>
  <c r="G111" i="33"/>
  <c r="H111" i="33" s="1"/>
  <c r="I111" i="33" s="1"/>
  <c r="J111" i="33" s="1"/>
  <c r="K111" i="33" s="1"/>
  <c r="L111" i="33" s="1"/>
  <c r="M111" i="33" s="1"/>
  <c r="H36" i="33"/>
  <c r="U36" i="33" s="1"/>
  <c r="AA34" i="33"/>
  <c r="F25" i="33"/>
  <c r="S25" i="33" s="1"/>
  <c r="J25" i="33"/>
  <c r="W25" i="33" s="1"/>
  <c r="H25" i="33"/>
  <c r="U25" i="33" s="1"/>
  <c r="G87" i="33"/>
  <c r="H87" i="33" s="1"/>
  <c r="I87" i="33" s="1"/>
  <c r="J87" i="33" s="1"/>
  <c r="K87" i="33" s="1"/>
  <c r="L87" i="33" s="1"/>
  <c r="M87" i="33" s="1"/>
  <c r="F27" i="33"/>
  <c r="F91" i="33"/>
  <c r="G91" i="33" s="1"/>
  <c r="H91" i="33" s="1"/>
  <c r="I91" i="33" s="1"/>
  <c r="J91" i="33" s="1"/>
  <c r="K91" i="33" s="1"/>
  <c r="L91" i="33" s="1"/>
  <c r="M91" i="33" s="1"/>
  <c r="S39" i="33"/>
  <c r="AB34" i="33"/>
  <c r="U40" i="33"/>
  <c r="S41" i="33"/>
  <c r="W43" i="33"/>
  <c r="AB23" i="33"/>
  <c r="AA23" i="33"/>
  <c r="W21" i="33"/>
  <c r="U19" i="33"/>
  <c r="AA19" i="33"/>
  <c r="AA17" i="33"/>
  <c r="W8" i="33"/>
  <c r="F43" i="34"/>
  <c r="AA43" i="34" s="1"/>
  <c r="J43" i="34"/>
  <c r="H43" i="34"/>
  <c r="AA45" i="34"/>
  <c r="M7" i="1"/>
  <c r="O7" i="1" s="1"/>
  <c r="P7" i="1" s="1"/>
  <c r="AH7" i="1"/>
  <c r="AP6" i="1"/>
  <c r="AH6" i="1"/>
  <c r="AB45" i="34"/>
  <c r="H40" i="34"/>
  <c r="F40" i="34"/>
  <c r="S40" i="34" s="1"/>
  <c r="F118" i="34"/>
  <c r="G118" i="34" s="1"/>
  <c r="J40" i="34"/>
  <c r="W38" i="34"/>
  <c r="AC38" i="34"/>
  <c r="F38" i="34"/>
  <c r="F37" i="34"/>
  <c r="H37" i="34"/>
  <c r="U37" i="34" s="1"/>
  <c r="G112" i="34"/>
  <c r="H112" i="34" s="1"/>
  <c r="I112" i="34" s="1"/>
  <c r="J112" i="34" s="1"/>
  <c r="K112" i="34" s="1"/>
  <c r="L112" i="34" s="1"/>
  <c r="M112" i="34" s="1"/>
  <c r="J37" i="34"/>
  <c r="AC37" i="34" s="1"/>
  <c r="U44" i="34"/>
  <c r="D68" i="9"/>
  <c r="M18" i="15"/>
  <c r="F30" i="69"/>
  <c r="F48" i="69" s="1"/>
  <c r="M18" i="67"/>
  <c r="F31" i="12"/>
  <c r="F30" i="11"/>
  <c r="C48" i="11" s="1"/>
  <c r="AA33" i="34"/>
  <c r="W27" i="33"/>
  <c r="S26" i="33"/>
  <c r="AC25" i="33"/>
  <c r="U32" i="33"/>
  <c r="AC34" i="33"/>
  <c r="S33" i="33"/>
  <c r="W33" i="33"/>
  <c r="U42" i="33"/>
  <c r="U37" i="33"/>
  <c r="AC37" i="33"/>
  <c r="S38" i="33"/>
  <c r="W38" i="33"/>
  <c r="AA35" i="33"/>
  <c r="AC35" i="33"/>
  <c r="U35" i="33"/>
  <c r="AB41" i="34"/>
  <c r="AA41" i="34"/>
  <c r="AA40" i="34"/>
  <c r="AC39" i="34"/>
  <c r="AC36" i="34"/>
  <c r="S35" i="34"/>
  <c r="W33" i="34"/>
  <c r="F90" i="34"/>
  <c r="G90" i="34" s="1"/>
  <c r="H90" i="34" s="1"/>
  <c r="I90" i="34" s="1"/>
  <c r="J90" i="34" s="1"/>
  <c r="K90" i="34" s="1"/>
  <c r="L90" i="34" s="1"/>
  <c r="M90" i="34" s="1"/>
  <c r="J27" i="34"/>
  <c r="H27" i="34"/>
  <c r="F27" i="34"/>
  <c r="J25" i="34"/>
  <c r="F88" i="34"/>
  <c r="G88" i="34" s="1"/>
  <c r="H88" i="34" s="1"/>
  <c r="I88" i="34" s="1"/>
  <c r="J88" i="34" s="1"/>
  <c r="K88" i="34" s="1"/>
  <c r="L88" i="34" s="1"/>
  <c r="M88" i="34" s="1"/>
  <c r="F25" i="34"/>
  <c r="S25" i="34" s="1"/>
  <c r="H25" i="34"/>
  <c r="AB25" i="34" s="1"/>
  <c r="AC23" i="34"/>
  <c r="AB23" i="34"/>
  <c r="U21" i="34"/>
  <c r="S21" i="34"/>
  <c r="U19" i="34"/>
  <c r="F17" i="34"/>
  <c r="AA17" i="34" s="1"/>
  <c r="H17" i="34"/>
  <c r="AC17" i="34"/>
  <c r="U15" i="34"/>
  <c r="AC9" i="34"/>
  <c r="W9" i="34"/>
  <c r="C15" i="39"/>
  <c r="C29" i="39"/>
  <c r="B68" i="43"/>
  <c r="B77" i="43"/>
  <c r="BB5" i="3"/>
  <c r="E14" i="6" s="1"/>
  <c r="BA5" i="3"/>
  <c r="H5" i="3"/>
  <c r="G13" i="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4" i="67"/>
  <c r="F68" i="15"/>
  <c r="D9" i="69"/>
  <c r="F27" i="69"/>
  <c r="C36" i="69"/>
  <c r="D9" i="68"/>
  <c r="M23" i="67"/>
  <c r="G1" i="73"/>
  <c r="M28" i="67"/>
  <c r="F9" i="67"/>
  <c r="C16" i="15"/>
  <c r="M24" i="67"/>
  <c r="F7" i="67"/>
  <c r="J15" i="67"/>
  <c r="F43" i="67"/>
  <c r="F40" i="67"/>
  <c r="M22" i="67"/>
  <c r="J7" i="37" l="1"/>
  <c r="H7" i="36"/>
  <c r="F68" i="67"/>
  <c r="F71" i="67"/>
  <c r="AZ105" i="3"/>
  <c r="E66" i="71"/>
  <c r="P67" i="71"/>
  <c r="AZ69" i="3"/>
  <c r="AZ81" i="3"/>
  <c r="AZ282" i="3"/>
  <c r="AC44" i="39"/>
  <c r="W44" i="39"/>
  <c r="AC31" i="21"/>
  <c r="W31" i="21"/>
  <c r="S12" i="34"/>
  <c r="AA12" i="34"/>
  <c r="AC23" i="36"/>
  <c r="W23" i="36"/>
  <c r="S25" i="36"/>
  <c r="AA25" i="36"/>
  <c r="W33" i="40"/>
  <c r="AC33" i="40"/>
  <c r="W14" i="34"/>
  <c r="AC14" i="34"/>
  <c r="S28" i="71"/>
  <c r="B27" i="71"/>
  <c r="B26" i="71" s="1"/>
  <c r="C31" i="71"/>
  <c r="D30" i="71"/>
  <c r="N67" i="71"/>
  <c r="B66" i="71"/>
  <c r="C60" i="71"/>
  <c r="D59" i="71"/>
  <c r="AB9" i="36"/>
  <c r="U9" i="36"/>
  <c r="U9" i="34"/>
  <c r="AB9" i="34"/>
  <c r="W25" i="36"/>
  <c r="AC25" i="36"/>
  <c r="AA27" i="37"/>
  <c r="S27" i="37"/>
  <c r="W28" i="21"/>
  <c r="AC28" i="21"/>
  <c r="AA14" i="34"/>
  <c r="S14" i="34"/>
  <c r="B15" i="71"/>
  <c r="B14" i="71" s="1"/>
  <c r="B13" i="71" s="1"/>
  <c r="B12" i="71" s="1"/>
  <c r="S16" i="71"/>
  <c r="AB36" i="33"/>
  <c r="AZ33" i="3"/>
  <c r="D35" i="71"/>
  <c r="C36" i="71"/>
  <c r="AZ30" i="3"/>
  <c r="AZ300" i="3"/>
  <c r="AZ386" i="3"/>
  <c r="U12" i="34"/>
  <c r="AB12" i="34"/>
  <c r="U27" i="37"/>
  <c r="AB27" i="37"/>
  <c r="AB28" i="21"/>
  <c r="U28" i="21"/>
  <c r="U14" i="34"/>
  <c r="AB14" i="34"/>
  <c r="E11" i="71"/>
  <c r="E10" i="71" s="1"/>
  <c r="E9" i="71" s="1"/>
  <c r="E8" i="71" s="1"/>
  <c r="E7" i="71" s="1"/>
  <c r="E6" i="71" s="1"/>
  <c r="E5" i="71" s="1"/>
  <c r="V12" i="71"/>
  <c r="F7" i="36"/>
  <c r="AZ86" i="3"/>
  <c r="AZ28" i="3"/>
  <c r="AZ297" i="3"/>
  <c r="AZ276" i="3"/>
  <c r="AC29" i="33"/>
  <c r="W29" i="33"/>
  <c r="C19" i="71"/>
  <c r="T20" i="71"/>
  <c r="D20" i="71"/>
  <c r="U20" i="71" s="1"/>
  <c r="U25" i="34"/>
  <c r="C86" i="71"/>
  <c r="D86" i="71" s="1"/>
  <c r="D87" i="71"/>
  <c r="AZ26" i="3"/>
  <c r="AZ5" i="3" s="1"/>
  <c r="E3" i="6" s="1"/>
  <c r="AZ109" i="3"/>
  <c r="AZ142" i="3"/>
  <c r="AZ285" i="3"/>
  <c r="AZ216" i="3"/>
  <c r="AZ353" i="3"/>
  <c r="AA23" i="36"/>
  <c r="S23" i="36"/>
  <c r="AB29" i="33"/>
  <c r="U29" i="33"/>
  <c r="C31" i="12"/>
  <c r="AZ77" i="3"/>
  <c r="AZ198" i="3"/>
  <c r="Q65" i="71"/>
  <c r="Q66" i="71"/>
  <c r="AZ181" i="3"/>
  <c r="AZ266" i="3"/>
  <c r="AZ286" i="3"/>
  <c r="AZ208" i="3"/>
  <c r="AZ213" i="3"/>
  <c r="AZ354" i="3"/>
  <c r="AZ261" i="3"/>
  <c r="AC36" i="35"/>
  <c r="W36" i="35"/>
  <c r="S12" i="35"/>
  <c r="AA12" i="35"/>
  <c r="S29" i="33"/>
  <c r="AA29" i="33"/>
  <c r="C52" i="71"/>
  <c r="D51" i="71"/>
  <c r="C56" i="71"/>
  <c r="D55" i="71"/>
  <c r="AZ68" i="3"/>
  <c r="AZ52" i="3"/>
  <c r="AZ279" i="3"/>
  <c r="C44" i="71"/>
  <c r="D43" i="71"/>
  <c r="AB38" i="40"/>
  <c r="U38" i="40"/>
  <c r="U39" i="40"/>
  <c r="AB39" i="40"/>
  <c r="AB32" i="36"/>
  <c r="U32" i="36"/>
  <c r="AA40" i="40"/>
  <c r="S40" i="40"/>
  <c r="U12" i="35"/>
  <c r="AB12" i="35"/>
  <c r="T40" i="71"/>
  <c r="D40" i="71"/>
  <c r="E27" i="71"/>
  <c r="E26" i="71" s="1"/>
  <c r="V28" i="71"/>
  <c r="AZ118" i="3"/>
  <c r="AB38" i="33"/>
  <c r="U38" i="33"/>
  <c r="AC36" i="39"/>
  <c r="W36" i="39"/>
  <c r="AA44" i="39"/>
  <c r="S44" i="39"/>
  <c r="AA9" i="36"/>
  <c r="S9" i="36"/>
  <c r="S32" i="36"/>
  <c r="AA32" i="36"/>
  <c r="AB40" i="40"/>
  <c r="U40" i="40"/>
  <c r="AA33" i="40"/>
  <c r="S33" i="40"/>
  <c r="W12" i="35"/>
  <c r="AC12" i="35"/>
  <c r="AZ496" i="3"/>
  <c r="G26" i="43"/>
  <c r="S43" i="34"/>
  <c r="AB27" i="33"/>
  <c r="AA36" i="33"/>
  <c r="S36" i="33"/>
  <c r="AA25" i="33"/>
  <c r="AB25" i="33"/>
  <c r="AA27" i="33"/>
  <c r="S27" i="33"/>
  <c r="M11" i="81"/>
  <c r="J10" i="81" s="1"/>
  <c r="F11" i="81"/>
  <c r="W43" i="34"/>
  <c r="AC43" i="34"/>
  <c r="AB43" i="34"/>
  <c r="U43" i="34"/>
  <c r="F50" i="67"/>
  <c r="C49" i="67" s="1"/>
  <c r="C6" i="67"/>
  <c r="C32" i="67" s="1"/>
  <c r="M7" i="67"/>
  <c r="J6" i="67" s="1"/>
  <c r="J18" i="67" s="1"/>
  <c r="E63" i="39"/>
  <c r="E59" i="40"/>
  <c r="AC40" i="34"/>
  <c r="W40" i="34"/>
  <c r="U40" i="34"/>
  <c r="AB40" i="34"/>
  <c r="S38" i="34"/>
  <c r="AA38" i="34"/>
  <c r="AA37" i="34"/>
  <c r="S37" i="34"/>
  <c r="C30" i="69"/>
  <c r="N94" i="46"/>
  <c r="E26" i="43"/>
  <c r="J26" i="43"/>
  <c r="P6" i="1"/>
  <c r="C13" i="12" s="1"/>
  <c r="K16" i="1"/>
  <c r="AA27" i="34"/>
  <c r="S27" i="34"/>
  <c r="AC27" i="34"/>
  <c r="W27" i="34"/>
  <c r="AB27" i="34"/>
  <c r="U27" i="34"/>
  <c r="AA25" i="34"/>
  <c r="AC25" i="34"/>
  <c r="W25" i="34"/>
  <c r="S17" i="34"/>
  <c r="U17" i="34"/>
  <c r="AB17" i="34"/>
  <c r="D18" i="53"/>
  <c r="B35" i="72" s="1"/>
  <c r="G5" i="3"/>
  <c r="B3" i="3" s="1"/>
  <c r="E13" i="3" s="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F9" i="81"/>
  <c r="J15" i="81"/>
  <c r="F37" i="81"/>
  <c r="F42" i="81"/>
  <c r="F16" i="81"/>
  <c r="M6" i="81"/>
  <c r="L48" i="81"/>
  <c r="L47" i="81"/>
  <c r="M24" i="81"/>
  <c r="M9" i="81"/>
  <c r="M22" i="81"/>
  <c r="M29" i="81"/>
  <c r="F36" i="81"/>
  <c r="F7" i="81"/>
  <c r="C76" i="81"/>
  <c r="F6" i="81"/>
  <c r="F40" i="81"/>
  <c r="M28" i="81"/>
  <c r="F38" i="81"/>
  <c r="F43" i="81"/>
  <c r="M8" i="81"/>
  <c r="AE6" i="1"/>
  <c r="M23" i="81"/>
  <c r="F8" i="81"/>
  <c r="M26" i="81"/>
  <c r="F13" i="81"/>
  <c r="F26" i="81"/>
  <c r="C16" i="67"/>
  <c r="F65" i="81" l="1"/>
  <c r="F51" i="81"/>
  <c r="C27" i="81"/>
  <c r="F68" i="81"/>
  <c r="Q71" i="81"/>
  <c r="F71" i="81"/>
  <c r="F64" i="81"/>
  <c r="C6" i="81"/>
  <c r="F50" i="81"/>
  <c r="M7" i="81"/>
  <c r="J6" i="81" s="1"/>
  <c r="J5" i="81" s="1"/>
  <c r="J24" i="81" s="1"/>
  <c r="L60" i="81"/>
  <c r="L57" i="81"/>
  <c r="L56" i="81"/>
  <c r="J53" i="81"/>
  <c r="J57" i="81"/>
  <c r="J55" i="81" s="1"/>
  <c r="J58" i="81" s="1"/>
  <c r="Q50" i="81" s="1"/>
  <c r="I54" i="81"/>
  <c r="N59" i="81"/>
  <c r="L59" i="81"/>
  <c r="L58" i="81"/>
  <c r="M59" i="81"/>
  <c r="F66" i="81"/>
  <c r="T56" i="71"/>
  <c r="D56" i="71"/>
  <c r="C18" i="71"/>
  <c r="D19" i="71"/>
  <c r="T60" i="71"/>
  <c r="D60" i="71"/>
  <c r="D44" i="71"/>
  <c r="T44" i="71"/>
  <c r="N65" i="71"/>
  <c r="N66" i="71"/>
  <c r="P66" i="71"/>
  <c r="P65" i="71"/>
  <c r="B11" i="71"/>
  <c r="B10" i="71" s="1"/>
  <c r="B9" i="71" s="1"/>
  <c r="B8" i="71" s="1"/>
  <c r="B7" i="71" s="1"/>
  <c r="B6" i="71" s="1"/>
  <c r="B5" i="71" s="1"/>
  <c r="S12" i="71"/>
  <c r="C32" i="71"/>
  <c r="D31" i="71"/>
  <c r="T52" i="71"/>
  <c r="D52" i="71"/>
  <c r="T36" i="71"/>
  <c r="D36" i="71"/>
  <c r="L36" i="43"/>
  <c r="L37" i="43" s="1"/>
  <c r="F24" i="81"/>
  <c r="C53" i="81"/>
  <c r="J5" i="67"/>
  <c r="J24" i="67" s="1"/>
  <c r="T49" i="34"/>
  <c r="G49" i="34" s="1"/>
  <c r="G53" i="34" s="1"/>
  <c r="H53" i="34" s="1"/>
  <c r="AY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212" i="3"/>
  <c r="E442" i="3"/>
  <c r="E541" i="3"/>
  <c r="E449" i="3"/>
  <c r="AP6" i="3"/>
  <c r="E517" i="3"/>
  <c r="E491" i="3"/>
  <c r="E479" i="3"/>
  <c r="E56" i="3"/>
  <c r="E152" i="3"/>
  <c r="E192" i="3"/>
  <c r="E241" i="3"/>
  <c r="E349" i="3"/>
  <c r="E544" i="3"/>
  <c r="E59" i="3"/>
  <c r="E484" i="3"/>
  <c r="E412" i="3"/>
  <c r="E18" i="3"/>
  <c r="E96" i="3"/>
  <c r="E100" i="3"/>
  <c r="E170" i="3"/>
  <c r="E137" i="3"/>
  <c r="E194" i="3"/>
  <c r="E234" i="3"/>
  <c r="E235" i="3"/>
  <c r="E324" i="3"/>
  <c r="E383" i="3"/>
  <c r="E342" i="3"/>
  <c r="E522" i="3"/>
  <c r="E52" i="3"/>
  <c r="E36" i="3"/>
  <c r="E112" i="3"/>
  <c r="E206" i="3"/>
  <c r="E232" i="3"/>
  <c r="E251" i="3"/>
  <c r="E370" i="3"/>
  <c r="AF6" i="3"/>
  <c r="E102" i="3"/>
  <c r="E80" i="3"/>
  <c r="E176" i="3"/>
  <c r="E218" i="3"/>
  <c r="E265" i="3"/>
  <c r="E365" i="3"/>
  <c r="E524" i="3"/>
  <c r="E10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199" i="3"/>
  <c r="E286" i="3"/>
  <c r="E575" i="3"/>
  <c r="E499" i="3"/>
  <c r="R6" i="3"/>
  <c r="E502" i="3"/>
  <c r="E466" i="3"/>
  <c r="E430" i="3"/>
  <c r="E255" i="3"/>
  <c r="I3" i="6"/>
  <c r="E554" i="3"/>
  <c r="E435" i="3"/>
  <c r="E417" i="3"/>
  <c r="E37" i="3"/>
  <c r="E95" i="3"/>
  <c r="E132" i="3"/>
  <c r="E258" i="3"/>
  <c r="E292" i="3"/>
  <c r="E363" i="3"/>
  <c r="E389" i="3"/>
  <c r="E76" i="3"/>
  <c r="E409" i="3"/>
  <c r="E15" i="3"/>
  <c r="E455" i="3"/>
  <c r="E79" i="3"/>
  <c r="E38" i="3"/>
  <c r="E78" i="3"/>
  <c r="E129" i="3"/>
  <c r="E190" i="3"/>
  <c r="E174" i="3"/>
  <c r="E220" i="3"/>
  <c r="E275" i="3"/>
  <c r="E219" i="3"/>
  <c r="E299" i="3"/>
  <c r="E339" i="3"/>
  <c r="E325" i="3"/>
  <c r="E392" i="3"/>
  <c r="AQ6" i="3"/>
  <c r="E35" i="3"/>
  <c r="E86" i="3"/>
  <c r="E34" i="3"/>
  <c r="E49" i="3"/>
  <c r="E123" i="3"/>
  <c r="E147" i="3"/>
  <c r="E289" i="3"/>
  <c r="E340" i="3"/>
  <c r="E364" i="3"/>
  <c r="E50" i="3"/>
  <c r="E20" i="3"/>
  <c r="E62"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72" i="3"/>
  <c r="E10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L6"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81"/>
  <c r="M27" i="15"/>
  <c r="C16" i="81"/>
  <c r="F41" i="15"/>
  <c r="F41" i="67"/>
  <c r="M27" i="67"/>
  <c r="F69" i="67" l="1"/>
  <c r="Q60" i="81"/>
  <c r="Q73" i="81"/>
  <c r="Q66" i="81"/>
  <c r="Q57" i="81"/>
  <c r="Q74" i="81"/>
  <c r="Q61" i="81"/>
  <c r="J26" i="81"/>
  <c r="C17" i="71"/>
  <c r="D18" i="71"/>
  <c r="C33" i="81"/>
  <c r="C32" i="81"/>
  <c r="J18" i="81"/>
  <c r="J19" i="81"/>
  <c r="C10" i="81"/>
  <c r="C5" i="81" s="1"/>
  <c r="C38" i="81" s="1"/>
  <c r="F1" i="81"/>
  <c r="Q52" i="81"/>
  <c r="C49" i="81"/>
  <c r="C61" i="81" s="1"/>
  <c r="T32" i="71"/>
  <c r="D32" i="71"/>
  <c r="Q36" i="43"/>
  <c r="M36" i="43"/>
  <c r="P36" i="43"/>
  <c r="O36" i="43"/>
  <c r="N36" i="43"/>
  <c r="C24" i="81"/>
  <c r="G54" i="34"/>
  <c r="H54" i="34" s="1"/>
  <c r="E49" i="34"/>
  <c r="E54" i="34" s="1"/>
  <c r="F54" i="34" s="1"/>
  <c r="D116" i="43"/>
  <c r="AC6" i="3"/>
  <c r="H6" i="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81"/>
  <c r="AE7" i="1"/>
  <c r="C14" i="81"/>
  <c r="C17" i="67"/>
  <c r="C14" i="67"/>
  <c r="C48" i="81" l="1"/>
  <c r="C18" i="81"/>
  <c r="C15" i="81"/>
  <c r="E7" i="70"/>
  <c r="D17" i="71"/>
  <c r="C16" i="71"/>
  <c r="S20" i="6"/>
  <c r="L18" i="82"/>
  <c r="E6" i="3"/>
  <c r="H24" i="6"/>
  <c r="R24" i="6" s="1"/>
  <c r="R11" i="1" s="1"/>
  <c r="M19" i="82"/>
  <c r="C118" i="82" s="1"/>
  <c r="H21" i="6"/>
  <c r="H25" i="6"/>
  <c r="I54" i="34"/>
  <c r="J54" i="34" s="1"/>
  <c r="E53" i="34"/>
  <c r="F53" i="34" s="1"/>
  <c r="C18" i="67"/>
  <c r="C15" i="67"/>
  <c r="H23" i="6"/>
  <c r="R23" i="6" s="1"/>
  <c r="R10" i="1" s="1"/>
  <c r="C30" i="43"/>
  <c r="C31" i="43"/>
  <c r="H20" i="6"/>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41" i="81"/>
  <c r="E6" i="76"/>
  <c r="B6" i="76"/>
  <c r="C14" i="15"/>
  <c r="C60" i="81" l="1"/>
  <c r="C66" i="81"/>
  <c r="J29" i="81"/>
  <c r="F69" i="81"/>
  <c r="C19" i="81"/>
  <c r="C20" i="81" s="1"/>
  <c r="C15" i="71"/>
  <c r="T16" i="71"/>
  <c r="D16" i="71"/>
  <c r="U16" i="71" s="1"/>
  <c r="L19" i="82"/>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C26" i="81"/>
  <c r="C23" i="81"/>
  <c r="D15" i="71"/>
  <c r="C14" i="71"/>
  <c r="J7" i="21"/>
  <c r="AC7" i="21" s="1"/>
  <c r="V48" i="21" s="1"/>
  <c r="I48" i="21" s="1"/>
  <c r="C23" i="67"/>
  <c r="C29" i="67" s="1"/>
  <c r="J59" i="67" s="1"/>
  <c r="J60" i="67" s="1"/>
  <c r="Q48" i="67" s="1"/>
  <c r="C19" i="15"/>
  <c r="C20" i="15" s="1"/>
  <c r="C26" i="15" s="1"/>
  <c r="C33" i="68"/>
  <c r="C39" i="68" s="1"/>
  <c r="C30" i="12"/>
  <c r="C28" i="12" s="1"/>
  <c r="C38" i="11"/>
  <c r="C35" i="11"/>
  <c r="H27"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C29" i="81" l="1"/>
  <c r="C57" i="81" s="1"/>
  <c r="C64" i="81" s="1"/>
  <c r="W7" i="21"/>
  <c r="D14" i="71"/>
  <c r="C13"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81"/>
  <c r="M21" i="15"/>
  <c r="F35" i="67"/>
  <c r="M21" i="81"/>
  <c r="C13" i="81" l="1"/>
  <c r="Q70" i="81" s="1"/>
  <c r="J59" i="81"/>
  <c r="J60" i="81" s="1"/>
  <c r="L46" i="81" s="1"/>
  <c r="Q49" i="81"/>
  <c r="C36" i="81"/>
  <c r="J14" i="81"/>
  <c r="AC7" i="35"/>
  <c r="V38" i="35" s="1"/>
  <c r="I38" i="35" s="1"/>
  <c r="D13" i="71"/>
  <c r="C12" i="71"/>
  <c r="F63" i="81"/>
  <c r="C62" i="81" s="1"/>
  <c r="C59" i="81" s="1"/>
  <c r="C34" i="81"/>
  <c r="C31" i="81" s="1"/>
  <c r="J20" i="81"/>
  <c r="J17" i="8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81" l="1"/>
  <c r="C56" i="81"/>
  <c r="C65" i="81" s="1"/>
  <c r="C58" i="81" s="1"/>
  <c r="C67" i="81" s="1"/>
  <c r="C68" i="81" s="1"/>
  <c r="C71" i="81" s="1"/>
  <c r="Q48" i="81"/>
  <c r="C37" i="81"/>
  <c r="C30" i="81" s="1"/>
  <c r="C39" i="81" s="1"/>
  <c r="C40" i="81" s="1"/>
  <c r="J22" i="81"/>
  <c r="J13" i="81"/>
  <c r="J23"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1"/>
  <c r="L51" i="67"/>
  <c r="D2" i="21"/>
  <c r="Q69" i="81" l="1"/>
  <c r="Q68" i="81" s="1"/>
  <c r="C80" i="81"/>
  <c r="C79" i="81" s="1"/>
  <c r="J16" i="81"/>
  <c r="J25" i="81" s="1"/>
  <c r="D11" i="71"/>
  <c r="C10" i="71"/>
  <c r="Q67" i="81"/>
  <c r="Q47" i="81"/>
  <c r="Q53" i="81" s="1"/>
  <c r="C43" i="81"/>
  <c r="Q65" i="81"/>
  <c r="Q75" i="81" s="1"/>
  <c r="Q56" i="81"/>
  <c r="Q62" i="81" s="1"/>
  <c r="D2" i="81"/>
  <c r="C83" i="81"/>
  <c r="C82" i="81" s="1"/>
  <c r="C45" i="81"/>
  <c r="C46" i="81"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0" i="71" l="1"/>
  <c r="C9" i="71"/>
  <c r="B3" i="81"/>
  <c r="B2" i="8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7"/>
  <c r="L51" i="15"/>
  <c r="C19" i="82"/>
  <c r="D2" i="35"/>
  <c r="D2" i="36"/>
  <c r="D19" i="82"/>
  <c r="D19" i="9"/>
  <c r="D2" i="34"/>
  <c r="C8" i="71" l="1"/>
  <c r="D9" i="71"/>
  <c r="C21" i="82"/>
  <c r="C102" i="82"/>
  <c r="B3" i="33"/>
  <c r="D102" i="82"/>
  <c r="D21" i="82"/>
  <c r="D22" i="82"/>
  <c r="G19" i="82"/>
  <c r="G21" i="82" s="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C20" i="82"/>
  <c r="AO7" i="1"/>
  <c r="D20" i="82"/>
  <c r="C19" i="9"/>
  <c r="AO6" i="1"/>
  <c r="AO9" i="1"/>
  <c r="D20" i="9"/>
  <c r="AO12" i="1"/>
  <c r="AO10" i="1"/>
  <c r="AO8" i="1"/>
  <c r="D8" i="71" l="1"/>
  <c r="C7" i="71"/>
  <c r="C103" i="82"/>
  <c r="D103" i="82"/>
  <c r="G20" i="82"/>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7" i="71" l="1"/>
  <c r="C6" i="71"/>
  <c r="C32" i="82"/>
  <c r="C35" i="82" s="1"/>
  <c r="C34" i="82" s="1"/>
  <c r="R24" i="83"/>
  <c r="R27" i="83" s="1"/>
  <c r="S27" i="83" s="1"/>
  <c r="G115" i="84"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5" i="71" s="1"/>
  <c r="M24" i="43" s="1"/>
  <c r="D6" i="71"/>
  <c r="R24" i="31"/>
  <c r="R130" i="31" s="1"/>
  <c r="S130" i="31" s="1"/>
  <c r="G107" i="84" s="1"/>
  <c r="R27" i="31"/>
  <c r="S27" i="31" s="1"/>
  <c r="C32" i="9"/>
  <c r="C35" i="9" s="1"/>
  <c r="C34" i="9" s="1"/>
  <c r="C42" i="40"/>
  <c r="C43" i="40"/>
  <c r="E47" i="40"/>
  <c r="F47" i="40" s="1"/>
  <c r="E46" i="40"/>
  <c r="F46" i="40" s="1"/>
  <c r="I47" i="40"/>
  <c r="J47" i="40" s="1"/>
  <c r="R113" i="31" l="1"/>
  <c r="S113" i="31" s="1"/>
  <c r="G90" i="84" s="1"/>
  <c r="R49" i="31"/>
  <c r="S49" i="31" s="1"/>
  <c r="G26" i="84" s="1"/>
  <c r="R68" i="31"/>
  <c r="S68" i="31" s="1"/>
  <c r="G45" i="84" s="1"/>
  <c r="R131" i="31"/>
  <c r="S131" i="31" s="1"/>
  <c r="G108" i="84" s="1"/>
  <c r="R81" i="31"/>
  <c r="S81" i="31" s="1"/>
  <c r="G58" i="84" s="1"/>
  <c r="R36" i="31"/>
  <c r="S36" i="31" s="1"/>
  <c r="G13" i="84" s="1"/>
  <c r="R100" i="31"/>
  <c r="S100" i="31" s="1"/>
  <c r="G77" i="84" s="1"/>
  <c r="R67" i="31"/>
  <c r="S67" i="31" s="1"/>
  <c r="G44" i="84" s="1"/>
  <c r="R86" i="31"/>
  <c r="S86" i="31" s="1"/>
  <c r="G63" i="84" s="1"/>
  <c r="R33" i="31"/>
  <c r="S33" i="31" s="1"/>
  <c r="G10" i="84" s="1"/>
  <c r="R65" i="31"/>
  <c r="S65" i="31" s="1"/>
  <c r="G42" i="84" s="1"/>
  <c r="R97" i="31"/>
  <c r="S97" i="31" s="1"/>
  <c r="G74" i="84" s="1"/>
  <c r="R129" i="31"/>
  <c r="S129" i="31" s="1"/>
  <c r="G106" i="84" s="1"/>
  <c r="R52" i="31"/>
  <c r="S52" i="31" s="1"/>
  <c r="G29" i="84" s="1"/>
  <c r="R84" i="31"/>
  <c r="S84" i="31" s="1"/>
  <c r="G61" i="84" s="1"/>
  <c r="R128" i="31"/>
  <c r="S128" i="31" s="1"/>
  <c r="G105" i="84" s="1"/>
  <c r="R35" i="31"/>
  <c r="S35" i="31" s="1"/>
  <c r="G12" i="84" s="1"/>
  <c r="R99" i="31"/>
  <c r="S99" i="31" s="1"/>
  <c r="G76" i="84" s="1"/>
  <c r="R54" i="31"/>
  <c r="S54" i="31" s="1"/>
  <c r="G31" i="84" s="1"/>
  <c r="R118" i="31"/>
  <c r="S118" i="31" s="1"/>
  <c r="G95" i="84" s="1"/>
  <c r="R25" i="31"/>
  <c r="S25" i="31" s="1"/>
  <c r="G2" i="84" s="1"/>
  <c r="R41" i="31"/>
  <c r="S41" i="31" s="1"/>
  <c r="G18" i="84" s="1"/>
  <c r="R57" i="31"/>
  <c r="S57" i="31" s="1"/>
  <c r="G34" i="84" s="1"/>
  <c r="R73" i="31"/>
  <c r="S73" i="31" s="1"/>
  <c r="G50" i="84" s="1"/>
  <c r="R89" i="31"/>
  <c r="S89" i="31" s="1"/>
  <c r="G66" i="84" s="1"/>
  <c r="R105" i="31"/>
  <c r="S105" i="31" s="1"/>
  <c r="G82" i="84" s="1"/>
  <c r="R121" i="31"/>
  <c r="S121" i="31" s="1"/>
  <c r="G98" i="84" s="1"/>
  <c r="R28" i="31"/>
  <c r="S28" i="31" s="1"/>
  <c r="G5" i="84" s="1"/>
  <c r="R44" i="31"/>
  <c r="S44" i="31" s="1"/>
  <c r="G21" i="84" s="1"/>
  <c r="R60" i="31"/>
  <c r="S60" i="31" s="1"/>
  <c r="G37" i="84" s="1"/>
  <c r="R76" i="31"/>
  <c r="S76" i="31" s="1"/>
  <c r="G53" i="84" s="1"/>
  <c r="R92" i="31"/>
  <c r="S92" i="31" s="1"/>
  <c r="G69" i="84" s="1"/>
  <c r="R112" i="31"/>
  <c r="S112" i="31" s="1"/>
  <c r="G89" i="84" s="1"/>
  <c r="R51" i="31"/>
  <c r="S51" i="31" s="1"/>
  <c r="G28" i="84" s="1"/>
  <c r="R83" i="31"/>
  <c r="S83" i="31" s="1"/>
  <c r="G60" i="84" s="1"/>
  <c r="R115" i="31"/>
  <c r="S115" i="31" s="1"/>
  <c r="G92" i="84" s="1"/>
  <c r="R38" i="31"/>
  <c r="S38" i="31" s="1"/>
  <c r="G15" i="84" s="1"/>
  <c r="R70" i="31"/>
  <c r="S70" i="31" s="1"/>
  <c r="G47" i="84" s="1"/>
  <c r="R102" i="31"/>
  <c r="S102" i="31" s="1"/>
  <c r="G79" i="84" s="1"/>
  <c r="S24" i="31"/>
  <c r="G4" i="84" s="1"/>
  <c r="R29" i="31"/>
  <c r="S29" i="31" s="1"/>
  <c r="G6" i="84" s="1"/>
  <c r="R37" i="31"/>
  <c r="S37" i="31" s="1"/>
  <c r="G14" i="84" s="1"/>
  <c r="R45" i="31"/>
  <c r="S45" i="31" s="1"/>
  <c r="G22" i="84" s="1"/>
  <c r="R53" i="31"/>
  <c r="S53" i="31" s="1"/>
  <c r="G30" i="84" s="1"/>
  <c r="R61" i="31"/>
  <c r="S61" i="31" s="1"/>
  <c r="G38" i="84" s="1"/>
  <c r="R69" i="31"/>
  <c r="S69" i="31" s="1"/>
  <c r="G46" i="84" s="1"/>
  <c r="R77" i="31"/>
  <c r="S77" i="31" s="1"/>
  <c r="G54" i="84" s="1"/>
  <c r="R85" i="31"/>
  <c r="S85" i="31" s="1"/>
  <c r="G62" i="84" s="1"/>
  <c r="R93" i="31"/>
  <c r="S93" i="31" s="1"/>
  <c r="G70" i="84" s="1"/>
  <c r="R101" i="31"/>
  <c r="S101" i="31" s="1"/>
  <c r="G78" i="84" s="1"/>
  <c r="R109" i="31"/>
  <c r="S109" i="31" s="1"/>
  <c r="G86" i="84" s="1"/>
  <c r="R117" i="31"/>
  <c r="S117" i="31" s="1"/>
  <c r="G94" i="84" s="1"/>
  <c r="R125" i="31"/>
  <c r="S125" i="31" s="1"/>
  <c r="G102" i="84" s="1"/>
  <c r="R133" i="31"/>
  <c r="S133" i="31" s="1"/>
  <c r="G110" i="84" s="1"/>
  <c r="R32" i="31"/>
  <c r="S32" i="31" s="1"/>
  <c r="G9" i="84" s="1"/>
  <c r="R40" i="31"/>
  <c r="S40" i="31" s="1"/>
  <c r="G17" i="84" s="1"/>
  <c r="R48" i="31"/>
  <c r="S48" i="31" s="1"/>
  <c r="G25" i="84" s="1"/>
  <c r="R56" i="31"/>
  <c r="S56" i="31" s="1"/>
  <c r="G33" i="84" s="1"/>
  <c r="R64" i="31"/>
  <c r="S64" i="31" s="1"/>
  <c r="G41" i="84" s="1"/>
  <c r="R72" i="31"/>
  <c r="S72" i="31" s="1"/>
  <c r="G49" i="84" s="1"/>
  <c r="R80" i="31"/>
  <c r="S80" i="31" s="1"/>
  <c r="G57" i="84" s="1"/>
  <c r="R88" i="31"/>
  <c r="S88" i="31" s="1"/>
  <c r="G65" i="84" s="1"/>
  <c r="R96" i="31"/>
  <c r="S96" i="31" s="1"/>
  <c r="G73" i="84" s="1"/>
  <c r="R104" i="31"/>
  <c r="S104" i="31" s="1"/>
  <c r="G81" i="84" s="1"/>
  <c r="R120" i="31"/>
  <c r="S120" i="31" s="1"/>
  <c r="G97" i="84" s="1"/>
  <c r="R43" i="31"/>
  <c r="S43" i="31" s="1"/>
  <c r="G20" i="84" s="1"/>
  <c r="R59" i="31"/>
  <c r="S59" i="31" s="1"/>
  <c r="G36" i="84" s="1"/>
  <c r="R75" i="31"/>
  <c r="S75" i="31" s="1"/>
  <c r="G52" i="84" s="1"/>
  <c r="R91" i="31"/>
  <c r="S91" i="31" s="1"/>
  <c r="G68" i="84" s="1"/>
  <c r="R107" i="31"/>
  <c r="S107" i="31" s="1"/>
  <c r="G84" i="84" s="1"/>
  <c r="R123" i="31"/>
  <c r="S123" i="31" s="1"/>
  <c r="G100" i="84" s="1"/>
  <c r="R30" i="31"/>
  <c r="S30" i="31" s="1"/>
  <c r="G7" i="84" s="1"/>
  <c r="R46" i="31"/>
  <c r="S46" i="31" s="1"/>
  <c r="G23" i="84" s="1"/>
  <c r="R62" i="31"/>
  <c r="S62" i="31" s="1"/>
  <c r="G39" i="84" s="1"/>
  <c r="R78" i="31"/>
  <c r="S78" i="31" s="1"/>
  <c r="G55" i="84" s="1"/>
  <c r="R94" i="31"/>
  <c r="S94" i="31" s="1"/>
  <c r="G71" i="84" s="1"/>
  <c r="R110" i="31"/>
  <c r="S110" i="31" s="1"/>
  <c r="G87" i="84" s="1"/>
  <c r="R126" i="31"/>
  <c r="S126" i="31" s="1"/>
  <c r="G103" i="84" s="1"/>
  <c r="R108" i="31"/>
  <c r="S108" i="31" s="1"/>
  <c r="G85" i="84" s="1"/>
  <c r="R116" i="31"/>
  <c r="S116" i="31" s="1"/>
  <c r="G93" i="84" s="1"/>
  <c r="R124" i="31"/>
  <c r="S124" i="31" s="1"/>
  <c r="G101" i="84" s="1"/>
  <c r="R132" i="31"/>
  <c r="S132" i="31" s="1"/>
  <c r="G109" i="84" s="1"/>
  <c r="R31" i="31"/>
  <c r="S31" i="31" s="1"/>
  <c r="G8" i="84" s="1"/>
  <c r="R39" i="31"/>
  <c r="S39" i="31" s="1"/>
  <c r="G16" i="84" s="1"/>
  <c r="R47" i="31"/>
  <c r="S47" i="31" s="1"/>
  <c r="G24" i="84" s="1"/>
  <c r="R55" i="31"/>
  <c r="S55" i="31" s="1"/>
  <c r="G32" i="84" s="1"/>
  <c r="R63" i="31"/>
  <c r="S63" i="31" s="1"/>
  <c r="G40" i="84" s="1"/>
  <c r="R71" i="31"/>
  <c r="S71" i="31" s="1"/>
  <c r="G48" i="84" s="1"/>
  <c r="R79" i="31"/>
  <c r="S79" i="31" s="1"/>
  <c r="G56" i="84" s="1"/>
  <c r="R87" i="31"/>
  <c r="S87" i="31" s="1"/>
  <c r="G64" i="84" s="1"/>
  <c r="R95" i="31"/>
  <c r="S95" i="31" s="1"/>
  <c r="G72" i="84" s="1"/>
  <c r="R103" i="31"/>
  <c r="S103" i="31" s="1"/>
  <c r="G80" i="84" s="1"/>
  <c r="R111" i="31"/>
  <c r="S111" i="31" s="1"/>
  <c r="G88" i="84" s="1"/>
  <c r="R119" i="31"/>
  <c r="S119" i="31" s="1"/>
  <c r="G96" i="84" s="1"/>
  <c r="R127" i="31"/>
  <c r="S127" i="31" s="1"/>
  <c r="G104" i="84" s="1"/>
  <c r="R26" i="31"/>
  <c r="S26" i="31" s="1"/>
  <c r="G3" i="84" s="1"/>
  <c r="R34" i="31"/>
  <c r="S34" i="31" s="1"/>
  <c r="G11" i="84" s="1"/>
  <c r="R42" i="31"/>
  <c r="S42" i="31" s="1"/>
  <c r="G19" i="84" s="1"/>
  <c r="R50" i="31"/>
  <c r="S50" i="31" s="1"/>
  <c r="G27" i="84" s="1"/>
  <c r="R58" i="31"/>
  <c r="S58" i="31" s="1"/>
  <c r="G35" i="84" s="1"/>
  <c r="R66" i="31"/>
  <c r="S66" i="31" s="1"/>
  <c r="G43" i="84" s="1"/>
  <c r="R74" i="31"/>
  <c r="S74" i="31" s="1"/>
  <c r="G51" i="84" s="1"/>
  <c r="R82" i="31"/>
  <c r="S82" i="31" s="1"/>
  <c r="G59" i="84" s="1"/>
  <c r="R90" i="31"/>
  <c r="S90" i="31" s="1"/>
  <c r="G67" i="84" s="1"/>
  <c r="R98" i="31"/>
  <c r="S98" i="31" s="1"/>
  <c r="G75" i="84" s="1"/>
  <c r="R106" i="31"/>
  <c r="S106" i="31" s="1"/>
  <c r="G83" i="84" s="1"/>
  <c r="R114" i="31"/>
  <c r="S114" i="31" s="1"/>
  <c r="G91" i="84" s="1"/>
  <c r="R122" i="31"/>
  <c r="S122" i="31" s="1"/>
  <c r="G99" i="84" s="1"/>
  <c r="S24" i="83"/>
  <c r="G112" i="84" s="1"/>
  <c r="R28" i="83"/>
  <c r="S28" i="83" s="1"/>
  <c r="G116" i="84" s="1"/>
  <c r="R30" i="83"/>
  <c r="S30" i="83" s="1"/>
  <c r="G118" i="84" s="1"/>
  <c r="R32" i="83"/>
  <c r="S32" i="83" s="1"/>
  <c r="G120" i="84" s="1"/>
  <c r="R34" i="83"/>
  <c r="S34" i="83" s="1"/>
  <c r="R36" i="83"/>
  <c r="S36" i="83" s="1"/>
  <c r="R38" i="83"/>
  <c r="S38" i="83" s="1"/>
  <c r="R40" i="83"/>
  <c r="S40" i="83" s="1"/>
  <c r="R42" i="83"/>
  <c r="S42" i="83" s="1"/>
  <c r="R44" i="83"/>
  <c r="S44" i="83" s="1"/>
  <c r="R46" i="83"/>
  <c r="S46" i="83" s="1"/>
  <c r="R48" i="83"/>
  <c r="S48" i="83" s="1"/>
  <c r="R50" i="83"/>
  <c r="S50" i="83" s="1"/>
  <c r="R26" i="83"/>
  <c r="S26" i="83" s="1"/>
  <c r="G114" i="84" s="1"/>
  <c r="R103" i="83"/>
  <c r="S103" i="83" s="1"/>
  <c r="R107" i="83"/>
  <c r="S107" i="83" s="1"/>
  <c r="R109" i="83"/>
  <c r="S109" i="83" s="1"/>
  <c r="R111" i="83"/>
  <c r="S111" i="83" s="1"/>
  <c r="R113" i="83"/>
  <c r="S113" i="83" s="1"/>
  <c r="R115" i="83"/>
  <c r="S115" i="83" s="1"/>
  <c r="R117" i="83"/>
  <c r="S117" i="83" s="1"/>
  <c r="R119" i="83"/>
  <c r="S119" i="83" s="1"/>
  <c r="R121" i="83"/>
  <c r="S121" i="83" s="1"/>
  <c r="R123" i="83"/>
  <c r="S123" i="83" s="1"/>
  <c r="R125" i="83"/>
  <c r="S125" i="83" s="1"/>
  <c r="R127" i="83"/>
  <c r="S127" i="83" s="1"/>
  <c r="R129" i="83"/>
  <c r="S129" i="83" s="1"/>
  <c r="R131" i="83"/>
  <c r="S131" i="83" s="1"/>
  <c r="R133" i="83"/>
  <c r="S133" i="83" s="1"/>
  <c r="R52" i="83"/>
  <c r="S52" i="83" s="1"/>
  <c r="R54" i="83"/>
  <c r="S54" i="83" s="1"/>
  <c r="R56" i="83"/>
  <c r="S56" i="83" s="1"/>
  <c r="R58" i="83"/>
  <c r="S58" i="83" s="1"/>
  <c r="R60" i="83"/>
  <c r="S60" i="83" s="1"/>
  <c r="R62" i="83"/>
  <c r="S62" i="83" s="1"/>
  <c r="R64" i="83"/>
  <c r="S64" i="83" s="1"/>
  <c r="R66" i="83"/>
  <c r="S66" i="83" s="1"/>
  <c r="R68" i="83"/>
  <c r="S68" i="83" s="1"/>
  <c r="R70" i="83"/>
  <c r="S70" i="83" s="1"/>
  <c r="R72" i="83"/>
  <c r="S72" i="83" s="1"/>
  <c r="R74" i="83"/>
  <c r="S74" i="83" s="1"/>
  <c r="R76" i="83"/>
  <c r="S76" i="83" s="1"/>
  <c r="R78" i="83"/>
  <c r="S78" i="83" s="1"/>
  <c r="R80" i="83"/>
  <c r="S80" i="83" s="1"/>
  <c r="R82" i="83"/>
  <c r="S82" i="83" s="1"/>
  <c r="R84" i="83"/>
  <c r="S84" i="83" s="1"/>
  <c r="R86" i="83"/>
  <c r="S86" i="83" s="1"/>
  <c r="R88" i="83"/>
  <c r="S88" i="83" s="1"/>
  <c r="R90" i="83"/>
  <c r="S90" i="83" s="1"/>
  <c r="R92" i="83"/>
  <c r="S92" i="83" s="1"/>
  <c r="R96" i="83"/>
  <c r="S96" i="83" s="1"/>
  <c r="R100" i="83"/>
  <c r="S100" i="83" s="1"/>
  <c r="R104" i="83"/>
  <c r="S104" i="83" s="1"/>
  <c r="R29" i="83"/>
  <c r="S29" i="83" s="1"/>
  <c r="G117" i="84" s="1"/>
  <c r="R31" i="83"/>
  <c r="S31" i="83" s="1"/>
  <c r="G119" i="84" s="1"/>
  <c r="R33" i="83"/>
  <c r="S33" i="83" s="1"/>
  <c r="G121" i="84" s="1"/>
  <c r="R35" i="83"/>
  <c r="S35" i="83" s="1"/>
  <c r="R37" i="83"/>
  <c r="S37" i="83" s="1"/>
  <c r="R39" i="83"/>
  <c r="S39" i="83" s="1"/>
  <c r="R41" i="83"/>
  <c r="S41" i="83" s="1"/>
  <c r="R43" i="83"/>
  <c r="S43" i="83" s="1"/>
  <c r="R45" i="83"/>
  <c r="S45" i="83" s="1"/>
  <c r="R47" i="83"/>
  <c r="S47" i="83" s="1"/>
  <c r="R49" i="83"/>
  <c r="S49" i="83" s="1"/>
  <c r="R25" i="83"/>
  <c r="S25" i="83" s="1"/>
  <c r="G113" i="84" s="1"/>
  <c r="R51" i="83"/>
  <c r="S51" i="83" s="1"/>
  <c r="R53" i="83"/>
  <c r="S53" i="83" s="1"/>
  <c r="R55" i="83"/>
  <c r="S55" i="83" s="1"/>
  <c r="R57" i="83"/>
  <c r="S57" i="83" s="1"/>
  <c r="R59" i="83"/>
  <c r="S59" i="83" s="1"/>
  <c r="R61" i="83"/>
  <c r="S61" i="83" s="1"/>
  <c r="R63" i="83"/>
  <c r="S63" i="83" s="1"/>
  <c r="R65" i="83"/>
  <c r="S65" i="83" s="1"/>
  <c r="R67" i="83"/>
  <c r="S67" i="83" s="1"/>
  <c r="R69" i="83"/>
  <c r="S69" i="83" s="1"/>
  <c r="R71" i="83"/>
  <c r="S71" i="83" s="1"/>
  <c r="R73" i="83"/>
  <c r="S73" i="83" s="1"/>
  <c r="R75" i="83"/>
  <c r="S75" i="83" s="1"/>
  <c r="R77" i="83"/>
  <c r="S77" i="83" s="1"/>
  <c r="R79" i="83"/>
  <c r="S79" i="83" s="1"/>
  <c r="R81" i="83"/>
  <c r="S81" i="83" s="1"/>
  <c r="R83" i="83"/>
  <c r="S83" i="83" s="1"/>
  <c r="R85" i="83"/>
  <c r="S85" i="83" s="1"/>
  <c r="R87" i="83"/>
  <c r="S87" i="83" s="1"/>
  <c r="R89" i="83"/>
  <c r="S89" i="83" s="1"/>
  <c r="R91" i="83"/>
  <c r="S91" i="83" s="1"/>
  <c r="R93" i="83"/>
  <c r="S93" i="83" s="1"/>
  <c r="R95" i="83"/>
  <c r="S95" i="83" s="1"/>
  <c r="R97" i="83"/>
  <c r="S97" i="83" s="1"/>
  <c r="R99" i="83"/>
  <c r="S99" i="83" s="1"/>
  <c r="R101" i="83"/>
  <c r="S101" i="83" s="1"/>
  <c r="R105" i="83"/>
  <c r="S105" i="83" s="1"/>
  <c r="R106" i="83"/>
  <c r="S106" i="83" s="1"/>
  <c r="R108" i="83"/>
  <c r="S108" i="83" s="1"/>
  <c r="R110" i="83"/>
  <c r="S110" i="83" s="1"/>
  <c r="R112" i="83"/>
  <c r="S112" i="83" s="1"/>
  <c r="R114" i="83"/>
  <c r="S114" i="83" s="1"/>
  <c r="R116" i="83"/>
  <c r="S116" i="83" s="1"/>
  <c r="R118" i="83"/>
  <c r="S118" i="83" s="1"/>
  <c r="R120" i="83"/>
  <c r="S120" i="83" s="1"/>
  <c r="R122" i="83"/>
  <c r="S122" i="83" s="1"/>
  <c r="R124" i="83"/>
  <c r="S124" i="83" s="1"/>
  <c r="R126" i="83"/>
  <c r="S126" i="83" s="1"/>
  <c r="R128" i="83"/>
  <c r="S128" i="83" s="1"/>
  <c r="R130" i="83"/>
  <c r="S130" i="83" s="1"/>
  <c r="R132" i="83"/>
  <c r="S132" i="83" s="1"/>
  <c r="R94" i="83"/>
  <c r="S94" i="83" s="1"/>
  <c r="R98" i="83"/>
  <c r="S98" i="83" s="1"/>
  <c r="R102" i="83"/>
  <c r="S102" i="83" s="1"/>
  <c r="B58" i="40"/>
  <c r="F58" i="40" s="1"/>
  <c r="B54" i="40"/>
  <c r="F54" i="40" s="1"/>
  <c r="B53" i="40"/>
  <c r="F53" i="40" s="1"/>
  <c r="B59" i="40"/>
  <c r="F59" i="40" s="1"/>
  <c r="B52" i="40"/>
  <c r="F52" i="40" s="1"/>
  <c r="B56" i="40"/>
  <c r="F56" i="40" s="1"/>
  <c r="B60" i="40"/>
  <c r="F60" i="40" s="1"/>
  <c r="B57" i="40"/>
  <c r="F57" i="40" s="1"/>
  <c r="B51" i="40"/>
  <c r="F51" i="40" s="1"/>
  <c r="F61" i="40"/>
  <c r="B2" i="40" s="1"/>
  <c r="B3" i="40" s="1"/>
  <c r="G122" i="84" l="1"/>
  <c r="G111" i="84"/>
  <c r="S22" i="31"/>
  <c r="T22" i="31" s="1"/>
  <c r="S22" i="83"/>
  <c r="B20" i="31" l="1"/>
  <c r="B21" i="31" s="1"/>
  <c r="D15" i="74"/>
  <c r="G15" i="74" s="1"/>
  <c r="U22" i="83"/>
  <c r="G123" i="84"/>
  <c r="R22" i="31"/>
  <c r="R22" i="83"/>
  <c r="B20" i="83"/>
  <c r="B21" i="83" s="1"/>
  <c r="D14" i="74" l="1"/>
  <c r="G14" i="74" s="1"/>
  <c r="F15" i="74"/>
  <c r="B6" i="74"/>
  <c r="D6" i="74" s="1"/>
  <c r="E15" i="74"/>
  <c r="F14" i="74"/>
  <c r="B5" i="74" l="1"/>
  <c r="L4" i="74" s="1"/>
  <c r="E14" i="74"/>
  <c r="D5" i="74"/>
  <c r="D118" i="9"/>
  <c r="D4" i="52" s="1"/>
  <c r="B47" i="72" s="1"/>
  <c r="F118" i="9"/>
  <c r="G118" i="9" s="1"/>
  <c r="G4" i="52" s="1"/>
  <c r="B52" i="72" s="1"/>
  <c r="H118" i="9"/>
  <c r="H4" i="52" l="1"/>
  <c r="C104" i="9"/>
  <c r="H119" i="9"/>
  <c r="H5" i="52" s="1"/>
  <c r="H101" i="9"/>
  <c r="I118" i="9"/>
  <c r="F4" i="52"/>
  <c r="B51" i="72" s="1"/>
  <c r="F119" i="9"/>
  <c r="F5" i="52" s="1"/>
  <c r="B53" i="72" s="1"/>
  <c r="D119" i="9"/>
  <c r="D5" i="52" s="1"/>
  <c r="B49" i="72" s="1"/>
  <c r="D5" i="53" l="1"/>
  <c r="M48" i="9"/>
  <c r="D45" i="9"/>
  <c r="H107" i="9"/>
  <c r="I4" i="52"/>
  <c r="H102" i="9"/>
  <c r="C105" i="9"/>
  <c r="E118" i="9"/>
  <c r="E4" i="52" s="1"/>
  <c r="B48" i="72" s="1"/>
  <c r="D52" i="9" l="1"/>
  <c r="D53" i="9"/>
  <c r="C78" i="9"/>
  <c r="C73" i="9" s="1"/>
  <c r="D55" i="9"/>
  <c r="M53" i="9" s="1"/>
  <c r="C72" i="9"/>
  <c r="C93" i="9"/>
  <c r="C86" i="9" s="1"/>
  <c r="C64" i="9"/>
  <c r="C63" i="9" s="1"/>
  <c r="C67" i="9" s="1"/>
  <c r="C85" i="9"/>
  <c r="B20" i="72"/>
  <c r="D6" i="53"/>
  <c r="B22" i="72" s="1"/>
  <c r="C5" i="74"/>
  <c r="L7" i="74" s="1"/>
  <c r="D7" i="53"/>
  <c r="B21" i="72" s="1"/>
  <c r="H108" i="9"/>
  <c r="D122" i="9"/>
  <c r="D13" i="53"/>
  <c r="C95" i="9" l="1"/>
  <c r="C79" i="9"/>
  <c r="B30" i="72"/>
  <c r="D14" i="53"/>
  <c r="B32" i="72" s="1"/>
  <c r="D15" i="53"/>
  <c r="B31" i="72" s="1"/>
  <c r="C6" i="74"/>
  <c r="D8" i="52"/>
  <c r="D123" i="9"/>
  <c r="D9" i="52" s="1"/>
  <c r="C96" i="9"/>
  <c r="E96" i="9" s="1"/>
  <c r="E97" i="9" s="1"/>
  <c r="C68" i="9"/>
  <c r="D54" i="9" s="1"/>
  <c r="D59" i="9"/>
  <c r="M55" i="9" s="1"/>
  <c r="C80" i="9"/>
  <c r="E80" i="9" s="1"/>
  <c r="E81" i="9" s="1"/>
  <c r="C97" i="9" l="1"/>
  <c r="D58" i="9" s="1"/>
  <c r="D56" i="9" s="1"/>
  <c r="M54" i="9" s="1"/>
  <c r="N57" i="9" s="1"/>
  <c r="P57" i="9" s="1"/>
  <c r="C81" i="9"/>
  <c r="N58" i="9" l="1"/>
  <c r="N59" i="9"/>
  <c r="N61" i="9" s="1"/>
  <c r="N60" i="9" l="1"/>
  <c r="C81" i="82"/>
  <c r="D53" i="82"/>
  <c r="D52" i="82"/>
  <c r="C105" i="82"/>
  <c r="H102" i="82"/>
  <c r="C104" i="82"/>
  <c r="H119" i="82"/>
  <c r="N61" i="82"/>
  <c r="N60" i="82"/>
  <c r="P57" i="82"/>
  <c r="N59" i="82"/>
  <c r="N58" i="82"/>
  <c r="M48" i="82"/>
  <c r="H108" i="82"/>
  <c r="E97" i="82"/>
  <c r="C93" i="82"/>
  <c r="C86" i="82"/>
  <c r="C78" i="82"/>
  <c r="C73" i="82"/>
  <c r="M54" i="82"/>
  <c r="E81" i="82"/>
  <c r="D59" i="82"/>
  <c r="M55" i="82"/>
  <c r="E96" i="82"/>
  <c r="F119" i="82"/>
  <c r="F118" i="82"/>
  <c r="G118" i="82"/>
  <c r="C67" i="82"/>
  <c r="C68" i="82"/>
  <c r="D54" i="82"/>
  <c r="C72" i="82"/>
  <c r="C79" i="82"/>
  <c r="C80" i="82"/>
  <c r="E80" i="82"/>
  <c r="D55" i="82"/>
  <c r="M53" i="82"/>
  <c r="N57" i="82"/>
  <c r="E118" i="82"/>
  <c r="D118" i="82"/>
  <c r="D119" i="82"/>
  <c r="H107" i="82"/>
  <c r="D122" i="82"/>
  <c r="D123" i="82"/>
  <c r="D58" i="82"/>
  <c r="D56" i="82"/>
  <c r="C64" i="82"/>
  <c r="C63" i="82"/>
  <c r="C96" i="82"/>
  <c r="I118" i="82"/>
  <c r="H118" i="82"/>
  <c r="H101" i="82"/>
  <c r="D45" i="82"/>
  <c r="C85" i="82"/>
  <c r="C95" i="82"/>
  <c r="C97"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<sst xmlns="http://schemas.openxmlformats.org/spreadsheetml/2006/main" count="10022" uniqueCount="3638">
  <si>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</si>
  <si>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</si>
  <si>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</si>
  <si>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</si>
  <si>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</si>
  <si>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</si>
  <si>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</si>
  <si>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</si>
  <si>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</si>
  <si>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</si>
  <si>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</si>
  <si>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</si>
  <si>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</si>
  <si>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</si>
  <si>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</si>
  <si>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</si>
  <si>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</si>
  <si>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</si>
  <si>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</si>
  <si>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</si>
  <si>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</si>
  <si>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</si>
  <si>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</si>
  <si>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</si>
  <si>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</si>
  <si>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</si>
  <si>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</si>
  <si>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</si>
  <si>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</si>
  <si>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</si>
  <si>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</si>
  <si>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</si>
  <si>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</si>
  <si>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</si>
  <si>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</si>
  <si>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</si>
  <si>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</si>
  <si>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</si>
  <si>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</si>
  <si>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</si>
  <si>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</si>
  <si>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</si>
  <si>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</si>
  <si>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</si>
  <si>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</si>
  <si>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</si>
  <si>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</si>
  <si>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</si>
  <si>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</si>
  <si>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</si>
  <si>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</si>
  <si>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</si>
  <si>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</si>
  <si>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</si>
  <si>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</si>
  <si>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</si>
  <si>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</si>
  <si>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</si>
  <si>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</si>
  <si>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</si>
  <si>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</si>
  <si>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</si>
  <si>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</si>
  <si>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</si>
  <si>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</si>
  <si>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</si>
  <si>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</si>
  <si>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</si>
  <si>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</si>
  <si>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</si>
  <si>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</si>
  <si>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</si>
  <si>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</si>
  <si>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</si>
  <si>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</si>
  <si>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</si>
  <si>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</si>
  <si>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</si>
  <si>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</si>
  <si>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</si>
  <si>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</si>
  <si>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</si>
  <si>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</si>
  <si>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</si>
  <si>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</si>
  <si>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</si>
  <si>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</si>
  <si>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</si>
  <si>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</si>
  <si>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</si>
  <si>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</si>
  <si>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</si>
  <si>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</si>
  <si>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</si>
  <si>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</si>
  <si>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</si>
  <si>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</si>
  <si>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</si>
  <si>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</si>
  <si>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</si>
  <si>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</si>
  <si>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</si>
  <si>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</si>
  <si>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</si>
  <si>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</si>
  <si>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</si>
  <si>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</si>
  <si>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</si>
  <si>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</si>
  <si>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</si>
  <si>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</si>
  <si>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</si>
  <si>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</si>
  <si>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</si>
  <si>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</si>
  <si>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</si>
  <si>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</si>
  <si>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</si>
  <si>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</si>
  <si>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</si>
  <si>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</si>
  <si>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</si>
  <si>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</si>
  <si>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</si>
  <si>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</si>
  <si>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</si>
  <si>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</si>
  <si>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</si>
  <si>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</si>
  <si>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</si>
  <si>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</si>
  <si>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</si>
  <si>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</si>
  <si>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</si>
  <si>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</si>
  <si>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</si>
  <si>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</si>
  <si>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</si>
  <si>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</si>
  <si>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</si>
  <si>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</si>
  <si>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</si>
  <si>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</si>
  <si>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</si>
  <si>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</si>
  <si>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</si>
  <si>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</si>
  <si>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</si>
  <si>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</si>
  <si>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</si>
  <si>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</si>
  <si>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</si>
  <si>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</si>
  <si>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</si>
  <si>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</si>
  <si>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</si>
  <si>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</si>
  <si>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</si>
  <si>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</si>
  <si>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</si>
  <si>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</si>
  <si>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</si>
  <si>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</si>
  <si>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</si>
  <si>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</si>
  <si>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</si>
  <si>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</si>
  <si>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</si>
  <si>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</si>
  <si>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</si>
  <si>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</si>
  <si>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</si>
  <si>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</si>
  <si>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</si>
  <si>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</si>
  <si>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</si>
  <si>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</si>
  <si>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</si>
  <si>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</si>
  <si>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</si>
  <si>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</si>
  <si>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</si>
  <si>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</si>
  <si>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</si>
  <si>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</si>
  <si>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</si>
  <si>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</si>
  <si>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</si>
  <si>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</si>
  <si>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</si>
  <si>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</si>
  <si>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</si>
  <si>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</si>
  <si>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</si>
  <si>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</si>
  <si>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</si>
  <si>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</si>
  <si>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</si>
  <si>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</si>
  <si>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</si>
  <si>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</si>
  <si>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</si>
  <si>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</si>
  <si>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</si>
  <si>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</si>
  <si>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</si>
  <si>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</si>
  <si>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</si>
  <si>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</si>
  <si>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</si>
  <si>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</si>
  <si>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</si>
  <si>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</si>
  <si>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</si>
  <si>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</si>
  <si>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</si>
  <si>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</si>
  <si>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</si>
  <si>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</si>
  <si>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</si>
  <si>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</si>
  <si>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</si>
  <si>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</si>
  <si>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</si>
  <si>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</si>
  <si>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</si>
  <si>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</si>
  <si>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</si>
  <si>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</si>
  <si>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</si>
  <si>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</si>
  <si>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</si>
  <si>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</si>
  <si>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</si>
  <si>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</si>
  <si>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</si>
  <si>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</si>
  <si>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</si>
  <si>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</si>
  <si>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</si>
  <si>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</si>
  <si>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</si>
  <si>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</si>
  <si>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</si>
  <si>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</si>
  <si>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</si>
  <si>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</si>
  <si>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</si>
  <si>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</si>
  <si>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</si>
  <si>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</si>
  <si>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</si>
  <si>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</si>
  <si>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</si>
  <si>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</si>
  <si>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</si>
  <si>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</si>
  <si>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</si>
  <si>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</si>
  <si>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</si>
  <si>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</si>
  <si>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</si>
  <si>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</si>
  <si>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</si>
  <si>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</si>
  <si>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</si>
  <si>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</si>
  <si>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</si>
  <si>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</si>
  <si>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</si>
  <si>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</si>
  <si>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</si>
  <si>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</si>
  <si>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</si>
  <si>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</si>
  <si>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</si>
  <si>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</si>
  <si>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</si>
  <si>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</si>
  <si>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</si>
  <si>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</si>
  <si>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</si>
  <si>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</si>
  <si>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</si>
  <si>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</si>
  <si>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</si>
  <si>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</si>
  <si>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</si>
  <si>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</si>
  <si>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</si>
  <si>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</si>
  <si>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</si>
  <si>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</si>
  <si>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</si>
  <si>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</si>
  <si>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</si>
  <si>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</si>
  <si>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</si>
  <si>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</si>
  <si>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</si>
  <si>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</si>
  <si>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</si>
  <si>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</si>
  <si>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</si>
  <si>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</si>
  <si>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</si>
  <si>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</si>
  <si>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</si>
  <si>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</si>
  <si>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</si>
  <si>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</si>
  <si>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</si>
  <si>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</si>
  <si>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</si>
  <si>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</si>
  <si>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</si>
  <si>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</si>
  <si>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</si>
  <si>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</si>
  <si>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</si>
  <si>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</si>
  <si>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</si>
  <si>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</si>
  <si>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</si>
  <si>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</si>
  <si>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</si>
  <si>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</si>
  <si>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</si>
  <si>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</si>
  <si>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</si>
  <si>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</si>
  <si>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</si>
  <si>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</si>
  <si>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</si>
  <si>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</si>
  <si>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</si>
  <si>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</si>
  <si>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</si>
  <si>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</si>
  <si>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</si>
  <si>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</si>
  <si>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</si>
  <si>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</si>
  <si>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</si>
  <si>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</si>
  <si>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</si>
  <si>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</si>
  <si>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</si>
  <si>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</si>
  <si>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</si>
  <si>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</si>
  <si>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</si>
  <si>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</si>
  <si>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</si>
  <si>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</si>
  <si>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</si>
  <si>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</si>
  <si>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</si>
  <si>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</si>
  <si>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</si>
  <si>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</si>
  <si>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</si>
  <si>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</si>
  <si>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</si>
  <si>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</si>
  <si>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</si>
  <si>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</si>
  <si>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</si>
  <si>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</si>
  <si>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</si>
  <si>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</si>
  <si>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</si>
  <si>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</si>
  <si>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</si>
  <si>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</si>
  <si>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</si>
  <si>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</si>
  <si>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</si>
  <si>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</si>
  <si>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</si>
  <si>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</si>
  <si>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</si>
  <si>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</si>
  <si>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</si>
  <si>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</si>
  <si>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</si>
  <si>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</si>
  <si>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</si>
  <si>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</si>
  <si>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</si>
  <si>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</si>
  <si>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</si>
  <si>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</si>
  <si>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</si>
  <si>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</si>
  <si>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</si>
  <si>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</si>
  <si>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</si>
  <si>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</si>
  <si>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</si>
  <si>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</si>
  <si>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</si>
  <si>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</si>
  <si>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</si>
  <si>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</si>
  <si>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</si>
  <si>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</si>
  <si>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</si>
  <si>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</si>
  <si>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</si>
  <si>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</si>
  <si>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</si>
  <si>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</si>
  <si>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</si>
  <si>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</si>
  <si>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</si>
  <si>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</si>
  <si>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</si>
  <si>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</si>
  <si>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</si>
  <si>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</si>
  <si>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</si>
  <si>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</si>
  <si>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</si>
  <si>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</si>
  <si>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</si>
  <si>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</si>
  <si>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</si>
  <si>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</si>
  <si>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</si>
  <si>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</si>
  <si>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</si>
  <si>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</si>
  <si>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</si>
  <si>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</si>
  <si>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</si>
  <si>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</si>
  <si>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</si>
  <si>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</si>
  <si>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</si>
  <si>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</si>
  <si>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</si>
  <si>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</si>
  <si>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</si>
  <si>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</si>
  <si>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</si>
  <si>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</si>
  <si>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</si>
  <si>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</si>
  <si>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</si>
  <si>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</si>
  <si>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</si>
  <si>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</si>
  <si>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</si>
  <si>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</si>
  <si>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</si>
  <si>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</si>
  <si>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</si>
  <si>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</si>
  <si>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</si>
  <si>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</si>
  <si>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</si>
  <si>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</si>
  <si>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</si>
  <si>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</si>
  <si>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</si>
  <si>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</si>
  <si>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</si>
  <si>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</si>
  <si>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</si>
  <si>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</si>
  <si>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</si>
  <si>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</si>
  <si>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</si>
  <si>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</si>
  <si>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</si>
  <si>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</si>
  <si>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</si>
  <si>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</si>
  <si>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</si>
  <si>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</si>
  <si>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</si>
  <si>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</si>
  <si>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</si>
  <si>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</si>
  <si>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</si>
  <si>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</si>
  <si>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</si>
  <si>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</si>
  <si>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</si>
  <si>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</si>
  <si>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</si>
  <si>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</si>
  <si>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</si>
  <si>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</si>
  <si>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</si>
  <si>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</si>
  <si>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</si>
  <si>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</si>
  <si>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</si>
  <si>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</si>
  <si>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</si>
  <si>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</si>
  <si>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</si>
  <si>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</si>
  <si>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</si>
  <si>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</si>
  <si>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</si>
  <si>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</si>
  <si>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</si>
  <si>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</si>
  <si>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</si>
  <si>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</si>
  <si>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</si>
  <si>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</si>
  <si>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</si>
  <si>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</si>
  <si>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</si>
  <si>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</si>
  <si>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</si>
  <si>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</si>
  <si>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</si>
  <si>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</si>
  <si>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</si>
  <si>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</si>
  <si>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</si>
  <si>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</si>
  <si>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</si>
  <si>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</si>
  <si>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</si>
  <si>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</si>
  <si>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</si>
  <si>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</si>
  <si>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</si>
  <si>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</si>
  <si>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</si>
  <si>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</si>
  <si>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</si>
  <si>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</si>
  <si>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</si>
  <si>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</si>
  <si>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</si>
  <si>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</si>
  <si>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</si>
  <si>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</si>
  <si>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</si>
  <si>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</si>
  <si>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</si>
  <si>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</si>
  <si>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</si>
  <si>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</si>
  <si>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</si>
  <si>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</si>
  <si>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</si>
  <si>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</si>
  <si>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</si>
  <si>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</si>
  <si>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</si>
  <si>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</si>
  <si>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</si>
  <si>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</si>
  <si>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</si>
  <si>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</si>
  <si>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</si>
  <si>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</si>
  <si>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</si>
  <si>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</si>
  <si>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</si>
  <si>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</si>
  <si>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</si>
  <si>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</si>
  <si>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</si>
  <si>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</si>
  <si>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</si>
  <si>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</si>
  <si>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</si>
  <si>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</si>
  <si>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</si>
  <si>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</si>
  <si>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</si>
  <si>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</si>
  <si>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</si>
  <si>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</si>
  <si>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</si>
  <si>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</si>
  <si>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</si>
  <si>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</si>
  <si>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</si>
  <si>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</si>
  <si>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</si>
  <si>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</si>
  <si>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</si>
  <si>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</si>
  <si>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</si>
  <si>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</si>
  <si>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</si>
  <si>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</si>
  <si>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</si>
  <si>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</si>
  <si>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</si>
  <si>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</si>
  <si>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</si>
  <si>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</si>
  <si>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</si>
  <si>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</si>
  <si>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</si>
  <si>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</si>
  <si>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</si>
  <si>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</si>
  <si>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</si>
  <si>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</si>
  <si>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</si>
  <si>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</si>
  <si>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</si>
  <si>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</si>
  <si>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</si>
  <si>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</si>
  <si>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</si>
  <si>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</si>
  <si>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</si>
  <si>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</si>
  <si>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</si>
  <si>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</si>
  <si>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</si>
  <si>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</si>
  <si>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</si>
  <si>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</si>
  <si>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</si>
  <si>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</si>
  <si>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</si>
  <si>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</si>
  <si>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</si>
  <si>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</si>
  <si>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</si>
  <si>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</si>
  <si>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</si>
  <si>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</si>
  <si>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</si>
  <si>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</si>
  <si>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</si>
  <si>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</si>
  <si>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</si>
  <si>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</si>
  <si>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</si>
  <si>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</si>
  <si>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</si>
  <si>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</si>
  <si>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</si>
  <si>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</si>
  <si>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</si>
  <si>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</si>
  <si>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</si>
  <si>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</si>
  <si>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</si>
  <si>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</si>
  <si>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</si>
  <si>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</si>
  <si>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</si>
  <si>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</si>
  <si>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</si>
  <si>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</si>
  <si>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</si>
  <si>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</si>
  <si>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</si>
  <si>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</si>
  <si>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</si>
  <si>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</si>
  <si>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</si>
  <si>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</si>
  <si>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</si>
  <si>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</si>
  <si>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</si>
  <si>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</si>
  <si>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</si>
  <si>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</si>
  <si>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</si>
  <si>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</si>
  <si>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</si>
  <si>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</si>
  <si>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</si>
  <si>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</si>
  <si>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</si>
  <si>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</si>
  <si>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</si>
  <si>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</si>
  <si>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</si>
  <si>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</si>
  <si>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</si>
  <si>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</si>
  <si>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</si>
  <si>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</si>
  <si>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</si>
  <si>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</si>
  <si>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</si>
  <si>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</si>
  <si>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</si>
  <si>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</si>
  <si>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</si>
  <si>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</si>
  <si>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</si>
  <si>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</si>
  <si>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</si>
  <si>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</si>
  <si>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</si>
  <si>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</si>
  <si>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</si>
  <si>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</si>
  <si>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</si>
  <si>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</si>
  <si>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</si>
  <si>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</si>
  <si>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</si>
  <si>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</si>
  <si>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</si>
  <si>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</si>
  <si>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</si>
  <si>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</si>
  <si>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</si>
  <si>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</si>
  <si>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</si>
  <si>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</si>
  <si>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</si>
  <si>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</si>
  <si>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</si>
  <si>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</si>
  <si>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</si>
  <si>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</si>
  <si>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</si>
  <si>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</si>
  <si>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</si>
  <si>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</si>
  <si>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</si>
  <si>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</si>
  <si>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</si>
  <si>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</si>
  <si>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</si>
  <si>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</si>
  <si>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</si>
  <si>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</si>
  <si>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</si>
  <si>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</si>
  <si>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</si>
  <si>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</si>
  <si>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</si>
  <si>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</si>
  <si>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</si>
  <si>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</si>
  <si>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</si>
  <si>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</si>
  <si>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</si>
  <si>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</si>
  <si>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</si>
  <si>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</si>
  <si>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</si>
  <si>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</si>
  <si>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</si>
  <si>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</si>
  <si>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</si>
  <si>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</si>
  <si>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</si>
  <si>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</si>
  <si>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</si>
  <si>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</si>
  <si>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</si>
  <si>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</si>
  <si>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</si>
  <si>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</si>
  <si>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</si>
  <si>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</si>
  <si>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</si>
  <si>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</si>
  <si>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</si>
  <si>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</si>
  <si>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</si>
  <si>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</si>
  <si>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</si>
  <si>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</si>
  <si>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</si>
  <si>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</si>
  <si>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</si>
  <si>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</si>
  <si>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</si>
  <si>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</si>
  <si>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</si>
  <si>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</si>
  <si>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</si>
  <si>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</si>
  <si>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</si>
  <si>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</si>
  <si>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</si>
  <si>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</si>
  <si>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</si>
  <si>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</si>
  <si>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</si>
  <si>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</si>
  <si>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</si>
  <si>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</si>
  <si>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</si>
  <si>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</si>
  <si>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</si>
  <si>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</si>
  <si>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</si>
  <si>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</si>
  <si>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</si>
  <si>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</si>
  <si>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</si>
  <si>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</si>
  <si>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</si>
  <si>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</si>
  <si>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</si>
  <si>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</si>
  <si>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</si>
  <si>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</si>
  <si>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</si>
  <si>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</si>
  <si>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</si>
  <si>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</si>
  <si>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</si>
  <si>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</si>
  <si>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</si>
  <si>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</si>
  <si>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</si>
  <si>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</si>
  <si>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</si>
  <si>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</si>
  <si>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</si>
  <si>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</si>
  <si>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</si>
  <si>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</si>
  <si>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</si>
  <si>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</si>
  <si>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</si>
  <si>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</si>
  <si>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</si>
  <si>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</si>
  <si>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</si>
  <si>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</si>
  <si>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</si>
  <si>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</si>
  <si>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</si>
  <si>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</si>
  <si>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</si>
  <si>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</si>
  <si>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</si>
  <si>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</si>
  <si>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</si>
  <si>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</si>
  <si>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</si>
  <si>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</si>
  <si>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</si>
  <si>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</si>
  <si>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</si>
  <si>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</si>
  <si>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</si>
  <si>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</si>
  <si>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</si>
  <si>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</si>
  <si>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</si>
  <si>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</si>
  <si>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</si>
  <si>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</si>
  <si>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</si>
  <si>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</si>
  <si>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</si>
  <si>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</si>
  <si>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</si>
  <si>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</si>
  <si>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</si>
  <si>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</si>
  <si>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</si>
  <si>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</si>
  <si>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</si>
  <si>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</si>
  <si>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</si>
  <si>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</si>
  <si>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</si>
  <si>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</si>
  <si>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</si>
  <si>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</si>
  <si>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</si>
  <si>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</si>
  <si>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</si>
  <si>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</si>
  <si>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</si>
  <si>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</si>
  <si>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</si>
  <si>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</si>
  <si>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</si>
  <si>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</si>
  <si>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</si>
  <si>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</si>
  <si>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</si>
  <si>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</si>
  <si>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</si>
  <si>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</si>
  <si>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</si>
  <si>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</si>
  <si>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</si>
  <si>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</si>
  <si>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</si>
  <si>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</si>
  <si>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</si>
  <si>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</si>
  <si>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</si>
  <si>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</si>
  <si>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</si>
  <si>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</si>
  <si>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</si>
  <si>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</si>
  <si>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</si>
  <si>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</si>
  <si>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</si>
  <si>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</si>
  <si>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</si>
  <si>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</si>
  <si>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</si>
  <si>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</si>
  <si>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</si>
  <si>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</si>
  <si>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</si>
  <si>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</si>
  <si>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</si>
  <si>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</si>
  <si>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</si>
  <si>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</si>
  <si>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</si>
  <si>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</si>
  <si>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</si>
  <si>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</si>
  <si>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</si>
  <si>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</si>
  <si>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</si>
  <si>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</si>
  <si>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</si>
  <si>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</si>
  <si>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</si>
  <si>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</si>
  <si>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</si>
  <si>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</si>
  <si>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</si>
  <si>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</si>
  <si>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</si>
  <si>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</si>
  <si>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</si>
  <si>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</si>
  <si>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</si>
  <si>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</si>
  <si>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</si>
  <si>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</si>
  <si>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</si>
  <si>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</si>
  <si>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</si>
  <si>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</si>
  <si>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</si>
  <si>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</si>
  <si>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</si>
  <si>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</si>
  <si>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</si>
  <si>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</si>
  <si>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</si>
  <si>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</si>
  <si>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</si>
  <si>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</si>
  <si>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</si>
  <si>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</si>
  <si>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</si>
  <si>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</si>
  <si>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</si>
  <si>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</si>
  <si>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</si>
  <si>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</si>
  <si>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</si>
  <si>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</si>
  <si>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</si>
  <si>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</si>
  <si>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</si>
  <si>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</si>
  <si>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</si>
  <si>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</si>
  <si>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</si>
  <si>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</si>
  <si>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</si>
  <si>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</si>
  <si>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</si>
  <si>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</si>
  <si>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</si>
  <si>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</si>
  <si>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</si>
  <si>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</si>
  <si>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</si>
  <si>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</si>
  <si>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</si>
  <si>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</si>
  <si>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</si>
  <si>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</si>
  <si>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</si>
  <si>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</si>
  <si>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</si>
  <si>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</si>
  <si>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</si>
  <si>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</si>
  <si>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</si>
  <si>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</si>
  <si>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</si>
  <si>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</si>
  <si>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</si>
  <si>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</si>
  <si>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</si>
  <si>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</si>
  <si>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</si>
  <si>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</si>
  <si>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</si>
  <si>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</si>
  <si>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</si>
  <si>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</si>
  <si>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</si>
  <si>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</si>
  <si>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</si>
  <si>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</si>
  <si>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</si>
  <si>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</si>
  <si>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</si>
  <si>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</si>
  <si>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</si>
  <si>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</si>
  <si>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</si>
  <si>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</si>
  <si>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</si>
  <si>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</si>
  <si>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</si>
  <si>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</si>
  <si>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</si>
  <si>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</si>
  <si>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</si>
  <si>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</si>
  <si>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</si>
  <si>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</si>
  <si>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</si>
  <si>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</si>
  <si>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</si>
  <si>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</si>
  <si>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</si>
  <si>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</si>
  <si>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</si>
  <si>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</si>
  <si>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</si>
  <si>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</si>
  <si>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</si>
  <si>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</si>
  <si>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</si>
  <si>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</si>
  <si>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</si>
  <si>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</si>
  <si>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</si>
  <si>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</si>
  <si>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</si>
  <si>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</si>
  <si>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</si>
  <si>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</si>
  <si>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</si>
  <si>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</si>
  <si>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</si>
  <si>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</si>
  <si>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</si>
  <si>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</si>
  <si>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</si>
  <si>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</si>
  <si>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</si>
  <si>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</si>
  <si>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</si>
  <si>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</si>
  <si>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</si>
  <si>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</si>
  <si>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</si>
  <si>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</si>
  <si>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</si>
  <si>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</si>
  <si>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</si>
  <si>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</si>
  <si>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</si>
  <si>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</si>
  <si>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</si>
  <si>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</si>
  <si>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</si>
  <si>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</si>
  <si>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</si>
  <si>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</si>
  <si>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</si>
  <si>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</si>
  <si>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</si>
  <si>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</si>
  <si>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</si>
  <si>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</si>
  <si>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</si>
  <si>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</si>
  <si>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</si>
  <si>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</si>
  <si>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</si>
  <si>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</si>
  <si>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</si>
  <si>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</si>
  <si>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</si>
  <si>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</si>
  <si>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</si>
  <si>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</si>
  <si>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</si>
  <si>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</si>
  <si>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</si>
  <si>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</si>
  <si>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</si>
  <si>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</si>
  <si>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</si>
  <si>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</si>
  <si>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</si>
  <si>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</si>
  <si>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</si>
  <si>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</si>
  <si>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</si>
  <si>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</si>
  <si>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</si>
  <si>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</si>
  <si>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</si>
  <si>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</si>
  <si>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</si>
  <si>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</si>
  <si>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</si>
  <si>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</si>
  <si>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</si>
  <si>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</si>
  <si>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</si>
  <si>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</si>
  <si>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</si>
  <si>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</si>
  <si>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</si>
  <si>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</si>
  <si>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</si>
  <si>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</si>
  <si>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</si>
  <si>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</si>
  <si>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</si>
  <si>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</si>
  <si>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</si>
  <si>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</si>
  <si>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</si>
  <si>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</si>
  <si>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</si>
  <si>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</si>
  <si>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</si>
  <si>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</si>
  <si>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</si>
  <si>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</si>
  <si>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</si>
  <si>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</si>
  <si>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</si>
  <si>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</si>
  <si>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</si>
  <si>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</si>
  <si>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</si>
  <si>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</si>
  <si>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</si>
  <si>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</si>
  <si>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</si>
  <si>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</si>
  <si>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</si>
  <si>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</si>
  <si>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</si>
  <si>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</si>
  <si>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</si>
  <si>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</si>
  <si>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</si>
  <si>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</si>
  <si>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</si>
  <si>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</si>
  <si>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</si>
  <si>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</si>
  <si>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</si>
  <si>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</si>
  <si>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</si>
  <si>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</si>
  <si>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</si>
  <si>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</si>
  <si>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</si>
  <si>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</si>
  <si>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</si>
  <si>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</si>
  <si>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</si>
  <si>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</si>
  <si>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</si>
  <si>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</si>
  <si>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</si>
  <si>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</si>
  <si>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</si>
  <si>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</si>
  <si>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</si>
  <si>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</si>
  <si>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</si>
  <si>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</si>
  <si>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</si>
  <si>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</si>
  <si>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</si>
  <si>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</si>
  <si>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</si>
  <si>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</si>
  <si>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</si>
  <si>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</si>
  <si>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</si>
  <si>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</si>
  <si>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</si>
  <si>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</si>
  <si>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</si>
  <si>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</si>
  <si>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</si>
  <si>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</si>
  <si>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</si>
  <si>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</si>
  <si>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</si>
  <si>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</si>
  <si>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</si>
  <si>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</si>
  <si>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</si>
  <si>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</si>
  <si>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</si>
  <si>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</si>
  <si>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</si>
  <si>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</si>
  <si>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</si>
  <si>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</si>
  <si>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</si>
  <si>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</si>
  <si>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</si>
  <si>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</si>
  <si>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</si>
  <si>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</si>
  <si>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</si>
  <si>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</si>
  <si>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</si>
  <si>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</si>
  <si>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</si>
  <si>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</si>
  <si>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</si>
  <si>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</si>
  <si>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</si>
  <si>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</si>
  <si>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</si>
  <si>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</si>
  <si>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</si>
  <si>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</si>
  <si>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</si>
  <si>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</si>
  <si>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</si>
  <si>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</si>
  <si>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</si>
  <si>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</si>
  <si>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</si>
  <si>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</si>
  <si>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</si>
  <si>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</si>
  <si>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</si>
  <si>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</si>
  <si>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</si>
  <si>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</si>
  <si>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</si>
  <si>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</si>
  <si>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</si>
  <si>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</si>
  <si>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</si>
  <si>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</si>
  <si>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</si>
  <si>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</si>
  <si>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</si>
  <si>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</si>
  <si>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</si>
  <si>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</si>
  <si>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</si>
  <si>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</si>
  <si>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</si>
  <si>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</si>
  <si>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</si>
  <si>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</si>
  <si>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</si>
  <si>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</si>
  <si>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</si>
  <si>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</si>
  <si>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</si>
  <si>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</si>
  <si>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</si>
  <si>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</si>
  <si>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</si>
  <si>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</si>
  <si>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</si>
  <si>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</si>
  <si>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</si>
  <si>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</si>
  <si>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</si>
  <si>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</si>
  <si>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</si>
  <si>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</si>
  <si>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</si>
  <si>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</si>
  <si>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</si>
  <si>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</si>
  <si>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</si>
  <si>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</si>
  <si>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</si>
  <si>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</si>
  <si>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</si>
  <si>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</si>
  <si>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</si>
  <si>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</si>
  <si>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</si>
  <si>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</si>
  <si>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</si>
  <si>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</si>
  <si>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</si>
  <si>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</si>
  <si>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</si>
  <si>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</si>
  <si>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</si>
  <si>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</si>
  <si>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</si>
  <si>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</si>
  <si>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</si>
  <si>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</si>
  <si>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</si>
  <si>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</si>
  <si>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</si>
  <si>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</si>
  <si>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</si>
  <si>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</si>
  <si>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</si>
  <si>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</si>
  <si>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</si>
  <si>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</si>
  <si>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</si>
  <si>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</si>
  <si>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</si>
  <si>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</si>
  <si>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</si>
  <si>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</si>
  <si>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</si>
  <si>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</si>
  <si>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</si>
  <si>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</si>
  <si>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</si>
  <si>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</si>
  <si>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</si>
  <si>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</si>
  <si>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</si>
  <si>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</si>
  <si>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</si>
  <si>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</si>
  <si>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</si>
  <si>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</si>
  <si>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</si>
  <si>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</si>
  <si>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</si>
  <si>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</si>
  <si>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</si>
  <si>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</si>
  <si>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</si>
  <si>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</si>
  <si>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</si>
  <si>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</si>
  <si>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</si>
  <si>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</si>
  <si>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</si>
  <si>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</si>
  <si>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</si>
  <si>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</si>
  <si>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</si>
  <si>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</si>
  <si>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</si>
  <si>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</si>
  <si>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</si>
  <si>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</si>
  <si>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</si>
  <si>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</si>
  <si>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</si>
  <si>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</si>
  <si>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</si>
  <si>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</si>
  <si>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</si>
  <si>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</si>
  <si>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</si>
  <si>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</si>
  <si>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</si>
  <si>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</si>
  <si>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</si>
  <si>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</si>
  <si>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</si>
  <si>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</si>
  <si>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</si>
  <si>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</si>
  <si>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</si>
  <si>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</si>
  <si>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</si>
  <si>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</si>
  <si>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</si>
  <si>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</si>
  <si>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</si>
  <si>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</si>
  <si>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</si>
  <si>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</si>
  <si>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</si>
  <si>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</si>
  <si>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</si>
  <si>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</si>
  <si>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</si>
  <si>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</si>
  <si>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</si>
  <si>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</si>
  <si>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</si>
  <si>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</si>
  <si>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</si>
  <si>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</si>
  <si>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</si>
  <si>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</si>
  <si>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</si>
  <si>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</si>
  <si>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</si>
  <si>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</si>
  <si>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</si>
  <si>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</si>
  <si>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</si>
  <si>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</si>
  <si>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</si>
  <si>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</si>
  <si>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</si>
  <si>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</si>
  <si>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</si>
  <si>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</si>
  <si>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</si>
  <si>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</si>
  <si>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</si>
  <si>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</si>
  <si>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</si>
  <si>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</si>
  <si>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</si>
  <si>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</si>
  <si>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</si>
  <si>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</si>
  <si>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</si>
  <si>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</si>
  <si>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</si>
  <si>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</si>
  <si>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</si>
  <si>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</si>
  <si>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</si>
  <si>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</si>
  <si>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</si>
  <si>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</si>
  <si>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</si>
  <si>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</si>
  <si>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</si>
  <si>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</si>
  <si>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</si>
  <si>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</si>
  <si>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</si>
  <si>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</si>
  <si>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</si>
  <si>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</si>
  <si>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</si>
  <si>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</si>
  <si>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</si>
  <si>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</si>
  <si>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</si>
  <si>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</si>
  <si>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</si>
  <si>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</si>
  <si>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</si>
  <si>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</si>
  <si>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</si>
  <si>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</si>
  <si>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</si>
  <si>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</si>
  <si>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</si>
  <si>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</si>
  <si>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</si>
  <si>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</si>
  <si>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</si>
  <si>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</si>
  <si>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</si>
  <si>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</si>
  <si>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</si>
  <si>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</si>
  <si>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</si>
  <si>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</si>
  <si>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</si>
  <si>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</si>
  <si>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</si>
  <si>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</si>
  <si>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</si>
  <si>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</si>
  <si>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</si>
  <si>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</si>
  <si>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</si>
  <si>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</si>
  <si>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</si>
  <si>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</si>
  <si>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</si>
  <si>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</si>
  <si>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</si>
  <si>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</si>
  <si>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</si>
  <si>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</si>
  <si>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</si>
  <si>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</si>
  <si>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</si>
  <si>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</si>
  <si>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</si>
  <si>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</si>
  <si>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</si>
  <si>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</si>
  <si>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</si>
  <si>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</si>
  <si>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</si>
  <si>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</si>
  <si>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</si>
  <si>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</si>
  <si>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</si>
  <si>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</si>
  <si>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</si>
  <si>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</si>
  <si>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</si>
  <si>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</si>
  <si>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</si>
  <si>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</si>
  <si>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</si>
  <si>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</si>
  <si>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</si>
  <si>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</si>
  <si>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</si>
  <si>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</si>
  <si>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</si>
  <si>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</si>
  <si>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</si>
  <si>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</si>
  <si>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</si>
  <si>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</si>
  <si>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</si>
  <si>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</si>
  <si>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</si>
  <si>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</si>
  <si>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</si>
  <si>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</si>
  <si>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</si>
  <si>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</si>
  <si>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</si>
  <si>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</si>
  <si>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</si>
  <si>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</si>
  <si>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</si>
  <si>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</si>
  <si>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</si>
  <si>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</si>
  <si>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</si>
  <si>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</si>
  <si>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</si>
  <si>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</si>
  <si>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</si>
  <si>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</si>
  <si>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</si>
  <si>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</si>
  <si>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</si>
  <si>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</si>
  <si>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</si>
  <si>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</si>
  <si>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</si>
  <si>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</si>
  <si>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</si>
  <si>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</si>
  <si>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</si>
  <si>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</si>
  <si>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</si>
  <si>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</si>
  <si>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</si>
  <si>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</si>
  <si>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</si>
  <si>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</si>
  <si>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</si>
  <si>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</si>
  <si>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</si>
  <si>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</si>
  <si>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</si>
  <si>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</si>
  <si>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</si>
  <si>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</si>
  <si>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</si>
  <si>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</si>
  <si>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</si>
  <si>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</si>
  <si>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</si>
  <si>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</si>
  <si>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</si>
  <si>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</si>
  <si>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</si>
  <si>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</si>
  <si>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</si>
  <si>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</si>
  <si>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</si>
  <si>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</si>
  <si>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</si>
  <si>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</si>
  <si>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</si>
  <si>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</si>
  <si>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</si>
  <si>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</si>
  <si>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</si>
  <si>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</si>
  <si>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</si>
  <si>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</si>
  <si>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</si>
  <si>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</si>
  <si>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</si>
  <si>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</si>
  <si>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</si>
  <si>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</si>
  <si>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</si>
  <si>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</si>
  <si>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</si>
  <si>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</si>
  <si>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</si>
  <si>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</si>
  <si>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</si>
  <si>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</si>
  <si>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</si>
  <si>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</si>
  <si>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</si>
  <si>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</si>
  <si>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</si>
  <si>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</si>
  <si>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</si>
  <si>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</si>
  <si>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</si>
  <si>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</si>
  <si>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</si>
  <si>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</si>
  <si>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</si>
  <si>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</si>
  <si>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</si>
  <si>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</si>
  <si>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</si>
  <si>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</si>
  <si>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</si>
  <si>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</si>
  <si>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</si>
  <si>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</si>
  <si>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</si>
  <si>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</si>
  <si>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</si>
  <si>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</si>
  <si>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</si>
  <si>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</si>
  <si>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</si>
  <si>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</si>
  <si>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</si>
  <si>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</si>
  <si>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</si>
  <si>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</si>
  <si>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</si>
  <si>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</si>
  <si>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</si>
  <si>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</si>
  <si>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</si>
  <si>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</si>
  <si>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</si>
  <si>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</si>
  <si>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</si>
  <si>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</si>
  <si>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</si>
  <si>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</si>
  <si>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</si>
  <si>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</si>
  <si>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</si>
  <si>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</si>
  <si>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</si>
  <si>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</si>
  <si>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</si>
  <si>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</si>
  <si>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</si>
  <si>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</si>
  <si>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</si>
  <si>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</si>
  <si>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</si>
  <si>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</si>
  <si>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</si>
  <si>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</si>
  <si>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</si>
  <si>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</si>
  <si>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</si>
  <si>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</si>
  <si>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</si>
  <si>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</si>
  <si>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</si>
  <si>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</si>
  <si>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</si>
  <si>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</si>
  <si>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</si>
  <si>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</si>
  <si>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</si>
  <si>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</si>
  <si>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</si>
  <si>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</si>
  <si>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</si>
  <si>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</si>
  <si>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</si>
  <si>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</si>
  <si>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</si>
  <si>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</si>
  <si>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</si>
  <si>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</si>
  <si>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</si>
  <si>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</si>
  <si>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</si>
  <si>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</si>
  <si>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</si>
  <si>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</si>
  <si>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</si>
  <si>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</si>
  <si>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</si>
  <si>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</si>
  <si>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</si>
  <si>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</si>
  <si>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</si>
  <si>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</si>
  <si>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</si>
  <si>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</si>
  <si>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</si>
  <si>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</si>
  <si>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</si>
  <si>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</si>
  <si>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</si>
  <si>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</si>
  <si>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</si>
  <si>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</si>
  <si>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</si>
  <si>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</si>
  <si>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</si>
  <si>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</si>
  <si>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</si>
  <si>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</si>
  <si>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</si>
  <si>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</si>
  <si>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</si>
  <si>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</si>
  <si>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</si>
  <si>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</si>
  <si>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</si>
  <si>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</si>
  <si>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</si>
  <si>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</si>
  <si>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</si>
  <si>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</si>
  <si>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</si>
  <si>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</si>
  <si>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</si>
  <si>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</si>
  <si>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</si>
  <si>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</si>
  <si>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</si>
  <si>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</si>
  <si>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</si>
  <si>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</si>
  <si>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</si>
  <si>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</si>
  <si>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</si>
  <si>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</si>
  <si>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</si>
  <si>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</si>
  <si>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</si>
  <si>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</si>
  <si>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</si>
  <si>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</si>
  <si>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</si>
  <si>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</si>
  <si>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</si>
  <si>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</si>
  <si>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</si>
  <si>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</si>
  <si>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</si>
  <si>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</si>
  <si>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</si>
  <si>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</si>
  <si>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</si>
  <si>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</si>
  <si>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</si>
  <si>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</si>
  <si>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</si>
  <si>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</si>
  <si>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</si>
  <si>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</si>
  <si>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</si>
  <si>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</si>
  <si>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</si>
  <si>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</si>
  <si>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</si>
  <si>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</si>
  <si>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</si>
  <si>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</si>
  <si>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</si>
  <si>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</si>
  <si>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</si>
  <si>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</si>
  <si>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</si>
  <si>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</si>
  <si>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</si>
  <si>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</si>
  <si>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</si>
  <si>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</si>
  <si>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</si>
  <si>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</si>
  <si>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</si>
  <si>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</si>
  <si>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</si>
  <si>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</si>
  <si>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</si>
  <si>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</si>
  <si>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</si>
  <si>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</si>
  <si>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</si>
  <si>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</si>
  <si>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</si>
  <si>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</si>
  <si>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</si>
  <si>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</si>
  <si>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</si>
  <si>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</si>
  <si>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</si>
  <si>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</si>
  <si>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</si>
  <si>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</si>
  <si>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</si>
  <si>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</si>
  <si>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</si>
  <si>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</si>
  <si>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</si>
  <si>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</si>
  <si>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</si>
  <si>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</si>
  <si>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</si>
  <si>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</si>
  <si>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</si>
  <si>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</si>
  <si>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</si>
  <si>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</si>
  <si>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</si>
  <si>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</si>
  <si>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</si>
  <si>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</si>
  <si>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</si>
  <si>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</si>
  <si>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</si>
  <si>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</si>
  <si>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</si>
  <si>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</si>
  <si>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</si>
  <si>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</si>
  <si>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</si>
  <si>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</si>
  <si>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</si>
  <si>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</si>
  <si>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</si>
  <si>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</si>
  <si>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</si>
  <si>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</si>
  <si>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</si>
  <si>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</si>
  <si>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</si>
  <si>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</si>
  <si>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</si>
  <si>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</si>
  <si>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</si>
  <si>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</si>
  <si>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</si>
  <si>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</si>
  <si>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</si>
  <si>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</si>
  <si>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</si>
  <si>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</si>
  <si>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</si>
  <si>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</si>
  <si>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</si>
  <si>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</si>
  <si>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</si>
  <si>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</si>
  <si>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</si>
  <si>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</si>
  <si>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</si>
  <si>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</si>
  <si>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</si>
  <si>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</si>
  <si>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</si>
  <si>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</si>
  <si>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</si>
  <si>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</si>
  <si>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</si>
  <si>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</si>
  <si>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</si>
  <si>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</si>
  <si>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</si>
  <si>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</si>
  <si>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</si>
  <si>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</si>
  <si>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</si>
  <si>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</si>
  <si>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</si>
  <si>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</si>
  <si>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</si>
  <si>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</si>
  <si>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</si>
  <si>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</si>
  <si>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</si>
  <si>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</si>
  <si>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</si>
  <si>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</si>
  <si>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</si>
  <si>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</si>
  <si>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</si>
  <si>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</si>
  <si>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</si>
  <si>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</si>
  <si>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</si>
  <si>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</si>
  <si>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</si>
  <si>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</si>
  <si>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</si>
  <si>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</si>
  <si>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</si>
  <si>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</si>
  <si>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</si>
  <si>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</si>
  <si>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</si>
  <si>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</si>
  <si>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</si>
  <si>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</si>
  <si>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</si>
  <si>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</si>
  <si>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</si>
  <si>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</si>
  <si>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</si>
  <si>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</si>
  <si>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</si>
  <si>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</si>
  <si>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</si>
  <si>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</si>
  <si>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</si>
  <si>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</si>
  <si>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</si>
  <si>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</si>
  <si>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</si>
  <si>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</si>
  <si>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</si>
  <si>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</si>
  <si>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</si>
  <si>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</si>
  <si>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</si>
  <si>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</si>
  <si>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</si>
  <si>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</si>
  <si>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</si>
  <si>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</si>
  <si>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</si>
  <si>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</si>
  <si>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</si>
  <si>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</si>
  <si>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</si>
  <si>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</si>
  <si>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</si>
  <si>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</si>
  <si>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</si>
  <si>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</si>
  <si>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</si>
  <si>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</si>
  <si>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</si>
  <si>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</si>
  <si>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</si>
  <si>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</si>
  <si>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</si>
  <si>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</si>
  <si>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</si>
  <si>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</si>
  <si>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</si>
  <si>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</si>
  <si>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</si>
  <si>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</si>
  <si>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</si>
  <si>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</si>
  <si>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</si>
  <si>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</si>
  <si>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</si>
  <si>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</si>
  <si>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</si>
  <si>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</si>
  <si>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</si>
  <si>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</si>
  <si>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</si>
  <si>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</si>
  <si>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</si>
  <si>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</si>
  <si>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</si>
  <si>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</si>
  <si>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</si>
  <si>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</si>
  <si>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</si>
  <si>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</si>
  <si>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</si>
  <si>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</si>
  <si>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</si>
  <si>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</si>
  <si>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</si>
  <si>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</si>
  <si>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</si>
  <si>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</si>
  <si>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</si>
  <si>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</si>
  <si>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</si>
  <si>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</si>
  <si>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</si>
  <si>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</si>
  <si>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</si>
  <si>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</si>
  <si>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</si>
  <si>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</si>
  <si>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</si>
  <si>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</si>
  <si>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</si>
  <si>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</si>
  <si>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</si>
  <si>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</si>
  <si>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</si>
  <si>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</si>
  <si>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</si>
  <si>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</si>
  <si>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</si>
  <si>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</si>
  <si>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</si>
  <si>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</si>
  <si>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</si>
  <si>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</si>
  <si>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</si>
  <si>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</si>
  <si>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</si>
  <si>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</si>
  <si>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</si>
  <si>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</si>
  <si>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</si>
  <si>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</si>
  <si>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</si>
  <si>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</si>
  <si>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</si>
  <si>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</si>
  <si>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</si>
  <si>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</si>
  <si>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</si>
  <si>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</si>
  <si>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</si>
  <si>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</si>
  <si>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</si>
  <si>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</si>
  <si>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</si>
  <si>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</si>
  <si>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</si>
  <si>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</si>
  <si>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</si>
  <si>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</si>
  <si>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</si>
  <si>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</si>
  <si>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</si>
  <si>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</si>
  <si>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</si>
  <si>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</si>
  <si>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</si>
  <si>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</si>
  <si>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</si>
  <si>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</si>
  <si>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</si>
  <si>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</si>
  <si>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</si>
  <si>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</si>
  <si>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</si>
  <si>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</si>
  <si>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</si>
  <si>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</si>
  <si>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</si>
  <si>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</si>
  <si>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</si>
  <si>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</si>
  <si>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</si>
  <si>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</si>
  <si>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</si>
  <si>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</si>
  <si>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</si>
  <si>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</si>
  <si>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</si>
  <si>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</si>
  <si>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</si>
  <si>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</si>
  <si>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</si>
  <si>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</si>
  <si>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</si>
  <si>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</si>
  <si>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</si>
  <si>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</si>
  <si>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</si>
  <si>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</si>
  <si>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</si>
  <si>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</si>
  <si>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</si>
  <si>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</si>
  <si>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</si>
  <si>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</si>
  <si>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</si>
  <si>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</si>
  <si>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</si>
  <si>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</si>
  <si>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</si>
  <si>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</si>
  <si>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</si>
  <si>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</si>
  <si>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</si>
  <si>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</si>
  <si>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</si>
  <si>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</si>
  <si>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</si>
  <si>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</si>
  <si>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</si>
  <si>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</si>
  <si>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</si>
  <si>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</si>
  <si>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</si>
  <si>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</si>
  <si>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</si>
  <si>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</si>
  <si>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</si>
  <si>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</si>
  <si>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</si>
  <si>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</si>
  <si>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</si>
  <si>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</si>
  <si>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</si>
  <si>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</si>
  <si>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</si>
  <si>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</si>
  <si>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</si>
  <si>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</si>
  <si>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</si>
  <si>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</si>
  <si>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</si>
  <si>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</si>
  <si>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</si>
  <si>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</si>
  <si>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</si>
  <si>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</si>
  <si>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</si>
  <si>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</si>
  <si>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</si>
  <si>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</si>
  <si>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</si>
  <si>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</si>
  <si>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</si>
  <si>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</si>
  <si>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</si>
  <si>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</si>
  <si>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</si>
  <si>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</si>
  <si>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</si>
  <si>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</si>
  <si>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</si>
  <si>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</si>
  <si>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</si>
  <si>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</si>
  <si>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</si>
  <si>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</si>
  <si>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</si>
  <si>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</si>
  <si>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</si>
  <si>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</si>
  <si>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</si>
  <si>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</si>
  <si>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</si>
  <si>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</si>
  <si>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</si>
  <si>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</si>
  <si>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</si>
  <si>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</si>
  <si>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</si>
  <si>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</si>
  <si>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</si>
  <si>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</si>
  <si>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</si>
  <si>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</si>
  <si>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</si>
  <si>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</si>
  <si>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</si>
  <si>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</si>
  <si>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</si>
  <si>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</si>
  <si>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</si>
  <si>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</si>
  <si>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</si>
  <si>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</si>
  <si>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</si>
  <si>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</si>
  <si>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</si>
  <si>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</si>
  <si>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</si>
  <si>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</si>
  <si>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</si>
  <si>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</si>
  <si>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</si>
  <si>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</si>
  <si>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</si>
  <si>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</si>
  <si>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</si>
  <si>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</si>
  <si>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</si>
  <si>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</si>
  <si>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</si>
  <si>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</si>
  <si>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</si>
  <si>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</si>
  <si>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</si>
  <si>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</si>
  <si>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</si>
  <si>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</si>
  <si>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</si>
  <si>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</si>
  <si>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</si>
  <si>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</si>
  <si>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</si>
  <si>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</si>
  <si>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</si>
  <si>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</si>
  <si>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</si>
  <si>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</si>
  <si>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</si>
  <si>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</si>
  <si>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</si>
  <si>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</si>
  <si>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</si>
  <si>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</si>
  <si>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</si>
  <si>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</si>
  <si>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</si>
  <si>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</si>
  <si>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</si>
  <si>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</si>
  <si>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</si>
  <si>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</si>
  <si>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</si>
  <si>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</si>
  <si>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</si>
  <si>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</si>
  <si>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</si>
  <si>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</si>
  <si>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</si>
  <si>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</si>
  <si>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</si>
  <si>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</si>
  <si>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</si>
  <si>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</si>
  <si>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</si>
  <si>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</si>
  <si>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</si>
  <si>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</si>
  <si>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</si>
  <si>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</si>
  <si>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</si>
  <si>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</si>
  <si>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</si>
  <si>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</si>
  <si>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</si>
  <si>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</si>
  <si>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</si>
  <si>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</si>
  <si>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</si>
  <si>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</si>
  <si>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</si>
  <si>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</si>
  <si>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</si>
  <si>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</si>
  <si>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</si>
  <si>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</si>
  <si>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</si>
  <si>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</si>
  <si>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</si>
  <si>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</si>
  <si>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</si>
  <si>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</si>
  <si>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</si>
  <si>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</si>
  <si>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</si>
  <si>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</si>
  <si>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</si>
  <si>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</si>
  <si>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</si>
  <si>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</si>
  <si>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</si>
  <si>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</si>
  <si>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</si>
  <si>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</si>
  <si>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</si>
  <si>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</si>
  <si>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</si>
  <si>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</si>
  <si>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</si>
  <si>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</si>
  <si>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</si>
  <si>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</si>
  <si>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</si>
  <si>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</si>
  <si>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</si>
  <si>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</si>
  <si>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</si>
  <si>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</si>
  <si>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</si>
  <si>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</si>
  <si>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</si>
  <si>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</si>
  <si>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</si>
  <si>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</si>
  <si>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</si>
  <si>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</si>
  <si>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</si>
  <si>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</si>
  <si>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</si>
  <si>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</si>
  <si>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</si>
  <si>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</si>
  <si>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</si>
  <si>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</si>
  <si>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</si>
  <si>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</si>
  <si>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</si>
  <si>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</si>
  <si>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</si>
  <si>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</si>
  <si>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</si>
  <si>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</si>
  <si>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</si>
  <si>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</si>
  <si>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</si>
  <si>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</si>
  <si>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</si>
  <si>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</si>
  <si>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</si>
  <si>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</si>
  <si>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</si>
  <si>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</si>
  <si>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</si>
  <si>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</si>
  <si>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</si>
  <si>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</si>
  <si>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</si>
  <si>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</si>
  <si>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</si>
  <si>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</si>
  <si>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</si>
  <si>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</si>
  <si>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</si>
  <si>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</si>
  <si>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</si>
  <si>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</si>
  <si>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</si>
  <si>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</si>
  <si>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</si>
  <si>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</si>
  <si>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</si>
  <si>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</si>
  <si>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</si>
  <si>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</si>
  <si>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</si>
  <si>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</si>
  <si>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</si>
  <si>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</si>
  <si>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</si>
  <si>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</si>
  <si>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</si>
  <si>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</si>
  <si>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</si>
  <si>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</si>
  <si>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</si>
  <si>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</si>
  <si>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</si>
  <si>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</si>
  <si>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</si>
  <si>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</si>
  <si>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</si>
  <si>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</si>
  <si>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</si>
  <si>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</si>
  <si>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</si>
  <si>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</si>
  <si>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</si>
  <si>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</si>
  <si>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</si>
  <si>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</si>
  <si>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</si>
  <si>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</si>
  <si>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</si>
  <si>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</si>
  <si>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</si>
  <si>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</si>
  <si>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</si>
  <si>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</si>
  <si>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</si>
  <si>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</si>
  <si>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</si>
  <si>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</si>
  <si>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</si>
  <si>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</si>
  <si>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</si>
  <si>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</si>
  <si>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</si>
  <si>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</si>
  <si>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</si>
  <si>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</si>
  <si>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</si>
  <si>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</si>
  <si>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</si>
  <si>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</si>
  <si>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</si>
  <si>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</si>
  <si>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</si>
  <si>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</si>
  <si>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</si>
  <si>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</si>
  <si>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</si>
  <si>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</si>
  <si>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</si>
  <si>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</si>
  <si>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</si>
  <si>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</si>
  <si>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</si>
  <si>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</si>
  <si>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</si>
  <si>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</si>
  <si>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</si>
  <si>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</si>
  <si>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</si>
  <si>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</si>
  <si>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</si>
  <si>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</si>
  <si>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</si>
  <si>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</si>
  <si>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</si>
  <si>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</si>
  <si>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</si>
  <si>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</si>
  <si>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</si>
  <si>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</si>
  <si>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</si>
  <si>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</si>
  <si>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</si>
  <si>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</si>
  <si>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</si>
  <si>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</si>
  <si>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</si>
  <si>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</si>
  <si>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</si>
  <si>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</si>
  <si>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</si>
  <si>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</si>
  <si>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</si>
  <si>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</si>
  <si>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</si>
  <si>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</si>
  <si>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</si>
  <si>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</si>
  <si>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</si>
  <si>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</si>
  <si>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</si>
  <si>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</si>
  <si>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</si>
  <si>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</si>
  <si>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</si>
  <si>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</si>
  <si>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</si>
  <si>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</si>
  <si>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</si>
  <si>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</si>
  <si>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</si>
  <si>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</si>
  <si>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</si>
  <si>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</si>
  <si>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</si>
  <si>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</si>
  <si>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</si>
  <si>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</si>
  <si>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</si>
  <si>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</si>
  <si>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</si>
  <si>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</si>
  <si>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</si>
  <si>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</si>
  <si>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</si>
  <si>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</si>
  <si>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</si>
  <si>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</si>
  <si>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</si>
  <si>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</si>
  <si>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</si>
  <si>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</si>
  <si>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</si>
  <si>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</si>
  <si>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</si>
  <si>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</si>
  <si>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</si>
  <si>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</si>
  <si>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</si>
  <si>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</si>
  <si>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</si>
  <si>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</si>
  <si>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</si>
  <si>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</si>
  <si>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</si>
  <si>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</si>
  <si>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</si>
  <si>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</si>
  <si>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</si>
  <si>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</si>
  <si>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</si>
  <si>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</si>
  <si>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</si>
  <si>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</si>
  <si>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</si>
  <si>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</si>
  <si>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</si>
  <si>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</si>
  <si>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</si>
  <si>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</si>
  <si>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</si>
  <si>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</si>
  <si>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</si>
  <si>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</si>
  <si>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</si>
  <si>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</si>
  <si>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</si>
  <si>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</si>
  <si>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</si>
  <si>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</si>
  <si>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</si>
  <si>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</si>
  <si>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</si>
  <si>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</si>
  <si>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</si>
  <si>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</si>
  <si>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</si>
  <si>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</si>
  <si>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</si>
  <si>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</si>
  <si>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</si>
  <si>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</si>
  <si>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</si>
  <si>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</si>
  <si>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</si>
  <si>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</si>
  <si>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</si>
  <si>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</si>
  <si>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</si>
  <si>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</si>
  <si>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</si>
  <si>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</si>
  <si>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</si>
  <si>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</si>
  <si>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</si>
  <si>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</si>
  <si>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</si>
  <si>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</si>
  <si>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</si>
  <si>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</si>
  <si>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</si>
  <si>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</si>
  <si>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</si>
  <si>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</si>
  <si>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</si>
  <si>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</si>
  <si>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</si>
  <si>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</si>
  <si>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</si>
  <si>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</si>
  <si>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</si>
  <si>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</si>
  <si>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</si>
  <si>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</si>
  <si>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</si>
  <si>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</si>
  <si>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</si>
  <si>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</si>
  <si>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</si>
  <si>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</si>
  <si>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</si>
  <si>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</si>
  <si>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</si>
  <si>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</si>
  <si>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</si>
  <si>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</si>
  <si>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</si>
  <si>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</si>
  <si>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</si>
  <si>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</si>
  <si>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</si>
  <si>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</si>
  <si>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</si>
  <si>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</si>
  <si>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</si>
  <si>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</si>
  <si>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</si>
  <si>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</si>
  <si>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</si>
  <si>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</si>
  <si>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</si>
  <si>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</si>
  <si>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</si>
  <si>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</si>
  <si>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</si>
  <si>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</si>
  <si>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</si>
  <si>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</si>
  <si>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</si>
  <si>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</si>
  <si>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</si>
  <si>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</si>
  <si>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</si>
  <si>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</si>
  <si>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</si>
  <si>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</si>
  <si>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</si>
  <si>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</si>
  <si>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</si>
  <si>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</si>
  <si>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</si>
  <si>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</si>
  <si>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</si>
  <si>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</si>
  <si>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</si>
  <si>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</si>
  <si>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</si>
  <si>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</si>
  <si>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</si>
  <si>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</si>
  <si>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</si>
  <si>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</si>
  <si>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</si>
  <si>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</si>
  <si>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</si>
  <si>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</si>
  <si>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</si>
  <si>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</si>
  <si>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</si>
  <si>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</si>
  <si>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</si>
  <si>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</si>
  <si>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</si>
  <si>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</si>
  <si>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</si>
  <si>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</si>
  <si>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</si>
  <si>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</si>
  <si>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</si>
  <si>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</si>
  <si>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</si>
  <si>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</si>
  <si>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</si>
  <si>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</si>
  <si>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</si>
  <si>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</si>
  <si>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</si>
  <si>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</si>
  <si>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</si>
  <si>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</si>
  <si>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</si>
  <si>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</si>
  <si>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</si>
  <si>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</si>
  <si>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</si>
  <si>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</si>
  <si>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</si>
  <si>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</si>
  <si>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</si>
  <si>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</si>
  <si>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</si>
  <si>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</si>
  <si>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</si>
  <si>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</si>
  <si>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</si>
  <si>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</si>
  <si>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</si>
  <si>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</si>
  <si>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</si>
  <si>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</si>
  <si>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</si>
  <si>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</si>
  <si>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</si>
  <si>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</si>
  <si>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</si>
  <si>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</si>
  <si>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</si>
  <si>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</si>
  <si>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</si>
  <si>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</si>
  <si>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</si>
  <si>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</si>
  <si>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</si>
  <si>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</si>
  <si>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</si>
  <si>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</si>
  <si>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</si>
  <si>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</si>
  <si>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</si>
  <si>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</si>
  <si>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</si>
  <si>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</si>
  <si>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</si>
  <si>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</si>
  <si>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</si>
  <si>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</si>
  <si>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</si>
  <si>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</si>
  <si>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</si>
  <si>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</si>
  <si>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</si>
  <si>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</si>
  <si>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</si>
  <si>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</si>
  <si>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</si>
  <si>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</si>
  <si>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</si>
  <si>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</si>
  <si>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</si>
  <si>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</si>
  <si>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</si>
  <si>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</si>
  <si>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</si>
  <si>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</si>
  <si>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</si>
  <si>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</si>
  <si>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</si>
  <si>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</si>
  <si>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</si>
  <si>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</si>
  <si>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</si>
  <si>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</si>
  <si>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</si>
  <si>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</si>
  <si>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</si>
  <si>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</si>
  <si>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</si>
  <si>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</si>
  <si>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</si>
  <si>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</si>
  <si>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</si>
  <si>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</si>
  <si>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</si>
  <si>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</si>
  <si>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</si>
  <si>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</si>
  <si>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</si>
  <si>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</si>
  <si>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</si>
  <si>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</si>
  <si>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</si>
  <si>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</si>
  <si>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</si>
  <si>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</si>
  <si>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</si>
  <si>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</si>
  <si>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</si>
  <si>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</si>
  <si>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</si>
  <si>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</si>
  <si>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</si>
  <si>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</si>
  <si>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</si>
  <si>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</si>
  <si>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</si>
  <si>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</si>
  <si>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</si>
  <si>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</si>
  <si>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</si>
  <si>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</si>
  <si>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</si>
  <si>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</si>
  <si>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</si>
  <si>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</si>
  <si>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</si>
  <si>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</si>
  <si>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</si>
  <si>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</si>
  <si>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</si>
  <si>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</si>
  <si>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</si>
  <si>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</si>
  <si>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</si>
  <si>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</si>
  <si>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</si>
  <si>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</si>
  <si>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</si>
  <si>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</si>
  <si>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</si>
  <si>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</si>
  <si>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</si>
  <si>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</si>
  <si>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</si>
  <si>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</si>
  <si>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</si>
  <si>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</si>
  <si>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</si>
  <si>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</si>
  <si>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</si>
  <si>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</si>
  <si>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</si>
  <si>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</si>
  <si>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</si>
  <si>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</si>
  <si>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</si>
  <si>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</si>
  <si>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</si>
  <si>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</si>
  <si>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</si>
  <si>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</si>
  <si>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</si>
  <si>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</si>
  <si>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</si>
  <si>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</si>
  <si>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</si>
  <si>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</si>
  <si>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</si>
  <si>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</si>
  <si>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</si>
  <si>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</si>
  <si>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</si>
  <si>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</si>
  <si>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</si>
  <si>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</si>
  <si>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</si>
  <si>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</si>
  <si>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</si>
  <si>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</si>
  <si>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</si>
  <si>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</si>
  <si>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</si>
  <si>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</si>
  <si>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</si>
  <si>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</si>
  <si>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</si>
  <si>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</si>
  <si>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</si>
  <si>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</si>
  <si>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</si>
  <si>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</si>
  <si>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</si>
  <si>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</si>
  <si>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</si>
  <si>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</si>
  <si>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</si>
  <si>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</si>
  <si>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</si>
  <si>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</si>
  <si>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</si>
  <si>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</si>
  <si>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</si>
  <si>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</si>
  <si>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</si>
  <si>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</si>
  <si>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</si>
  <si>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</si>
  <si>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</si>
  <si>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</si>
  <si>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</si>
  <si>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</si>
  <si>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</si>
  <si>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</si>
  <si>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</si>
  <si>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</si>
  <si>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</si>
  <si>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</si>
  <si>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</si>
  <si>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</si>
  <si>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</si>
  <si>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</si>
  <si>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</si>
  <si>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</si>
  <si>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</si>
  <si>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</si>
  <si>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</si>
  <si>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</si>
  <si>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</si>
  <si>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</si>
  <si>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</si>
  <si>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</si>
  <si>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</si>
  <si>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</si>
  <si>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</si>
  <si>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</si>
  <si>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</si>
  <si>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</si>
  <si>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</si>
  <si>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</si>
  <si>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</si>
  <si>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</si>
  <si>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</si>
  <si>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</si>
  <si>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</si>
  <si>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</si>
  <si>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</si>
  <si>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</si>
  <si>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</si>
  <si>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</si>
  <si>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</si>
  <si>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</si>
  <si>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</si>
  <si>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</si>
  <si>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</si>
  <si>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</si>
  <si>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</si>
  <si>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</si>
  <si>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</si>
  <si>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</si>
  <si>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</si>
  <si>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</si>
  <si>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</si>
  <si>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</si>
  <si>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</si>
  <si>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</si>
  <si>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</si>
  <si>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</si>
  <si>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</si>
  <si>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</si>
  <si>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</si>
  <si>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</si>
  <si>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</si>
  <si>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</si>
  <si>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</si>
  <si>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</si>
  <si>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</si>
  <si>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</si>
  <si>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</si>
  <si>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</si>
  <si>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</si>
  <si>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</si>
  <si>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</si>
  <si>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</si>
  <si>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</si>
  <si>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</si>
  <si>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</si>
  <si>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</si>
  <si>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</si>
  <si>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</si>
  <si>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</si>
  <si>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</si>
  <si>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</si>
  <si>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</si>
  <si>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</si>
  <si>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</si>
  <si>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</si>
  <si>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</si>
  <si>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</si>
  <si>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</si>
  <si>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</si>
  <si>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</si>
  <si>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</si>
  <si>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</si>
  <si>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</si>
  <si>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</si>
  <si>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</si>
  <si>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</si>
  <si>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</si>
  <si>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</si>
  <si>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</si>
  <si>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</si>
  <si>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</si>
  <si>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</si>
  <si>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</si>
  <si>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</si>
  <si>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</si>
  <si>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</si>
  <si>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</si>
  <si>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</si>
  <si>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</si>
  <si>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</si>
  <si>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</si>
  <si>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</si>
  <si>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</si>
  <si>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</si>
  <si>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</si>
  <si>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</si>
  <si>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</si>
  <si>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</si>
  <si>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</si>
  <si>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</si>
  <si>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</si>
  <si>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</si>
  <si>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</si>
  <si>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</si>
  <si>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</si>
  <si>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</si>
  <si>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</si>
  <si>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</si>
  <si>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</si>
  <si>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</si>
  <si>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</si>
  <si>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</si>
  <si>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</si>
  <si>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</si>
  <si>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</si>
  <si>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</si>
  <si>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</si>
  <si>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</si>
  <si>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</si>
  <si>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</si>
  <si>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</si>
  <si>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</si>
  <si>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</si>
  <si>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</si>
  <si>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</si>
  <si>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</si>
  <si>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</si>
  <si>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</si>
  <si>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</si>
  <si>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</si>
  <si>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</si>
  <si>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</si>
  <si>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</si>
  <si>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</si>
  <si>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</si>
  <si>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</si>
  <si>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</si>
  <si>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</si>
  <si>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</si>
  <si>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</si>
  <si>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</si>
  <si>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</si>
  <si>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</si>
  <si>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</si>
  <si>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</si>
  <si>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</si>
  <si>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</si>
  <si>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</si>
  <si>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</si>
  <si>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</si>
  <si>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</si>
  <si>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</si>
  <si>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</si>
  <si>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</si>
  <si>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</si>
  <si>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</si>
  <si>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</si>
  <si>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</si>
  <si>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</si>
  <si>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</si>
  <si>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</si>
  <si>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</si>
  <si>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</si>
  <si>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</si>
  <si>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</si>
  <si>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</si>
  <si>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</si>
  <si>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</si>
  <si>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</si>
  <si>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</si>
  <si>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</si>
  <si>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</si>
  <si>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</si>
  <si>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</si>
  <si>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</si>
  <si>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</si>
  <si>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</si>
  <si>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</si>
  <si>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</si>
  <si>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</si>
  <si>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</si>
  <si>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</si>
  <si>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</si>
  <si>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</si>
  <si>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</si>
  <si>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</si>
  <si>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</si>
  <si>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</si>
  <si>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</si>
  <si>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</si>
  <si>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</si>
  <si>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</si>
  <si>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</si>
  <si>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</si>
  <si>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</si>
  <si>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</si>
  <si>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</si>
  <si>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</si>
  <si>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</si>
  <si>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</si>
  <si>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</si>
  <si>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</si>
  <si>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</si>
  <si>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</si>
  <si>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</si>
  <si>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</si>
  <si>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</si>
  <si>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</si>
  <si>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</si>
  <si>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</si>
  <si>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</si>
  <si>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</si>
  <si>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</si>
  <si>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</si>
  <si>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</si>
  <si>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</si>
  <si>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</si>
  <si>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</si>
  <si>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</si>
  <si>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</si>
  <si>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</si>
  <si>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</si>
  <si>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</si>
  <si>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</si>
  <si>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</si>
  <si>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</si>
  <si>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</si>
  <si>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</si>
  <si>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</si>
  <si>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</si>
  <si>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</si>
  <si>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</si>
  <si>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</si>
  <si>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</si>
  <si>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</si>
  <si>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</si>
  <si>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</si>
  <si>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</si>
  <si>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</si>
  <si>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</si>
  <si>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</si>
  <si>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</si>
  <si>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</si>
  <si>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</si>
  <si>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</si>
  <si>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</si>
  <si>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</si>
  <si>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</si>
  <si>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</si>
  <si>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</si>
  <si>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</si>
  <si>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</si>
  <si>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</si>
  <si>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</si>
  <si>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</si>
  <si>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</si>
  <si>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</si>
  <si>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</si>
  <si>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</si>
  <si>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</si>
  <si>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</si>
  <si>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</si>
  <si>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</si>
  <si>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</si>
  <si>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</si>
  <si>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</si>
  <si>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</si>
  <si>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</si>
  <si>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</si>
  <si>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</si>
  <si>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</si>
  <si>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</si>
  <si>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</si>
  <si>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</si>
  <si>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</si>
  <si>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</si>
  <si>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</si>
  <si>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</si>
  <si>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</si>
  <si>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</si>
  <si>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</si>
  <si>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</si>
  <si>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</si>
  <si>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</si>
  <si>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</si>
  <si>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</si>
  <si>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</si>
  <si>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</si>
  <si>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</si>
  <si>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</si>
  <si>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</si>
  <si>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</si>
  <si>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</si>
  <si>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</si>
  <si>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</si>
  <si>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</si>
  <si>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</si>
  <si>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</si>
  <si>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</si>
  <si>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</si>
  <si>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</si>
  <si>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</si>
  <si>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</si>
  <si>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</si>
  <si>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</si>
  <si>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</si>
  <si>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</si>
  <si>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</si>
  <si>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</si>
  <si>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</si>
  <si>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</si>
  <si>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</si>
  <si>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</si>
  <si>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</si>
  <si>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</si>
  <si>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</si>
  <si>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</si>
  <si>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</si>
  <si>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</si>
  <si>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</si>
  <si>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</si>
  <si>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</si>
  <si>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</si>
  <si>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</si>
  <si>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</si>
  <si>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</si>
  <si>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</si>
  <si>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</si>
  <si>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</si>
  <si>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</si>
  <si>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</si>
  <si>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</si>
  <si>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</si>
  <si>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</si>
  <si>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</si>
  <si>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</si>
  <si>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</si>
  <si>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</si>
  <si>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</si>
  <si>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</si>
  <si>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</si>
  <si>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</si>
  <si>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</si>
  <si>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</si>
  <si>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</si>
  <si>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</si>
  <si>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</si>
  <si>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</si>
  <si>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</si>
  <si>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</si>
  <si>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</si>
  <si>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</si>
  <si>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</si>
  <si>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</si>
  <si>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</si>
  <si>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</si>
  <si>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</si>
  <si>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</si>
  <si>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</si>
  <si>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</si>
  <si>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</si>
  <si>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</si>
  <si>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</si>
  <si>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</si>
  <si>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</si>
  <si>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</si>
  <si>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</si>
  <si>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</si>
  <si>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</si>
  <si>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</si>
  <si>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</si>
  <si>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</si>
  <si>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</si>
  <si>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</si>
  <si>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</si>
  <si>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</si>
  <si>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</si>
  <si>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</si>
  <si>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</si>
  <si>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</si>
  <si>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</si>
  <si>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</si>
  <si>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</si>
  <si>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</si>
  <si>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</si>
  <si>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</si>
  <si>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</si>
  <si>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</si>
  <si>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</si>
  <si>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</si>
  <si>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</si>
  <si>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</si>
  <si>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</si>
  <si>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</si>
  <si>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</si>
  <si>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</si>
  <si>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</si>
  <si>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</si>
  <si>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</si>
  <si>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</si>
  <si>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</si>
  <si>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</si>
  <si>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</si>
  <si>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</si>
  <si>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</si>
  <si>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</si>
  <si>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</si>
  <si>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</si>
  <si>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</si>
  <si>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</si>
  <si>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</si>
  <si>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</si>
  <si>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</si>
  <si>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</si>
  <si>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</si>
  <si>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</si>
  <si>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</si>
  <si>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</si>
  <si>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</si>
  <si>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</si>
  <si>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</si>
  <si>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</si>
  <si>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</si>
  <si>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</si>
  <si>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</si>
  <si>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</si>
  <si>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</si>
  <si>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</si>
  <si>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</si>
  <si>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</si>
  <si>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</si>
  <si>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</si>
  <si>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</si>
  <si>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</si>
  <si>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</si>
  <si>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</si>
  <si>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</si>
  <si>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</si>
  <si>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</si>
  <si>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</si>
  <si>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</si>
  <si>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</si>
  <si>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</si>
  <si>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</si>
  <si>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</si>
  <si>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</si>
  <si>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</si>
  <si>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</si>
  <si>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</si>
  <si>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</si>
  <si>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</si>
  <si>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</si>
  <si>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</si>
  <si>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</si>
  <si>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</si>
  <si>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</si>
  <si>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</si>
  <si>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</si>
  <si>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</si>
  <si>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</si>
  <si>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</si>
  <si>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</si>
  <si>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</si>
  <si>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</si>
  <si>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</si>
  <si>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</si>
  <si>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</si>
  <si>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</si>
  <si>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</si>
  <si>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</si>
  <si>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</si>
  <si>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</si>
  <si>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</si>
  <si>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</si>
  <si>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</si>
  <si>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</si>
  <si>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</si>
  <si>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</si>
  <si>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</si>
  <si>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</si>
  <si>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</si>
  <si>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</si>
  <si>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</si>
  <si>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t>企业</t>
  </si>
  <si>
    <r>
      <rPr>
        <sz val="11"/>
        <color theme="1"/>
        <rFont val="宋体"/>
        <family val="3"/>
        <charset val="134"/>
      </rPr>
      <t>序号</t>
    </r>
    <phoneticPr fontId="135" type="noConversion"/>
  </si>
  <si>
    <r>
      <rPr>
        <sz val="11"/>
        <color theme="1"/>
        <rFont val="宋体"/>
        <family val="3"/>
        <charset val="134"/>
      </rPr>
      <t>房号</t>
    </r>
    <phoneticPr fontId="135" type="noConversion"/>
  </si>
  <si>
    <r>
      <rPr>
        <sz val="11"/>
        <color theme="1"/>
        <rFont val="宋体"/>
        <family val="3"/>
        <charset val="134"/>
      </rPr>
      <t>总层数</t>
    </r>
    <phoneticPr fontId="135" type="noConversion"/>
  </si>
  <si>
    <r>
      <rPr>
        <sz val="11"/>
        <color theme="1"/>
        <rFont val="宋体"/>
        <family val="3"/>
        <charset val="134"/>
      </rPr>
      <t>所在层数</t>
    </r>
    <phoneticPr fontId="135" type="noConversion"/>
  </si>
  <si>
    <r>
      <rPr>
        <sz val="11"/>
        <color theme="1"/>
        <rFont val="宋体"/>
        <family val="3"/>
        <charset val="134"/>
      </rPr>
      <t>建筑面积</t>
    </r>
    <phoneticPr fontId="135" type="noConversion"/>
  </si>
  <si>
    <r>
      <t>2</t>
    </r>
    <r>
      <rPr>
        <sz val="11"/>
        <color theme="1"/>
        <rFont val="宋体"/>
        <family val="3"/>
        <charset val="134"/>
      </rPr>
      <t>单元</t>
    </r>
    <r>
      <rPr>
        <sz val="11"/>
        <color theme="1"/>
        <rFont val="Arial"/>
        <family val="2"/>
      </rPr>
      <t>618</t>
    </r>
    <phoneticPr fontId="135" type="noConversion"/>
  </si>
  <si>
    <r>
      <t>2</t>
    </r>
    <r>
      <rPr>
        <sz val="11"/>
        <color theme="1"/>
        <rFont val="宋体"/>
        <family val="3"/>
        <charset val="134"/>
      </rPr>
      <t>单元</t>
    </r>
    <r>
      <rPr>
        <sz val="11"/>
        <color theme="1"/>
        <rFont val="Arial"/>
        <family val="2"/>
      </rPr>
      <t>619</t>
    </r>
    <r>
      <rPr>
        <sz val="11"/>
        <color theme="1"/>
        <rFont val="宋体"/>
        <family val="2"/>
        <charset val="134"/>
        <scheme val="minor"/>
      </rPr>
      <t/>
    </r>
  </si>
  <si>
    <r>
      <t>2</t>
    </r>
    <r>
      <rPr>
        <sz val="11"/>
        <color theme="1"/>
        <rFont val="宋体"/>
        <family val="3"/>
        <charset val="134"/>
      </rPr>
      <t>单元</t>
    </r>
    <r>
      <rPr>
        <sz val="11"/>
        <color theme="1"/>
        <rFont val="Arial"/>
        <family val="2"/>
      </rPr>
      <t>621</t>
    </r>
    <phoneticPr fontId="135" type="noConversion"/>
  </si>
  <si>
    <r>
      <t>2</t>
    </r>
    <r>
      <rPr>
        <sz val="11"/>
        <color theme="1"/>
        <rFont val="宋体"/>
        <family val="3"/>
        <charset val="134"/>
      </rPr>
      <t>单元</t>
    </r>
    <r>
      <rPr>
        <sz val="11"/>
        <color theme="1"/>
        <rFont val="Arial"/>
        <family val="2"/>
      </rPr>
      <t>622</t>
    </r>
    <r>
      <rPr>
        <sz val="11"/>
        <color theme="1"/>
        <rFont val="宋体"/>
        <family val="2"/>
        <charset val="134"/>
        <scheme val="minor"/>
      </rPr>
      <t/>
    </r>
  </si>
  <si>
    <r>
      <t>2</t>
    </r>
    <r>
      <rPr>
        <sz val="11"/>
        <color theme="1"/>
        <rFont val="宋体"/>
        <family val="3"/>
        <charset val="134"/>
      </rPr>
      <t>单元</t>
    </r>
    <r>
      <rPr>
        <sz val="11"/>
        <color theme="1"/>
        <rFont val="Arial"/>
        <family val="2"/>
      </rPr>
      <t>623</t>
    </r>
    <r>
      <rPr>
        <sz val="11"/>
        <color theme="1"/>
        <rFont val="宋体"/>
        <family val="2"/>
        <charset val="134"/>
        <scheme val="minor"/>
      </rPr>
      <t/>
    </r>
  </si>
  <si>
    <r>
      <t>2</t>
    </r>
    <r>
      <rPr>
        <sz val="11"/>
        <color theme="1"/>
        <rFont val="宋体"/>
        <family val="3"/>
        <charset val="134"/>
      </rPr>
      <t>单元</t>
    </r>
    <r>
      <rPr>
        <sz val="11"/>
        <color theme="1"/>
        <rFont val="Arial"/>
        <family val="2"/>
      </rPr>
      <t>625</t>
    </r>
    <phoneticPr fontId="135" type="noConversion"/>
  </si>
  <si>
    <r>
      <t>2</t>
    </r>
    <r>
      <rPr>
        <sz val="11"/>
        <color theme="1"/>
        <rFont val="宋体"/>
        <family val="3"/>
        <charset val="134"/>
      </rPr>
      <t>单元</t>
    </r>
    <r>
      <rPr>
        <sz val="11"/>
        <color theme="1"/>
        <rFont val="Arial"/>
        <family val="2"/>
      </rPr>
      <t>626</t>
    </r>
    <r>
      <rPr>
        <sz val="11"/>
        <color theme="1"/>
        <rFont val="宋体"/>
        <family val="2"/>
        <charset val="134"/>
        <scheme val="minor"/>
      </rPr>
      <t/>
    </r>
  </si>
  <si>
    <r>
      <t>19</t>
    </r>
    <r>
      <rPr>
        <sz val="11"/>
        <color theme="1"/>
        <rFont val="宋体"/>
        <family val="3"/>
        <charset val="134"/>
      </rPr>
      <t>（</t>
    </r>
    <r>
      <rPr>
        <sz val="11"/>
        <color theme="1"/>
        <rFont val="Arial"/>
        <family val="2"/>
      </rPr>
      <t>-3</t>
    </r>
    <r>
      <rPr>
        <sz val="11"/>
        <color theme="1"/>
        <rFont val="宋体"/>
        <family val="3"/>
        <charset val="134"/>
      </rPr>
      <t>）</t>
    </r>
    <phoneticPr fontId="135" type="noConversion"/>
  </si>
  <si>
    <t>办公</t>
    <phoneticPr fontId="135" type="noConversion"/>
  </si>
  <si>
    <r>
      <t>2</t>
    </r>
    <r>
      <rPr>
        <sz val="11"/>
        <color theme="1"/>
        <rFont val="宋体"/>
        <family val="3"/>
        <charset val="134"/>
      </rPr>
      <t>单元</t>
    </r>
    <r>
      <rPr>
        <sz val="11"/>
        <color theme="1"/>
        <rFont val="Arial"/>
        <family val="2"/>
      </rPr>
      <t>701</t>
    </r>
    <phoneticPr fontId="135" type="noConversion"/>
  </si>
  <si>
    <r>
      <t>2</t>
    </r>
    <r>
      <rPr>
        <sz val="11"/>
        <color theme="1"/>
        <rFont val="宋体"/>
        <family val="3"/>
        <charset val="134"/>
      </rPr>
      <t>单元</t>
    </r>
    <r>
      <rPr>
        <sz val="11"/>
        <color theme="1"/>
        <rFont val="Arial"/>
        <family val="2"/>
      </rPr>
      <t>709</t>
    </r>
    <phoneticPr fontId="135" type="noConversion"/>
  </si>
  <si>
    <r>
      <t>2</t>
    </r>
    <r>
      <rPr>
        <sz val="11"/>
        <color theme="1"/>
        <rFont val="宋体"/>
        <family val="3"/>
        <charset val="134"/>
      </rPr>
      <t>单元</t>
    </r>
    <r>
      <rPr>
        <sz val="11"/>
        <color theme="1"/>
        <rFont val="Arial"/>
        <family val="2"/>
      </rPr>
      <t>718</t>
    </r>
    <phoneticPr fontId="135" type="noConversion"/>
  </si>
  <si>
    <r>
      <t>2</t>
    </r>
    <r>
      <rPr>
        <sz val="11"/>
        <color theme="1"/>
        <rFont val="宋体"/>
        <family val="3"/>
        <charset val="134"/>
      </rPr>
      <t>单元</t>
    </r>
    <r>
      <rPr>
        <sz val="11"/>
        <color theme="1"/>
        <rFont val="Arial"/>
        <family val="2"/>
      </rPr>
      <t>719</t>
    </r>
    <phoneticPr fontId="135" type="noConversion"/>
  </si>
  <si>
    <r>
      <t>2</t>
    </r>
    <r>
      <rPr>
        <sz val="11"/>
        <color theme="1"/>
        <rFont val="宋体"/>
        <family val="3"/>
        <charset val="134"/>
      </rPr>
      <t>单元</t>
    </r>
    <r>
      <rPr>
        <sz val="11"/>
        <color theme="1"/>
        <rFont val="Arial"/>
        <family val="2"/>
      </rPr>
      <t>721</t>
    </r>
    <phoneticPr fontId="135" type="noConversion"/>
  </si>
  <si>
    <r>
      <t>2</t>
    </r>
    <r>
      <rPr>
        <sz val="11"/>
        <color theme="1"/>
        <rFont val="宋体"/>
        <family val="3"/>
        <charset val="134"/>
      </rPr>
      <t>单元</t>
    </r>
    <r>
      <rPr>
        <sz val="11"/>
        <color theme="1"/>
        <rFont val="Arial"/>
        <family val="2"/>
      </rPr>
      <t>722</t>
    </r>
    <r>
      <rPr>
        <sz val="11"/>
        <color theme="1"/>
        <rFont val="宋体"/>
        <family val="2"/>
        <charset val="134"/>
        <scheme val="minor"/>
      </rPr>
      <t/>
    </r>
  </si>
  <si>
    <r>
      <t>2</t>
    </r>
    <r>
      <rPr>
        <sz val="11"/>
        <color theme="1"/>
        <rFont val="宋体"/>
        <family val="3"/>
        <charset val="134"/>
      </rPr>
      <t>单元</t>
    </r>
    <r>
      <rPr>
        <sz val="11"/>
        <color theme="1"/>
        <rFont val="Arial"/>
        <family val="2"/>
      </rPr>
      <t>726</t>
    </r>
    <phoneticPr fontId="135" type="noConversion"/>
  </si>
  <si>
    <r>
      <t>2</t>
    </r>
    <r>
      <rPr>
        <sz val="11"/>
        <color theme="1"/>
        <rFont val="宋体"/>
        <family val="3"/>
        <charset val="134"/>
      </rPr>
      <t>单元</t>
    </r>
    <r>
      <rPr>
        <sz val="11"/>
        <color theme="1"/>
        <rFont val="Arial"/>
        <family val="2"/>
      </rPr>
      <t>809</t>
    </r>
    <phoneticPr fontId="135" type="noConversion"/>
  </si>
  <si>
    <r>
      <t>2</t>
    </r>
    <r>
      <rPr>
        <sz val="11"/>
        <color theme="1"/>
        <rFont val="宋体"/>
        <family val="3"/>
        <charset val="134"/>
      </rPr>
      <t>单元</t>
    </r>
    <r>
      <rPr>
        <sz val="11"/>
        <color theme="1"/>
        <rFont val="Arial"/>
        <family val="2"/>
      </rPr>
      <t>810</t>
    </r>
    <r>
      <rPr>
        <sz val="11"/>
        <color theme="1"/>
        <rFont val="宋体"/>
        <family val="2"/>
        <charset val="134"/>
        <scheme val="minor"/>
      </rPr>
      <t/>
    </r>
  </si>
  <si>
    <r>
      <t>2</t>
    </r>
    <r>
      <rPr>
        <sz val="11"/>
        <color theme="1"/>
        <rFont val="宋体"/>
        <family val="3"/>
        <charset val="134"/>
      </rPr>
      <t>单元</t>
    </r>
    <r>
      <rPr>
        <sz val="11"/>
        <color theme="1"/>
        <rFont val="Arial"/>
        <family val="2"/>
      </rPr>
      <t>811</t>
    </r>
    <r>
      <rPr>
        <sz val="11"/>
        <color theme="1"/>
        <rFont val="宋体"/>
        <family val="2"/>
        <charset val="134"/>
        <scheme val="minor"/>
      </rPr>
      <t/>
    </r>
  </si>
  <si>
    <r>
      <t>2</t>
    </r>
    <r>
      <rPr>
        <sz val="11"/>
        <color theme="1"/>
        <rFont val="宋体"/>
        <family val="3"/>
        <charset val="134"/>
      </rPr>
      <t>单元</t>
    </r>
    <r>
      <rPr>
        <sz val="11"/>
        <color theme="1"/>
        <rFont val="Arial"/>
        <family val="2"/>
      </rPr>
      <t>815</t>
    </r>
    <phoneticPr fontId="135" type="noConversion"/>
  </si>
  <si>
    <r>
      <t>2</t>
    </r>
    <r>
      <rPr>
        <sz val="11"/>
        <color theme="1"/>
        <rFont val="宋体"/>
        <family val="3"/>
        <charset val="134"/>
      </rPr>
      <t>单元</t>
    </r>
    <r>
      <rPr>
        <sz val="11"/>
        <color theme="1"/>
        <rFont val="Arial"/>
        <family val="2"/>
      </rPr>
      <t>816</t>
    </r>
    <phoneticPr fontId="135" type="noConversion"/>
  </si>
  <si>
    <r>
      <t>2</t>
    </r>
    <r>
      <rPr>
        <sz val="11"/>
        <color theme="1"/>
        <rFont val="宋体"/>
        <family val="3"/>
        <charset val="134"/>
      </rPr>
      <t>单元</t>
    </r>
    <r>
      <rPr>
        <sz val="11"/>
        <color theme="1"/>
        <rFont val="Arial"/>
        <family val="2"/>
      </rPr>
      <t>817</t>
    </r>
    <r>
      <rPr>
        <sz val="11"/>
        <color theme="1"/>
        <rFont val="宋体"/>
        <family val="2"/>
        <charset val="134"/>
        <scheme val="minor"/>
      </rPr>
      <t/>
    </r>
  </si>
  <si>
    <r>
      <t>2</t>
    </r>
    <r>
      <rPr>
        <sz val="11"/>
        <color theme="1"/>
        <rFont val="宋体"/>
        <family val="3"/>
        <charset val="134"/>
      </rPr>
      <t>单元</t>
    </r>
    <r>
      <rPr>
        <sz val="11"/>
        <color theme="1"/>
        <rFont val="Arial"/>
        <family val="2"/>
      </rPr>
      <t>901</t>
    </r>
    <phoneticPr fontId="135" type="noConversion"/>
  </si>
  <si>
    <r>
      <t>2</t>
    </r>
    <r>
      <rPr>
        <sz val="11"/>
        <color theme="1"/>
        <rFont val="宋体"/>
        <family val="3"/>
        <charset val="134"/>
      </rPr>
      <t>单元</t>
    </r>
    <r>
      <rPr>
        <sz val="11"/>
        <color theme="1"/>
        <rFont val="Arial"/>
        <family val="2"/>
      </rPr>
      <t>909</t>
    </r>
    <phoneticPr fontId="135" type="noConversion"/>
  </si>
  <si>
    <r>
      <t>2</t>
    </r>
    <r>
      <rPr>
        <sz val="11"/>
        <color theme="1"/>
        <rFont val="宋体"/>
        <family val="3"/>
        <charset val="134"/>
      </rPr>
      <t>单元</t>
    </r>
    <r>
      <rPr>
        <sz val="11"/>
        <color theme="1"/>
        <rFont val="Arial"/>
        <family val="2"/>
      </rPr>
      <t>910</t>
    </r>
    <r>
      <rPr>
        <sz val="11"/>
        <color theme="1"/>
        <rFont val="宋体"/>
        <family val="2"/>
        <charset val="134"/>
        <scheme val="minor"/>
      </rPr>
      <t/>
    </r>
  </si>
  <si>
    <r>
      <t>2</t>
    </r>
    <r>
      <rPr>
        <sz val="11"/>
        <color theme="1"/>
        <rFont val="宋体"/>
        <family val="3"/>
        <charset val="134"/>
      </rPr>
      <t>单元</t>
    </r>
    <r>
      <rPr>
        <sz val="11"/>
        <color theme="1"/>
        <rFont val="Arial"/>
        <family val="2"/>
      </rPr>
      <t>911</t>
    </r>
    <r>
      <rPr>
        <sz val="11"/>
        <color theme="1"/>
        <rFont val="宋体"/>
        <family val="2"/>
        <charset val="134"/>
        <scheme val="minor"/>
      </rPr>
      <t/>
    </r>
  </si>
  <si>
    <r>
      <t>2</t>
    </r>
    <r>
      <rPr>
        <sz val="11"/>
        <color theme="1"/>
        <rFont val="宋体"/>
        <family val="3"/>
        <charset val="134"/>
      </rPr>
      <t>单元</t>
    </r>
    <r>
      <rPr>
        <sz val="11"/>
        <color theme="1"/>
        <rFont val="Arial"/>
        <family val="2"/>
      </rPr>
      <t>916</t>
    </r>
    <phoneticPr fontId="135" type="noConversion"/>
  </si>
  <si>
    <r>
      <t>2</t>
    </r>
    <r>
      <rPr>
        <sz val="11"/>
        <color theme="1"/>
        <rFont val="宋体"/>
        <family val="3"/>
        <charset val="134"/>
      </rPr>
      <t>单元</t>
    </r>
    <r>
      <rPr>
        <sz val="11"/>
        <color theme="1"/>
        <rFont val="Arial"/>
        <family val="2"/>
      </rPr>
      <t>1003</t>
    </r>
    <phoneticPr fontId="135" type="noConversion"/>
  </si>
  <si>
    <r>
      <t>2</t>
    </r>
    <r>
      <rPr>
        <sz val="11"/>
        <color theme="1"/>
        <rFont val="宋体"/>
        <family val="3"/>
        <charset val="134"/>
      </rPr>
      <t>单元</t>
    </r>
    <r>
      <rPr>
        <sz val="11"/>
        <color theme="1"/>
        <rFont val="Arial"/>
        <family val="2"/>
      </rPr>
      <t>1005</t>
    </r>
    <phoneticPr fontId="135" type="noConversion"/>
  </si>
  <si>
    <r>
      <t>2</t>
    </r>
    <r>
      <rPr>
        <sz val="11"/>
        <color theme="1"/>
        <rFont val="宋体"/>
        <family val="3"/>
        <charset val="134"/>
      </rPr>
      <t>单元</t>
    </r>
    <r>
      <rPr>
        <sz val="11"/>
        <color theme="1"/>
        <rFont val="Arial"/>
        <family val="2"/>
      </rPr>
      <t>1007</t>
    </r>
    <phoneticPr fontId="135" type="noConversion"/>
  </si>
  <si>
    <r>
      <t>2</t>
    </r>
    <r>
      <rPr>
        <sz val="11"/>
        <color theme="1"/>
        <rFont val="宋体"/>
        <family val="3"/>
        <charset val="134"/>
      </rPr>
      <t>单元</t>
    </r>
    <r>
      <rPr>
        <sz val="11"/>
        <color theme="1"/>
        <rFont val="Arial"/>
        <family val="2"/>
      </rPr>
      <t>1009</t>
    </r>
    <phoneticPr fontId="135" type="noConversion"/>
  </si>
  <si>
    <r>
      <t>2</t>
    </r>
    <r>
      <rPr>
        <sz val="11"/>
        <color theme="1"/>
        <rFont val="宋体"/>
        <family val="3"/>
        <charset val="134"/>
      </rPr>
      <t>单元</t>
    </r>
    <r>
      <rPr>
        <sz val="11"/>
        <color theme="1"/>
        <rFont val="Arial"/>
        <family val="2"/>
      </rPr>
      <t>1010</t>
    </r>
    <phoneticPr fontId="135" type="noConversion"/>
  </si>
  <si>
    <r>
      <t>2</t>
    </r>
    <r>
      <rPr>
        <sz val="11"/>
        <color theme="1"/>
        <rFont val="宋体"/>
        <family val="3"/>
        <charset val="134"/>
      </rPr>
      <t>单元</t>
    </r>
    <r>
      <rPr>
        <sz val="11"/>
        <color theme="1"/>
        <rFont val="Arial"/>
        <family val="2"/>
      </rPr>
      <t>1011</t>
    </r>
    <r>
      <rPr>
        <sz val="11"/>
        <color theme="1"/>
        <rFont val="宋体"/>
        <family val="2"/>
        <charset val="134"/>
        <scheme val="minor"/>
      </rPr>
      <t/>
    </r>
  </si>
  <si>
    <r>
      <t>2</t>
    </r>
    <r>
      <rPr>
        <sz val="11"/>
        <color theme="1"/>
        <rFont val="宋体"/>
        <family val="3"/>
        <charset val="134"/>
      </rPr>
      <t>单元</t>
    </r>
    <r>
      <rPr>
        <sz val="11"/>
        <color theme="1"/>
        <rFont val="Arial"/>
        <family val="2"/>
      </rPr>
      <t>1012</t>
    </r>
    <r>
      <rPr>
        <sz val="11"/>
        <color theme="1"/>
        <rFont val="宋体"/>
        <family val="2"/>
        <charset val="134"/>
        <scheme val="minor"/>
      </rPr>
      <t/>
    </r>
  </si>
  <si>
    <r>
      <t>2</t>
    </r>
    <r>
      <rPr>
        <sz val="11"/>
        <color theme="1"/>
        <rFont val="宋体"/>
        <family val="3"/>
        <charset val="134"/>
      </rPr>
      <t>单元</t>
    </r>
    <r>
      <rPr>
        <sz val="11"/>
        <color theme="1"/>
        <rFont val="Arial"/>
        <family val="2"/>
      </rPr>
      <t>1016</t>
    </r>
    <r>
      <rPr>
        <sz val="11"/>
        <color theme="1"/>
        <rFont val="宋体"/>
        <family val="2"/>
        <charset val="134"/>
        <scheme val="minor"/>
      </rPr>
      <t/>
    </r>
  </si>
  <si>
    <r>
      <t>2</t>
    </r>
    <r>
      <rPr>
        <sz val="11"/>
        <color theme="1"/>
        <rFont val="宋体"/>
        <family val="3"/>
        <charset val="134"/>
      </rPr>
      <t>单元</t>
    </r>
    <r>
      <rPr>
        <sz val="11"/>
        <color theme="1"/>
        <rFont val="Arial"/>
        <family val="2"/>
      </rPr>
      <t>1015</t>
    </r>
    <phoneticPr fontId="135" type="noConversion"/>
  </si>
  <si>
    <r>
      <t>2</t>
    </r>
    <r>
      <rPr>
        <sz val="11"/>
        <color theme="1"/>
        <rFont val="宋体"/>
        <family val="3"/>
        <charset val="134"/>
      </rPr>
      <t>单元</t>
    </r>
    <r>
      <rPr>
        <sz val="11"/>
        <color theme="1"/>
        <rFont val="Arial"/>
        <family val="2"/>
      </rPr>
      <t>1017</t>
    </r>
    <r>
      <rPr>
        <sz val="11"/>
        <color theme="1"/>
        <rFont val="宋体"/>
        <family val="2"/>
        <charset val="134"/>
        <scheme val="minor"/>
      </rPr>
      <t/>
    </r>
  </si>
  <si>
    <r>
      <t>2</t>
    </r>
    <r>
      <rPr>
        <sz val="11"/>
        <color theme="1"/>
        <rFont val="宋体"/>
        <family val="3"/>
        <charset val="134"/>
      </rPr>
      <t>单元</t>
    </r>
    <r>
      <rPr>
        <sz val="11"/>
        <color theme="1"/>
        <rFont val="Arial"/>
        <family val="2"/>
      </rPr>
      <t>1107</t>
    </r>
    <phoneticPr fontId="135" type="noConversion"/>
  </si>
  <si>
    <r>
      <t>2</t>
    </r>
    <r>
      <rPr>
        <sz val="11"/>
        <color theme="1"/>
        <rFont val="宋体"/>
        <family val="3"/>
        <charset val="134"/>
      </rPr>
      <t>单元</t>
    </r>
    <r>
      <rPr>
        <sz val="11"/>
        <color theme="1"/>
        <rFont val="Arial"/>
        <family val="2"/>
      </rPr>
      <t>1112</t>
    </r>
    <phoneticPr fontId="135" type="noConversion"/>
  </si>
  <si>
    <r>
      <t>2</t>
    </r>
    <r>
      <rPr>
        <sz val="11"/>
        <color theme="1"/>
        <rFont val="宋体"/>
        <family val="3"/>
        <charset val="134"/>
      </rPr>
      <t>单元</t>
    </r>
    <r>
      <rPr>
        <sz val="11"/>
        <color theme="1"/>
        <rFont val="Arial"/>
        <family val="2"/>
      </rPr>
      <t>1207</t>
    </r>
    <phoneticPr fontId="135" type="noConversion"/>
  </si>
  <si>
    <r>
      <t>2</t>
    </r>
    <r>
      <rPr>
        <sz val="11"/>
        <color theme="1"/>
        <rFont val="宋体"/>
        <family val="3"/>
        <charset val="134"/>
      </rPr>
      <t>单元</t>
    </r>
    <r>
      <rPr>
        <sz val="11"/>
        <color theme="1"/>
        <rFont val="Arial"/>
        <family val="2"/>
      </rPr>
      <t>1208</t>
    </r>
    <r>
      <rPr>
        <sz val="11"/>
        <color theme="1"/>
        <rFont val="宋体"/>
        <family val="2"/>
        <charset val="134"/>
        <scheme val="minor"/>
      </rPr>
      <t/>
    </r>
  </si>
  <si>
    <r>
      <t>2</t>
    </r>
    <r>
      <rPr>
        <sz val="11"/>
        <color theme="1"/>
        <rFont val="宋体"/>
        <family val="3"/>
        <charset val="134"/>
      </rPr>
      <t>单元</t>
    </r>
    <r>
      <rPr>
        <sz val="11"/>
        <color theme="1"/>
        <rFont val="Arial"/>
        <family val="2"/>
      </rPr>
      <t>1210</t>
    </r>
    <phoneticPr fontId="135" type="noConversion"/>
  </si>
  <si>
    <r>
      <t>2</t>
    </r>
    <r>
      <rPr>
        <sz val="11"/>
        <color theme="1"/>
        <rFont val="宋体"/>
        <family val="3"/>
        <charset val="134"/>
      </rPr>
      <t>单元</t>
    </r>
    <r>
      <rPr>
        <sz val="11"/>
        <color theme="1"/>
        <rFont val="Arial"/>
        <family val="2"/>
      </rPr>
      <t>1212</t>
    </r>
    <phoneticPr fontId="135" type="noConversion"/>
  </si>
  <si>
    <r>
      <t>2</t>
    </r>
    <r>
      <rPr>
        <sz val="11"/>
        <color theme="1"/>
        <rFont val="宋体"/>
        <family val="3"/>
        <charset val="134"/>
      </rPr>
      <t>单元</t>
    </r>
    <r>
      <rPr>
        <sz val="11"/>
        <color theme="1"/>
        <rFont val="Arial"/>
        <family val="2"/>
      </rPr>
      <t>1216</t>
    </r>
    <phoneticPr fontId="135" type="noConversion"/>
  </si>
  <si>
    <r>
      <t>2</t>
    </r>
    <r>
      <rPr>
        <sz val="11"/>
        <color theme="1"/>
        <rFont val="宋体"/>
        <family val="3"/>
        <charset val="134"/>
      </rPr>
      <t>单元</t>
    </r>
    <r>
      <rPr>
        <sz val="11"/>
        <color theme="1"/>
        <rFont val="Arial"/>
        <family val="2"/>
      </rPr>
      <t>1217</t>
    </r>
    <r>
      <rPr>
        <sz val="11"/>
        <color theme="1"/>
        <rFont val="宋体"/>
        <family val="2"/>
        <charset val="134"/>
        <scheme val="minor"/>
      </rPr>
      <t/>
    </r>
  </si>
  <si>
    <r>
      <t>2</t>
    </r>
    <r>
      <rPr>
        <sz val="11"/>
        <color theme="1"/>
        <rFont val="宋体"/>
        <family val="3"/>
        <charset val="134"/>
      </rPr>
      <t>单元</t>
    </r>
    <r>
      <rPr>
        <sz val="11"/>
        <color theme="1"/>
        <rFont val="Arial"/>
        <family val="2"/>
      </rPr>
      <t>1602</t>
    </r>
    <phoneticPr fontId="135" type="noConversion"/>
  </si>
  <si>
    <r>
      <t>2</t>
    </r>
    <r>
      <rPr>
        <sz val="11"/>
        <color theme="1"/>
        <rFont val="宋体"/>
        <family val="3"/>
        <charset val="134"/>
      </rPr>
      <t>单元</t>
    </r>
    <r>
      <rPr>
        <sz val="11"/>
        <color theme="1"/>
        <rFont val="Arial"/>
        <family val="2"/>
      </rPr>
      <t>1603</t>
    </r>
    <r>
      <rPr>
        <sz val="11"/>
        <color theme="1"/>
        <rFont val="宋体"/>
        <family val="2"/>
        <charset val="134"/>
        <scheme val="minor"/>
      </rPr>
      <t/>
    </r>
  </si>
  <si>
    <r>
      <t>2</t>
    </r>
    <r>
      <rPr>
        <sz val="11"/>
        <color theme="1"/>
        <rFont val="宋体"/>
        <family val="3"/>
        <charset val="134"/>
      </rPr>
      <t>单元</t>
    </r>
    <r>
      <rPr>
        <sz val="11"/>
        <color theme="1"/>
        <rFont val="Arial"/>
        <family val="2"/>
      </rPr>
      <t>1605</t>
    </r>
    <phoneticPr fontId="135" type="noConversion"/>
  </si>
  <si>
    <r>
      <t>2</t>
    </r>
    <r>
      <rPr>
        <sz val="11"/>
        <color theme="1"/>
        <rFont val="宋体"/>
        <family val="3"/>
        <charset val="134"/>
      </rPr>
      <t>单元</t>
    </r>
    <r>
      <rPr>
        <sz val="11"/>
        <color theme="1"/>
        <rFont val="Arial"/>
        <family val="2"/>
      </rPr>
      <t>1606</t>
    </r>
    <r>
      <rPr>
        <sz val="11"/>
        <color theme="1"/>
        <rFont val="宋体"/>
        <family val="2"/>
        <charset val="134"/>
        <scheme val="minor"/>
      </rPr>
      <t/>
    </r>
  </si>
  <si>
    <r>
      <t>2</t>
    </r>
    <r>
      <rPr>
        <sz val="11"/>
        <color theme="1"/>
        <rFont val="宋体"/>
        <family val="3"/>
        <charset val="134"/>
      </rPr>
      <t>单元</t>
    </r>
    <r>
      <rPr>
        <sz val="11"/>
        <color theme="1"/>
        <rFont val="Arial"/>
        <family val="2"/>
      </rPr>
      <t>1607</t>
    </r>
    <r>
      <rPr>
        <sz val="11"/>
        <color theme="1"/>
        <rFont val="宋体"/>
        <family val="2"/>
        <charset val="134"/>
        <scheme val="minor"/>
      </rPr>
      <t/>
    </r>
  </si>
  <si>
    <r>
      <t>2</t>
    </r>
    <r>
      <rPr>
        <sz val="11"/>
        <color theme="1"/>
        <rFont val="宋体"/>
        <family val="3"/>
        <charset val="134"/>
      </rPr>
      <t>单元</t>
    </r>
    <r>
      <rPr>
        <sz val="11"/>
        <color theme="1"/>
        <rFont val="Arial"/>
        <family val="2"/>
      </rPr>
      <t>1608</t>
    </r>
    <r>
      <rPr>
        <sz val="11"/>
        <color theme="1"/>
        <rFont val="宋体"/>
        <family val="2"/>
        <charset val="134"/>
        <scheme val="minor"/>
      </rPr>
      <t/>
    </r>
  </si>
  <si>
    <r>
      <t>2</t>
    </r>
    <r>
      <rPr>
        <sz val="11"/>
        <color theme="1"/>
        <rFont val="宋体"/>
        <family val="3"/>
        <charset val="134"/>
      </rPr>
      <t>单元</t>
    </r>
    <r>
      <rPr>
        <sz val="11"/>
        <color theme="1"/>
        <rFont val="Arial"/>
        <family val="2"/>
      </rPr>
      <t>1610</t>
    </r>
    <r>
      <rPr>
        <sz val="11"/>
        <color theme="1"/>
        <rFont val="宋体"/>
        <family val="2"/>
        <charset val="134"/>
        <scheme val="minor"/>
      </rPr>
      <t/>
    </r>
  </si>
  <si>
    <r>
      <t>2</t>
    </r>
    <r>
      <rPr>
        <sz val="11"/>
        <color theme="1"/>
        <rFont val="宋体"/>
        <family val="3"/>
        <charset val="134"/>
      </rPr>
      <t>单元</t>
    </r>
    <r>
      <rPr>
        <sz val="11"/>
        <color theme="1"/>
        <rFont val="Arial"/>
        <family val="2"/>
      </rPr>
      <t>1611</t>
    </r>
    <phoneticPr fontId="135" type="noConversion"/>
  </si>
  <si>
    <r>
      <t>2</t>
    </r>
    <r>
      <rPr>
        <sz val="11"/>
        <color theme="1"/>
        <rFont val="宋体"/>
        <family val="3"/>
        <charset val="134"/>
      </rPr>
      <t>单元</t>
    </r>
    <r>
      <rPr>
        <sz val="11"/>
        <color theme="1"/>
        <rFont val="Arial"/>
        <family val="2"/>
      </rPr>
      <t>1612</t>
    </r>
    <phoneticPr fontId="135" type="noConversion"/>
  </si>
  <si>
    <r>
      <t>2</t>
    </r>
    <r>
      <rPr>
        <sz val="11"/>
        <color theme="1"/>
        <rFont val="宋体"/>
        <family val="3"/>
        <charset val="134"/>
      </rPr>
      <t>单元</t>
    </r>
    <r>
      <rPr>
        <sz val="11"/>
        <color theme="1"/>
        <rFont val="Arial"/>
        <family val="2"/>
      </rPr>
      <t>1703</t>
    </r>
    <r>
      <rPr>
        <sz val="11"/>
        <color theme="1"/>
        <rFont val="宋体"/>
        <family val="2"/>
        <charset val="134"/>
        <scheme val="minor"/>
      </rPr>
      <t/>
    </r>
    <phoneticPr fontId="135" type="noConversion"/>
  </si>
  <si>
    <r>
      <t>2</t>
    </r>
    <r>
      <rPr>
        <sz val="11"/>
        <color theme="1"/>
        <rFont val="宋体"/>
        <family val="3"/>
        <charset val="134"/>
      </rPr>
      <t>单元</t>
    </r>
    <r>
      <rPr>
        <sz val="11"/>
        <color theme="1"/>
        <rFont val="Arial"/>
        <family val="2"/>
      </rPr>
      <t>1707</t>
    </r>
    <r>
      <rPr>
        <sz val="11"/>
        <color theme="1"/>
        <rFont val="宋体"/>
        <family val="2"/>
        <charset val="134"/>
        <scheme val="minor"/>
      </rPr>
      <t/>
    </r>
  </si>
  <si>
    <r>
      <t>2</t>
    </r>
    <r>
      <rPr>
        <sz val="11"/>
        <color theme="1"/>
        <rFont val="宋体"/>
        <family val="3"/>
        <charset val="134"/>
      </rPr>
      <t>单元</t>
    </r>
    <r>
      <rPr>
        <sz val="11"/>
        <color theme="1"/>
        <rFont val="Arial"/>
        <family val="2"/>
      </rPr>
      <t>1708</t>
    </r>
    <r>
      <rPr>
        <sz val="11"/>
        <color theme="1"/>
        <rFont val="宋体"/>
        <family val="2"/>
        <charset val="134"/>
        <scheme val="minor"/>
      </rPr>
      <t/>
    </r>
  </si>
  <si>
    <r>
      <t>2</t>
    </r>
    <r>
      <rPr>
        <sz val="11"/>
        <color theme="1"/>
        <rFont val="宋体"/>
        <family val="3"/>
        <charset val="134"/>
      </rPr>
      <t>单元</t>
    </r>
    <r>
      <rPr>
        <sz val="11"/>
        <color theme="1"/>
        <rFont val="Arial"/>
        <family val="2"/>
      </rPr>
      <t>1710</t>
    </r>
    <phoneticPr fontId="135" type="noConversion"/>
  </si>
  <si>
    <r>
      <t>2</t>
    </r>
    <r>
      <rPr>
        <sz val="11"/>
        <color theme="1"/>
        <rFont val="宋体"/>
        <family val="3"/>
        <charset val="134"/>
      </rPr>
      <t>单元</t>
    </r>
    <r>
      <rPr>
        <sz val="11"/>
        <color theme="1"/>
        <rFont val="Arial"/>
        <family val="2"/>
      </rPr>
      <t>1711</t>
    </r>
    <r>
      <rPr>
        <sz val="11"/>
        <color theme="1"/>
        <rFont val="宋体"/>
        <family val="2"/>
        <charset val="134"/>
        <scheme val="minor"/>
      </rPr>
      <t/>
    </r>
  </si>
  <si>
    <r>
      <t>2</t>
    </r>
    <r>
      <rPr>
        <sz val="11"/>
        <color theme="1"/>
        <rFont val="宋体"/>
        <family val="3"/>
        <charset val="134"/>
      </rPr>
      <t>单元</t>
    </r>
    <r>
      <rPr>
        <sz val="11"/>
        <color theme="1"/>
        <rFont val="Arial"/>
        <family val="2"/>
      </rPr>
      <t>1712</t>
    </r>
    <r>
      <rPr>
        <sz val="11"/>
        <color theme="1"/>
        <rFont val="宋体"/>
        <family val="2"/>
        <charset val="134"/>
        <scheme val="minor"/>
      </rPr>
      <t/>
    </r>
  </si>
  <si>
    <r>
      <t>2</t>
    </r>
    <r>
      <rPr>
        <sz val="11"/>
        <color theme="1"/>
        <rFont val="宋体"/>
        <family val="3"/>
        <charset val="134"/>
      </rPr>
      <t>单元</t>
    </r>
    <r>
      <rPr>
        <sz val="11"/>
        <color theme="1"/>
        <rFont val="Arial"/>
        <family val="2"/>
      </rPr>
      <t>1716</t>
    </r>
    <phoneticPr fontId="135" type="noConversion"/>
  </si>
  <si>
    <r>
      <t>2</t>
    </r>
    <r>
      <rPr>
        <sz val="11"/>
        <color theme="1"/>
        <rFont val="宋体"/>
        <family val="3"/>
        <charset val="134"/>
      </rPr>
      <t>单元</t>
    </r>
    <r>
      <rPr>
        <sz val="11"/>
        <color theme="1"/>
        <rFont val="Arial"/>
        <family val="2"/>
      </rPr>
      <t>1717</t>
    </r>
    <phoneticPr fontId="135" type="noConversion"/>
  </si>
  <si>
    <t>办公</t>
    <phoneticPr fontId="135" type="noConversion"/>
  </si>
  <si>
    <r>
      <t>2</t>
    </r>
    <r>
      <rPr>
        <sz val="11"/>
        <color theme="1"/>
        <rFont val="宋体"/>
        <family val="3"/>
        <charset val="134"/>
      </rPr>
      <t>单元</t>
    </r>
    <r>
      <rPr>
        <sz val="11"/>
        <color theme="1"/>
        <rFont val="Arial"/>
        <family val="2"/>
      </rPr>
      <t>1801</t>
    </r>
    <phoneticPr fontId="135" type="noConversion"/>
  </si>
  <si>
    <r>
      <t>2</t>
    </r>
    <r>
      <rPr>
        <sz val="11"/>
        <color theme="1"/>
        <rFont val="宋体"/>
        <family val="3"/>
        <charset val="134"/>
      </rPr>
      <t>单元</t>
    </r>
    <r>
      <rPr>
        <sz val="11"/>
        <color theme="1"/>
        <rFont val="Arial"/>
        <family val="2"/>
      </rPr>
      <t>1805</t>
    </r>
    <phoneticPr fontId="135" type="noConversion"/>
  </si>
  <si>
    <r>
      <t>2</t>
    </r>
    <r>
      <rPr>
        <sz val="11"/>
        <color theme="1"/>
        <rFont val="宋体"/>
        <family val="3"/>
        <charset val="134"/>
      </rPr>
      <t>单元</t>
    </r>
    <r>
      <rPr>
        <sz val="11"/>
        <color theme="1"/>
        <rFont val="Arial"/>
        <family val="2"/>
      </rPr>
      <t>1806</t>
    </r>
    <r>
      <rPr>
        <sz val="11"/>
        <color theme="1"/>
        <rFont val="宋体"/>
        <family val="2"/>
        <charset val="134"/>
        <scheme val="minor"/>
      </rPr>
      <t/>
    </r>
  </si>
  <si>
    <r>
      <t>2</t>
    </r>
    <r>
      <rPr>
        <sz val="11"/>
        <color theme="1"/>
        <rFont val="宋体"/>
        <family val="3"/>
        <charset val="134"/>
      </rPr>
      <t>单元</t>
    </r>
    <r>
      <rPr>
        <sz val="11"/>
        <color theme="1"/>
        <rFont val="Arial"/>
        <family val="2"/>
      </rPr>
      <t>1807</t>
    </r>
    <r>
      <rPr>
        <sz val="11"/>
        <color theme="1"/>
        <rFont val="宋体"/>
        <family val="2"/>
        <charset val="134"/>
        <scheme val="minor"/>
      </rPr>
      <t/>
    </r>
  </si>
  <si>
    <r>
      <t>2</t>
    </r>
    <r>
      <rPr>
        <sz val="11"/>
        <color theme="1"/>
        <rFont val="宋体"/>
        <family val="3"/>
        <charset val="134"/>
      </rPr>
      <t>单元</t>
    </r>
    <r>
      <rPr>
        <sz val="11"/>
        <color theme="1"/>
        <rFont val="Arial"/>
        <family val="2"/>
      </rPr>
      <t>1808</t>
    </r>
    <r>
      <rPr>
        <sz val="11"/>
        <color theme="1"/>
        <rFont val="宋体"/>
        <family val="2"/>
        <charset val="134"/>
        <scheme val="minor"/>
      </rPr>
      <t/>
    </r>
  </si>
  <si>
    <r>
      <t>2</t>
    </r>
    <r>
      <rPr>
        <sz val="11"/>
        <color theme="1"/>
        <rFont val="宋体"/>
        <family val="3"/>
        <charset val="134"/>
      </rPr>
      <t>单元</t>
    </r>
    <r>
      <rPr>
        <sz val="11"/>
        <color theme="1"/>
        <rFont val="Arial"/>
        <family val="2"/>
      </rPr>
      <t>1810</t>
    </r>
    <phoneticPr fontId="135" type="noConversion"/>
  </si>
  <si>
    <r>
      <t>6</t>
    </r>
    <r>
      <rPr>
        <sz val="11"/>
        <color theme="1"/>
        <rFont val="宋体"/>
        <family val="3"/>
        <charset val="134"/>
      </rPr>
      <t>单元</t>
    </r>
    <r>
      <rPr>
        <sz val="11"/>
        <color theme="1"/>
        <rFont val="Arial"/>
        <family val="2"/>
      </rPr>
      <t>201</t>
    </r>
    <phoneticPr fontId="135" type="noConversion"/>
  </si>
  <si>
    <r>
      <t>6</t>
    </r>
    <r>
      <rPr>
        <sz val="11"/>
        <color theme="1"/>
        <rFont val="宋体"/>
        <family val="3"/>
        <charset val="134"/>
      </rPr>
      <t>单元</t>
    </r>
    <r>
      <rPr>
        <sz val="11"/>
        <color theme="1"/>
        <rFont val="Arial"/>
        <family val="2"/>
      </rPr>
      <t>202</t>
    </r>
    <r>
      <rPr>
        <sz val="11"/>
        <color theme="1"/>
        <rFont val="宋体"/>
        <family val="2"/>
        <charset val="134"/>
        <scheme val="minor"/>
      </rPr>
      <t/>
    </r>
  </si>
  <si>
    <r>
      <t>6</t>
    </r>
    <r>
      <rPr>
        <sz val="11"/>
        <color theme="1"/>
        <rFont val="宋体"/>
        <family val="3"/>
        <charset val="134"/>
      </rPr>
      <t>单元</t>
    </r>
    <r>
      <rPr>
        <sz val="11"/>
        <color theme="1"/>
        <rFont val="Arial"/>
        <family val="2"/>
      </rPr>
      <t>203</t>
    </r>
    <r>
      <rPr>
        <sz val="11"/>
        <color theme="1"/>
        <rFont val="宋体"/>
        <family val="2"/>
        <charset val="134"/>
        <scheme val="minor"/>
      </rPr>
      <t/>
    </r>
  </si>
  <si>
    <r>
      <t>6</t>
    </r>
    <r>
      <rPr>
        <sz val="11"/>
        <color theme="1"/>
        <rFont val="宋体"/>
        <family val="3"/>
        <charset val="134"/>
      </rPr>
      <t>单元</t>
    </r>
    <r>
      <rPr>
        <sz val="11"/>
        <color theme="1"/>
        <rFont val="Arial"/>
        <family val="2"/>
      </rPr>
      <t>205</t>
    </r>
    <r>
      <rPr>
        <sz val="11"/>
        <color theme="1"/>
        <rFont val="宋体"/>
        <family val="2"/>
        <charset val="134"/>
        <scheme val="minor"/>
      </rPr>
      <t/>
    </r>
  </si>
  <si>
    <r>
      <t>6</t>
    </r>
    <r>
      <rPr>
        <sz val="11"/>
        <color theme="1"/>
        <rFont val="宋体"/>
        <family val="3"/>
        <charset val="134"/>
      </rPr>
      <t>单元</t>
    </r>
    <r>
      <rPr>
        <sz val="11"/>
        <color theme="1"/>
        <rFont val="Arial"/>
        <family val="2"/>
      </rPr>
      <t>206</t>
    </r>
    <r>
      <rPr>
        <sz val="11"/>
        <color theme="1"/>
        <rFont val="宋体"/>
        <family val="2"/>
        <charset val="134"/>
        <scheme val="minor"/>
      </rPr>
      <t/>
    </r>
  </si>
  <si>
    <r>
      <t>6</t>
    </r>
    <r>
      <rPr>
        <sz val="11"/>
        <color theme="1"/>
        <rFont val="宋体"/>
        <family val="3"/>
        <charset val="134"/>
      </rPr>
      <t>单元</t>
    </r>
    <r>
      <rPr>
        <sz val="11"/>
        <color theme="1"/>
        <rFont val="Arial"/>
        <family val="2"/>
      </rPr>
      <t>207</t>
    </r>
    <r>
      <rPr>
        <sz val="11"/>
        <color theme="1"/>
        <rFont val="宋体"/>
        <family val="2"/>
        <charset val="134"/>
        <scheme val="minor"/>
      </rPr>
      <t/>
    </r>
  </si>
  <si>
    <r>
      <t>6</t>
    </r>
    <r>
      <rPr>
        <sz val="11"/>
        <color theme="1"/>
        <rFont val="宋体"/>
        <family val="3"/>
        <charset val="134"/>
      </rPr>
      <t>单元</t>
    </r>
    <r>
      <rPr>
        <sz val="11"/>
        <color theme="1"/>
        <rFont val="Arial"/>
        <family val="2"/>
      </rPr>
      <t>208</t>
    </r>
    <r>
      <rPr>
        <sz val="11"/>
        <color theme="1"/>
        <rFont val="宋体"/>
        <family val="2"/>
        <charset val="134"/>
        <scheme val="minor"/>
      </rPr>
      <t/>
    </r>
  </si>
  <si>
    <r>
      <t>6</t>
    </r>
    <r>
      <rPr>
        <sz val="11"/>
        <color theme="1"/>
        <rFont val="宋体"/>
        <family val="3"/>
        <charset val="134"/>
      </rPr>
      <t>单元</t>
    </r>
    <r>
      <rPr>
        <sz val="11"/>
        <color theme="1"/>
        <rFont val="Arial"/>
        <family val="2"/>
      </rPr>
      <t>209</t>
    </r>
    <r>
      <rPr>
        <sz val="11"/>
        <color theme="1"/>
        <rFont val="宋体"/>
        <family val="2"/>
        <charset val="134"/>
        <scheme val="minor"/>
      </rPr>
      <t/>
    </r>
  </si>
  <si>
    <r>
      <t>6</t>
    </r>
    <r>
      <rPr>
        <sz val="11"/>
        <color theme="1"/>
        <rFont val="宋体"/>
        <family val="3"/>
        <charset val="134"/>
      </rPr>
      <t>单元</t>
    </r>
    <r>
      <rPr>
        <sz val="11"/>
        <color theme="1"/>
        <rFont val="Arial"/>
        <family val="2"/>
      </rPr>
      <t>808</t>
    </r>
    <phoneticPr fontId="135" type="noConversion"/>
  </si>
  <si>
    <r>
      <t>6</t>
    </r>
    <r>
      <rPr>
        <sz val="11"/>
        <color theme="1"/>
        <rFont val="宋体"/>
        <family val="3"/>
        <charset val="134"/>
      </rPr>
      <t>单元</t>
    </r>
    <r>
      <rPr>
        <sz val="11"/>
        <color theme="1"/>
        <rFont val="Arial"/>
        <family val="2"/>
      </rPr>
      <t>1101</t>
    </r>
    <phoneticPr fontId="135" type="noConversion"/>
  </si>
  <si>
    <r>
      <t>6</t>
    </r>
    <r>
      <rPr>
        <sz val="11"/>
        <color theme="1"/>
        <rFont val="宋体"/>
        <family val="3"/>
        <charset val="134"/>
      </rPr>
      <t>单元</t>
    </r>
    <r>
      <rPr>
        <sz val="11"/>
        <color theme="1"/>
        <rFont val="Arial"/>
        <family val="2"/>
      </rPr>
      <t>1102</t>
    </r>
    <r>
      <rPr>
        <sz val="11"/>
        <color theme="1"/>
        <rFont val="宋体"/>
        <family val="2"/>
        <charset val="134"/>
        <scheme val="minor"/>
      </rPr>
      <t/>
    </r>
  </si>
  <si>
    <r>
      <t>6</t>
    </r>
    <r>
      <rPr>
        <sz val="11"/>
        <color theme="1"/>
        <rFont val="宋体"/>
        <family val="3"/>
        <charset val="134"/>
      </rPr>
      <t>单元</t>
    </r>
    <r>
      <rPr>
        <sz val="11"/>
        <color theme="1"/>
        <rFont val="Arial"/>
        <family val="2"/>
      </rPr>
      <t>1103</t>
    </r>
    <r>
      <rPr>
        <sz val="11"/>
        <color theme="1"/>
        <rFont val="宋体"/>
        <family val="2"/>
        <charset val="134"/>
        <scheme val="minor"/>
      </rPr>
      <t/>
    </r>
  </si>
  <si>
    <r>
      <t>6</t>
    </r>
    <r>
      <rPr>
        <sz val="11"/>
        <color theme="1"/>
        <rFont val="宋体"/>
        <family val="3"/>
        <charset val="134"/>
      </rPr>
      <t>单元</t>
    </r>
    <r>
      <rPr>
        <sz val="11"/>
        <color theme="1"/>
        <rFont val="Arial"/>
        <family val="2"/>
      </rPr>
      <t>1105</t>
    </r>
    <r>
      <rPr>
        <sz val="11"/>
        <color theme="1"/>
        <rFont val="宋体"/>
        <family val="2"/>
        <charset val="134"/>
        <scheme val="minor"/>
      </rPr>
      <t/>
    </r>
  </si>
  <si>
    <r>
      <t>6</t>
    </r>
    <r>
      <rPr>
        <sz val="11"/>
        <color theme="1"/>
        <rFont val="宋体"/>
        <family val="3"/>
        <charset val="134"/>
      </rPr>
      <t>单元</t>
    </r>
    <r>
      <rPr>
        <sz val="11"/>
        <color theme="1"/>
        <rFont val="Arial"/>
        <family val="2"/>
      </rPr>
      <t>1106</t>
    </r>
    <r>
      <rPr>
        <sz val="11"/>
        <color theme="1"/>
        <rFont val="宋体"/>
        <family val="2"/>
        <charset val="134"/>
        <scheme val="minor"/>
      </rPr>
      <t/>
    </r>
  </si>
  <si>
    <r>
      <t>6</t>
    </r>
    <r>
      <rPr>
        <sz val="11"/>
        <color theme="1"/>
        <rFont val="宋体"/>
        <family val="3"/>
        <charset val="134"/>
      </rPr>
      <t>单元</t>
    </r>
    <r>
      <rPr>
        <sz val="11"/>
        <color theme="1"/>
        <rFont val="Arial"/>
        <family val="2"/>
      </rPr>
      <t>1107</t>
    </r>
    <r>
      <rPr>
        <sz val="11"/>
        <color theme="1"/>
        <rFont val="宋体"/>
        <family val="2"/>
        <charset val="134"/>
        <scheme val="minor"/>
      </rPr>
      <t/>
    </r>
  </si>
  <si>
    <r>
      <t>6</t>
    </r>
    <r>
      <rPr>
        <sz val="11"/>
        <color theme="1"/>
        <rFont val="宋体"/>
        <family val="3"/>
        <charset val="134"/>
      </rPr>
      <t>单元</t>
    </r>
    <r>
      <rPr>
        <sz val="11"/>
        <color theme="1"/>
        <rFont val="Arial"/>
        <family val="2"/>
      </rPr>
      <t>1108</t>
    </r>
    <r>
      <rPr>
        <sz val="11"/>
        <color theme="1"/>
        <rFont val="宋体"/>
        <family val="2"/>
        <charset val="134"/>
        <scheme val="minor"/>
      </rPr>
      <t/>
    </r>
  </si>
  <si>
    <r>
      <t>6</t>
    </r>
    <r>
      <rPr>
        <sz val="11"/>
        <color theme="1"/>
        <rFont val="宋体"/>
        <family val="3"/>
        <charset val="134"/>
      </rPr>
      <t>单元</t>
    </r>
    <r>
      <rPr>
        <sz val="11"/>
        <color theme="1"/>
        <rFont val="Arial"/>
        <family val="2"/>
      </rPr>
      <t>1109</t>
    </r>
    <r>
      <rPr>
        <sz val="11"/>
        <color theme="1"/>
        <rFont val="宋体"/>
        <family val="2"/>
        <charset val="134"/>
        <scheme val="minor"/>
      </rPr>
      <t/>
    </r>
  </si>
  <si>
    <r>
      <t>6</t>
    </r>
    <r>
      <rPr>
        <sz val="11"/>
        <color theme="1"/>
        <rFont val="宋体"/>
        <family val="3"/>
        <charset val="134"/>
      </rPr>
      <t>单元</t>
    </r>
    <r>
      <rPr>
        <sz val="11"/>
        <color theme="1"/>
        <rFont val="Arial"/>
        <family val="2"/>
      </rPr>
      <t>1201</t>
    </r>
    <phoneticPr fontId="135" type="noConversion"/>
  </si>
  <si>
    <r>
      <t>6</t>
    </r>
    <r>
      <rPr>
        <sz val="11"/>
        <color theme="1"/>
        <rFont val="宋体"/>
        <family val="3"/>
        <charset val="134"/>
      </rPr>
      <t>单元</t>
    </r>
    <r>
      <rPr>
        <sz val="11"/>
        <color theme="1"/>
        <rFont val="Arial"/>
        <family val="2"/>
      </rPr>
      <t>1202</t>
    </r>
    <r>
      <rPr>
        <sz val="11"/>
        <color theme="1"/>
        <rFont val="宋体"/>
        <family val="2"/>
        <charset val="134"/>
        <scheme val="minor"/>
      </rPr>
      <t/>
    </r>
  </si>
  <si>
    <r>
      <t>6</t>
    </r>
    <r>
      <rPr>
        <sz val="11"/>
        <color theme="1"/>
        <rFont val="宋体"/>
        <family val="3"/>
        <charset val="134"/>
      </rPr>
      <t>单元</t>
    </r>
    <r>
      <rPr>
        <sz val="11"/>
        <color theme="1"/>
        <rFont val="Arial"/>
        <family val="2"/>
      </rPr>
      <t>1203</t>
    </r>
    <r>
      <rPr>
        <sz val="11"/>
        <color theme="1"/>
        <rFont val="宋体"/>
        <family val="2"/>
        <charset val="134"/>
        <scheme val="minor"/>
      </rPr>
      <t/>
    </r>
  </si>
  <si>
    <r>
      <t>6</t>
    </r>
    <r>
      <rPr>
        <sz val="11"/>
        <color theme="1"/>
        <rFont val="宋体"/>
        <family val="3"/>
        <charset val="134"/>
      </rPr>
      <t>单元</t>
    </r>
    <r>
      <rPr>
        <sz val="11"/>
        <color theme="1"/>
        <rFont val="Arial"/>
        <family val="2"/>
      </rPr>
      <t>1205</t>
    </r>
    <phoneticPr fontId="135" type="noConversion"/>
  </si>
  <si>
    <r>
      <t>6</t>
    </r>
    <r>
      <rPr>
        <sz val="11"/>
        <color theme="1"/>
        <rFont val="宋体"/>
        <family val="3"/>
        <charset val="134"/>
      </rPr>
      <t>单元</t>
    </r>
    <r>
      <rPr>
        <sz val="11"/>
        <color theme="1"/>
        <rFont val="Arial"/>
        <family val="2"/>
      </rPr>
      <t>1206</t>
    </r>
    <r>
      <rPr>
        <sz val="11"/>
        <color theme="1"/>
        <rFont val="宋体"/>
        <family val="2"/>
        <charset val="134"/>
        <scheme val="minor"/>
      </rPr>
      <t/>
    </r>
  </si>
  <si>
    <r>
      <t>6</t>
    </r>
    <r>
      <rPr>
        <sz val="11"/>
        <color theme="1"/>
        <rFont val="宋体"/>
        <family val="3"/>
        <charset val="134"/>
      </rPr>
      <t>单元</t>
    </r>
    <r>
      <rPr>
        <sz val="11"/>
        <color theme="1"/>
        <rFont val="Arial"/>
        <family val="2"/>
      </rPr>
      <t>1207</t>
    </r>
    <r>
      <rPr>
        <sz val="11"/>
        <color theme="1"/>
        <rFont val="宋体"/>
        <family val="2"/>
        <charset val="134"/>
        <scheme val="minor"/>
      </rPr>
      <t/>
    </r>
  </si>
  <si>
    <r>
      <t>6</t>
    </r>
    <r>
      <rPr>
        <sz val="11"/>
        <color theme="1"/>
        <rFont val="宋体"/>
        <family val="3"/>
        <charset val="134"/>
      </rPr>
      <t>单元</t>
    </r>
    <r>
      <rPr>
        <sz val="11"/>
        <color theme="1"/>
        <rFont val="Arial"/>
        <family val="2"/>
      </rPr>
      <t>1208</t>
    </r>
    <r>
      <rPr>
        <sz val="11"/>
        <color theme="1"/>
        <rFont val="宋体"/>
        <family val="2"/>
        <charset val="134"/>
        <scheme val="minor"/>
      </rPr>
      <t/>
    </r>
  </si>
  <si>
    <r>
      <t>6</t>
    </r>
    <r>
      <rPr>
        <sz val="11"/>
        <color theme="1"/>
        <rFont val="宋体"/>
        <family val="3"/>
        <charset val="134"/>
      </rPr>
      <t>单元</t>
    </r>
    <r>
      <rPr>
        <sz val="11"/>
        <color theme="1"/>
        <rFont val="Arial"/>
        <family val="2"/>
      </rPr>
      <t>1209</t>
    </r>
    <r>
      <rPr>
        <sz val="11"/>
        <color theme="1"/>
        <rFont val="宋体"/>
        <family val="2"/>
        <charset val="134"/>
        <scheme val="minor"/>
      </rPr>
      <t/>
    </r>
  </si>
  <si>
    <r>
      <t>6</t>
    </r>
    <r>
      <rPr>
        <sz val="11"/>
        <color theme="1"/>
        <rFont val="宋体"/>
        <family val="3"/>
        <charset val="134"/>
      </rPr>
      <t>单元</t>
    </r>
    <r>
      <rPr>
        <sz val="11"/>
        <color theme="1"/>
        <rFont val="Arial"/>
        <family val="2"/>
      </rPr>
      <t>2001</t>
    </r>
    <phoneticPr fontId="135" type="noConversion"/>
  </si>
  <si>
    <r>
      <t>6</t>
    </r>
    <r>
      <rPr>
        <sz val="11"/>
        <color theme="1"/>
        <rFont val="宋体"/>
        <family val="3"/>
        <charset val="134"/>
      </rPr>
      <t>单元</t>
    </r>
    <r>
      <rPr>
        <sz val="11"/>
        <color theme="1"/>
        <rFont val="Arial"/>
        <family val="2"/>
      </rPr>
      <t>2002</t>
    </r>
    <r>
      <rPr>
        <sz val="11"/>
        <color theme="1"/>
        <rFont val="宋体"/>
        <family val="2"/>
        <charset val="134"/>
        <scheme val="minor"/>
      </rPr>
      <t/>
    </r>
  </si>
  <si>
    <r>
      <t>6</t>
    </r>
    <r>
      <rPr>
        <sz val="11"/>
        <color theme="1"/>
        <rFont val="宋体"/>
        <family val="3"/>
        <charset val="134"/>
      </rPr>
      <t>单元</t>
    </r>
    <r>
      <rPr>
        <sz val="11"/>
        <color theme="1"/>
        <rFont val="Arial"/>
        <family val="2"/>
      </rPr>
      <t>2003</t>
    </r>
    <r>
      <rPr>
        <sz val="11"/>
        <color theme="1"/>
        <rFont val="宋体"/>
        <family val="2"/>
        <charset val="134"/>
        <scheme val="minor"/>
      </rPr>
      <t/>
    </r>
  </si>
  <si>
    <r>
      <t>6</t>
    </r>
    <r>
      <rPr>
        <sz val="11"/>
        <color theme="1"/>
        <rFont val="宋体"/>
        <family val="3"/>
        <charset val="134"/>
      </rPr>
      <t>单元</t>
    </r>
    <r>
      <rPr>
        <sz val="11"/>
        <color theme="1"/>
        <rFont val="Arial"/>
        <family val="2"/>
      </rPr>
      <t>2005</t>
    </r>
    <r>
      <rPr>
        <sz val="11"/>
        <color theme="1"/>
        <rFont val="宋体"/>
        <family val="2"/>
        <charset val="134"/>
        <scheme val="minor"/>
      </rPr>
      <t/>
    </r>
  </si>
  <si>
    <r>
      <t>6</t>
    </r>
    <r>
      <rPr>
        <sz val="11"/>
        <color theme="1"/>
        <rFont val="宋体"/>
        <family val="3"/>
        <charset val="134"/>
      </rPr>
      <t>单元</t>
    </r>
    <r>
      <rPr>
        <sz val="11"/>
        <color theme="1"/>
        <rFont val="Arial"/>
        <family val="2"/>
      </rPr>
      <t>2006</t>
    </r>
    <r>
      <rPr>
        <sz val="11"/>
        <color theme="1"/>
        <rFont val="宋体"/>
        <family val="2"/>
        <charset val="134"/>
        <scheme val="minor"/>
      </rPr>
      <t/>
    </r>
  </si>
  <si>
    <r>
      <t>6</t>
    </r>
    <r>
      <rPr>
        <sz val="11"/>
        <color theme="1"/>
        <rFont val="宋体"/>
        <family val="3"/>
        <charset val="134"/>
      </rPr>
      <t>单元</t>
    </r>
    <r>
      <rPr>
        <sz val="11"/>
        <color theme="1"/>
        <rFont val="Arial"/>
        <family val="2"/>
      </rPr>
      <t>2007</t>
    </r>
    <r>
      <rPr>
        <sz val="11"/>
        <color theme="1"/>
        <rFont val="宋体"/>
        <family val="2"/>
        <charset val="134"/>
        <scheme val="minor"/>
      </rPr>
      <t/>
    </r>
  </si>
  <si>
    <r>
      <t>6</t>
    </r>
    <r>
      <rPr>
        <sz val="11"/>
        <color theme="1"/>
        <rFont val="宋体"/>
        <family val="3"/>
        <charset val="134"/>
      </rPr>
      <t>单元</t>
    </r>
    <r>
      <rPr>
        <sz val="11"/>
        <color theme="1"/>
        <rFont val="Arial"/>
        <family val="2"/>
      </rPr>
      <t>2008</t>
    </r>
    <r>
      <rPr>
        <sz val="11"/>
        <color theme="1"/>
        <rFont val="宋体"/>
        <family val="2"/>
        <charset val="134"/>
        <scheme val="minor"/>
      </rPr>
      <t/>
    </r>
  </si>
  <si>
    <r>
      <t>6</t>
    </r>
    <r>
      <rPr>
        <sz val="11"/>
        <color theme="1"/>
        <rFont val="宋体"/>
        <family val="3"/>
        <charset val="134"/>
      </rPr>
      <t>单元</t>
    </r>
    <r>
      <rPr>
        <sz val="11"/>
        <color theme="1"/>
        <rFont val="Arial"/>
        <family val="2"/>
      </rPr>
      <t>2009</t>
    </r>
    <r>
      <rPr>
        <sz val="11"/>
        <color theme="1"/>
        <rFont val="宋体"/>
        <family val="2"/>
        <charset val="134"/>
        <scheme val="minor"/>
      </rPr>
      <t/>
    </r>
  </si>
  <si>
    <r>
      <t>6</t>
    </r>
    <r>
      <rPr>
        <sz val="11"/>
        <color theme="1"/>
        <rFont val="宋体"/>
        <family val="3"/>
        <charset val="134"/>
      </rPr>
      <t>单元</t>
    </r>
    <r>
      <rPr>
        <sz val="11"/>
        <color theme="1"/>
        <rFont val="Arial"/>
        <family val="2"/>
      </rPr>
      <t>2101</t>
    </r>
    <phoneticPr fontId="135" type="noConversion"/>
  </si>
  <si>
    <r>
      <t>6</t>
    </r>
    <r>
      <rPr>
        <sz val="11"/>
        <color theme="1"/>
        <rFont val="宋体"/>
        <family val="3"/>
        <charset val="134"/>
      </rPr>
      <t>单元</t>
    </r>
    <r>
      <rPr>
        <sz val="11"/>
        <color theme="1"/>
        <rFont val="Arial"/>
        <family val="2"/>
      </rPr>
      <t>2102</t>
    </r>
    <r>
      <rPr>
        <sz val="11"/>
        <color theme="1"/>
        <rFont val="宋体"/>
        <family val="2"/>
        <charset val="134"/>
        <scheme val="minor"/>
      </rPr>
      <t/>
    </r>
  </si>
  <si>
    <r>
      <t>6</t>
    </r>
    <r>
      <rPr>
        <sz val="11"/>
        <color theme="1"/>
        <rFont val="宋体"/>
        <family val="3"/>
        <charset val="134"/>
      </rPr>
      <t>单元</t>
    </r>
    <r>
      <rPr>
        <sz val="11"/>
        <color theme="1"/>
        <rFont val="Arial"/>
        <family val="2"/>
      </rPr>
      <t>2103</t>
    </r>
    <r>
      <rPr>
        <sz val="11"/>
        <color theme="1"/>
        <rFont val="宋体"/>
        <family val="2"/>
        <charset val="134"/>
        <scheme val="minor"/>
      </rPr>
      <t/>
    </r>
  </si>
  <si>
    <r>
      <t>6</t>
    </r>
    <r>
      <rPr>
        <sz val="11"/>
        <color theme="1"/>
        <rFont val="宋体"/>
        <family val="3"/>
        <charset val="134"/>
      </rPr>
      <t>单元</t>
    </r>
    <r>
      <rPr>
        <sz val="11"/>
        <color theme="1"/>
        <rFont val="Arial"/>
        <family val="2"/>
      </rPr>
      <t>2105</t>
    </r>
    <r>
      <rPr>
        <sz val="11"/>
        <color theme="1"/>
        <rFont val="宋体"/>
        <family val="2"/>
        <charset val="134"/>
        <scheme val="minor"/>
      </rPr>
      <t/>
    </r>
  </si>
  <si>
    <r>
      <t>6</t>
    </r>
    <r>
      <rPr>
        <sz val="11"/>
        <color theme="1"/>
        <rFont val="宋体"/>
        <family val="3"/>
        <charset val="134"/>
      </rPr>
      <t>单元</t>
    </r>
    <r>
      <rPr>
        <sz val="11"/>
        <color theme="1"/>
        <rFont val="Arial"/>
        <family val="2"/>
      </rPr>
      <t>2106</t>
    </r>
    <r>
      <rPr>
        <sz val="11"/>
        <color theme="1"/>
        <rFont val="宋体"/>
        <family val="2"/>
        <charset val="134"/>
        <scheme val="minor"/>
      </rPr>
      <t/>
    </r>
  </si>
  <si>
    <r>
      <t>6</t>
    </r>
    <r>
      <rPr>
        <sz val="11"/>
        <color theme="1"/>
        <rFont val="宋体"/>
        <family val="3"/>
        <charset val="134"/>
      </rPr>
      <t>单元</t>
    </r>
    <r>
      <rPr>
        <sz val="11"/>
        <color theme="1"/>
        <rFont val="Arial"/>
        <family val="2"/>
      </rPr>
      <t>2107</t>
    </r>
    <r>
      <rPr>
        <sz val="11"/>
        <color theme="1"/>
        <rFont val="宋体"/>
        <family val="2"/>
        <charset val="134"/>
        <scheme val="minor"/>
      </rPr>
      <t/>
    </r>
  </si>
  <si>
    <r>
      <t>6</t>
    </r>
    <r>
      <rPr>
        <sz val="11"/>
        <color theme="1"/>
        <rFont val="宋体"/>
        <family val="3"/>
        <charset val="134"/>
      </rPr>
      <t>单元</t>
    </r>
    <r>
      <rPr>
        <sz val="11"/>
        <color theme="1"/>
        <rFont val="Arial"/>
        <family val="2"/>
      </rPr>
      <t>2108</t>
    </r>
    <r>
      <rPr>
        <sz val="11"/>
        <color theme="1"/>
        <rFont val="宋体"/>
        <family val="2"/>
        <charset val="134"/>
        <scheme val="minor"/>
      </rPr>
      <t/>
    </r>
  </si>
  <si>
    <r>
      <t>6</t>
    </r>
    <r>
      <rPr>
        <sz val="11"/>
        <color theme="1"/>
        <rFont val="宋体"/>
        <family val="3"/>
        <charset val="134"/>
      </rPr>
      <t>单元</t>
    </r>
    <r>
      <rPr>
        <sz val="11"/>
        <color theme="1"/>
        <rFont val="Arial"/>
        <family val="2"/>
      </rPr>
      <t>2109</t>
    </r>
    <r>
      <rPr>
        <sz val="11"/>
        <color theme="1"/>
        <rFont val="宋体"/>
        <family val="2"/>
        <charset val="134"/>
        <scheme val="minor"/>
      </rPr>
      <t/>
    </r>
  </si>
  <si>
    <r>
      <t>3</t>
    </r>
    <r>
      <rPr>
        <sz val="11"/>
        <color theme="1"/>
        <rFont val="宋体"/>
        <family val="3"/>
        <charset val="134"/>
      </rPr>
      <t>单元</t>
    </r>
    <r>
      <rPr>
        <sz val="11"/>
        <color theme="1"/>
        <rFont val="Arial"/>
        <family val="2"/>
      </rPr>
      <t>103</t>
    </r>
    <phoneticPr fontId="135" type="noConversion"/>
  </si>
  <si>
    <t>办公小计</t>
    <phoneticPr fontId="135" type="noConversion"/>
  </si>
  <si>
    <r>
      <t>3</t>
    </r>
    <r>
      <rPr>
        <sz val="11"/>
        <color theme="1"/>
        <rFont val="宋体"/>
        <family val="3"/>
        <charset val="134"/>
      </rPr>
      <t>单元</t>
    </r>
    <r>
      <rPr>
        <sz val="11"/>
        <color theme="1"/>
        <rFont val="Arial"/>
        <family val="2"/>
      </rPr>
      <t>105</t>
    </r>
    <phoneticPr fontId="135" type="noConversion"/>
  </si>
  <si>
    <r>
      <t>1</t>
    </r>
    <r>
      <rPr>
        <sz val="11"/>
        <color theme="1"/>
        <rFont val="宋体"/>
        <family val="3"/>
        <charset val="134"/>
      </rPr>
      <t>单元</t>
    </r>
    <r>
      <rPr>
        <sz val="11"/>
        <color theme="1"/>
        <rFont val="Arial"/>
        <family val="2"/>
      </rPr>
      <t>101</t>
    </r>
    <phoneticPr fontId="135" type="noConversion"/>
  </si>
  <si>
    <r>
      <t>1</t>
    </r>
    <r>
      <rPr>
        <sz val="11"/>
        <color theme="1"/>
        <rFont val="宋体"/>
        <family val="3"/>
        <charset val="134"/>
      </rPr>
      <t>单元</t>
    </r>
    <r>
      <rPr>
        <sz val="11"/>
        <color theme="1"/>
        <rFont val="Arial"/>
        <family val="2"/>
      </rPr>
      <t>102</t>
    </r>
    <r>
      <rPr>
        <sz val="11"/>
        <color theme="1"/>
        <rFont val="宋体"/>
        <family val="2"/>
        <charset val="134"/>
        <scheme val="minor"/>
      </rPr>
      <t/>
    </r>
  </si>
  <si>
    <r>
      <t>1</t>
    </r>
    <r>
      <rPr>
        <sz val="11"/>
        <color theme="1"/>
        <rFont val="宋体"/>
        <family val="3"/>
        <charset val="134"/>
      </rPr>
      <t>单元</t>
    </r>
    <r>
      <rPr>
        <sz val="11"/>
        <color theme="1"/>
        <rFont val="Arial"/>
        <family val="2"/>
      </rPr>
      <t>103</t>
    </r>
    <r>
      <rPr>
        <sz val="11"/>
        <color theme="1"/>
        <rFont val="宋体"/>
        <family val="2"/>
        <charset val="134"/>
        <scheme val="minor"/>
      </rPr>
      <t/>
    </r>
  </si>
  <si>
    <r>
      <t>1</t>
    </r>
    <r>
      <rPr>
        <sz val="11"/>
        <color theme="1"/>
        <rFont val="宋体"/>
        <family val="3"/>
        <charset val="134"/>
      </rPr>
      <t>单元</t>
    </r>
    <r>
      <rPr>
        <sz val="11"/>
        <color theme="1"/>
        <rFont val="Arial"/>
        <family val="2"/>
      </rPr>
      <t>105</t>
    </r>
    <r>
      <rPr>
        <sz val="11"/>
        <color theme="1"/>
        <rFont val="宋体"/>
        <family val="2"/>
        <charset val="134"/>
        <scheme val="minor"/>
      </rPr>
      <t/>
    </r>
  </si>
  <si>
    <r>
      <t>1</t>
    </r>
    <r>
      <rPr>
        <sz val="11"/>
        <color theme="1"/>
        <rFont val="宋体"/>
        <family val="3"/>
        <charset val="134"/>
      </rPr>
      <t>单元</t>
    </r>
    <r>
      <rPr>
        <sz val="11"/>
        <color theme="1"/>
        <rFont val="Arial"/>
        <family val="2"/>
      </rPr>
      <t>106</t>
    </r>
    <r>
      <rPr>
        <sz val="11"/>
        <color theme="1"/>
        <rFont val="宋体"/>
        <family val="2"/>
        <charset val="134"/>
        <scheme val="minor"/>
      </rPr>
      <t/>
    </r>
  </si>
  <si>
    <r>
      <t>6</t>
    </r>
    <r>
      <rPr>
        <sz val="11"/>
        <color theme="1"/>
        <rFont val="宋体"/>
        <family val="3"/>
        <charset val="134"/>
      </rPr>
      <t>单元</t>
    </r>
    <r>
      <rPr>
        <sz val="11"/>
        <color theme="1"/>
        <rFont val="Arial"/>
        <family val="2"/>
      </rPr>
      <t>101</t>
    </r>
    <phoneticPr fontId="135" type="noConversion"/>
  </si>
  <si>
    <r>
      <t>6</t>
    </r>
    <r>
      <rPr>
        <sz val="11"/>
        <color theme="1"/>
        <rFont val="宋体"/>
        <family val="3"/>
        <charset val="134"/>
      </rPr>
      <t>单元</t>
    </r>
    <r>
      <rPr>
        <sz val="11"/>
        <color theme="1"/>
        <rFont val="Arial"/>
        <family val="2"/>
      </rPr>
      <t>102</t>
    </r>
    <r>
      <rPr>
        <sz val="11"/>
        <color theme="1"/>
        <rFont val="宋体"/>
        <family val="2"/>
        <charset val="134"/>
        <scheme val="minor"/>
      </rPr>
      <t/>
    </r>
  </si>
  <si>
    <r>
      <t>6</t>
    </r>
    <r>
      <rPr>
        <sz val="11"/>
        <color theme="1"/>
        <rFont val="宋体"/>
        <family val="3"/>
        <charset val="134"/>
      </rPr>
      <t>单元</t>
    </r>
    <r>
      <rPr>
        <sz val="11"/>
        <color theme="1"/>
        <rFont val="Arial"/>
        <family val="2"/>
      </rPr>
      <t>103</t>
    </r>
    <r>
      <rPr>
        <sz val="11"/>
        <color theme="1"/>
        <rFont val="宋体"/>
        <family val="2"/>
        <charset val="134"/>
        <scheme val="minor"/>
      </rPr>
      <t/>
    </r>
  </si>
  <si>
    <t>商业</t>
    <phoneticPr fontId="135" type="noConversion"/>
  </si>
  <si>
    <r>
      <t>2</t>
    </r>
    <r>
      <rPr>
        <sz val="11"/>
        <color theme="1"/>
        <rFont val="宋体"/>
        <family val="3"/>
        <charset val="134"/>
      </rPr>
      <t>单元</t>
    </r>
    <r>
      <rPr>
        <sz val="11"/>
        <color theme="1"/>
        <rFont val="Arial"/>
        <family val="2"/>
      </rPr>
      <t>1615</t>
    </r>
    <phoneticPr fontId="135" type="noConversion"/>
  </si>
  <si>
    <r>
      <t>2</t>
    </r>
    <r>
      <rPr>
        <sz val="11"/>
        <color theme="1"/>
        <rFont val="宋体"/>
        <family val="3"/>
        <charset val="134"/>
      </rPr>
      <t>单元</t>
    </r>
    <r>
      <rPr>
        <sz val="11"/>
        <color theme="1"/>
        <rFont val="Arial"/>
        <family val="2"/>
      </rPr>
      <t>1617</t>
    </r>
    <phoneticPr fontId="135" type="noConversion"/>
  </si>
  <si>
    <t>地上</t>
  </si>
  <si>
    <t>是</t>
  </si>
  <si>
    <t>估价对象位于西直门商圈，周边商业氛围成熟，有凯德MALL、华联购物中心等，人流量较大，商业繁华度较好</t>
  </si>
  <si>
    <t>估价对象周边办公楼项目较多，有金泰鑫侨大厦、阳光大厦、德宝大厦，入驻率较高，办公集聚程度较好</t>
  </si>
  <si>
    <t>估价对象周边道路状况较好、有7、16、105等公交线路及地铁2、4号线经过，公共交通通达情况较好、停车便捷程度一般，综合评价交通便捷度较好</t>
  </si>
  <si>
    <t>估价对象所在区域公共配套设施齐备情况较好</t>
  </si>
  <si>
    <t>估价对象所在区域基础设施水平七通</t>
  </si>
  <si>
    <t>区域自然环境：北京动物园、官园公园；人文环境：北京天文馆、北京建筑大学；综合评价环境状况较好</t>
  </si>
  <si>
    <t>主干道-西直门外大街</t>
  </si>
  <si>
    <t>金贸大厦</t>
    <phoneticPr fontId="4" type="noConversion"/>
  </si>
  <si>
    <t>正常</t>
  </si>
  <si>
    <t>报价</t>
  </si>
  <si>
    <t>报价</t>
    <phoneticPr fontId="32" type="noConversion"/>
  </si>
  <si>
    <t>单套模式</t>
  </si>
  <si>
    <t>售价</t>
  </si>
  <si>
    <t>办公</t>
    <phoneticPr fontId="32" type="noConversion"/>
  </si>
  <si>
    <t>较好</t>
  </si>
  <si>
    <t>七通</t>
  </si>
  <si>
    <t>西直门外大街</t>
    <phoneticPr fontId="4" type="noConversion"/>
  </si>
  <si>
    <t>西直门外大街</t>
    <phoneticPr fontId="4" type="noConversion"/>
  </si>
  <si>
    <t>西直门外大街</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</si>
  <si>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</si>
  <si>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</si>
  <si>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</si>
  <si>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</si>
  <si>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</si>
  <si>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</si>
  <si>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</si>
  <si>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</si>
  <si>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主干道</t>
  </si>
  <si>
    <t>低区</t>
  </si>
  <si>
    <t>标准写字楼</t>
    <phoneticPr fontId="4" type="noConversion"/>
  </si>
  <si>
    <t>高层建筑</t>
    <phoneticPr fontId="4" type="noConversion"/>
  </si>
  <si>
    <t>钢混</t>
    <phoneticPr fontId="4" type="noConversion"/>
  </si>
  <si>
    <t>精装修</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</si>
  <si>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</si>
  <si>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</si>
  <si>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</si>
  <si>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</si>
  <si>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</si>
  <si>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</si>
  <si>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</si>
  <si>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</si>
  <si>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</si>
  <si>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</si>
  <si>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</si>
  <si>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</si>
  <si>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</si>
  <si>
    <t>超高层高</t>
    <phoneticPr fontId="32" type="noConversion"/>
  </si>
  <si>
    <t>可餐饮</t>
  </si>
  <si>
    <t>可餐饮</t>
    <phoneticPr fontId="31" type="noConversion"/>
  </si>
  <si>
    <t>不可餐饮</t>
  </si>
  <si>
    <t>不可餐饮</t>
    <phoneticPr fontId="31" type="noConversion"/>
  </si>
  <si>
    <t>钢混</t>
    <phoneticPr fontId="4" type="noConversion"/>
  </si>
  <si>
    <t>配套商业</t>
    <phoneticPr fontId="4"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</si>
  <si>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</si>
  <si>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</si>
  <si>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</si>
  <si>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</si>
  <si>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</si>
  <si>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好</t>
  </si>
  <si>
    <t>一般</t>
  </si>
  <si>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</si>
  <si>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</si>
  <si>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</si>
  <si>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</si>
  <si>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</si>
  <si>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</si>
  <si>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</si>
  <si>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高层建筑</t>
  </si>
  <si>
    <t>钢混</t>
  </si>
  <si>
    <t>精装修</t>
  </si>
  <si>
    <t>乙级</t>
  </si>
  <si>
    <t>专业</t>
  </si>
  <si>
    <t>五通</t>
  </si>
  <si>
    <t>标准</t>
  </si>
  <si>
    <t>普装</t>
  </si>
  <si>
    <t>商业小计</t>
    <phoneticPr fontId="135" type="noConversion"/>
  </si>
  <si>
    <t>规划用途</t>
    <phoneticPr fontId="135" type="noConversion"/>
  </si>
  <si>
    <t>办公</t>
    <phoneticPr fontId="8" type="noConversion"/>
  </si>
  <si>
    <t>商业</t>
    <phoneticPr fontId="8" type="noConversion"/>
  </si>
  <si>
    <t>成新度</t>
  </si>
  <si>
    <t>收益法 (元)</t>
  </si>
  <si>
    <t>收益法商业</t>
  </si>
  <si>
    <t>收益法商业</t>
    <phoneticPr fontId="17" type="noConversion"/>
  </si>
  <si>
    <t>中区</t>
  </si>
  <si>
    <t>非生产用房</t>
  </si>
  <si>
    <t>否</t>
  </si>
  <si>
    <t>现房</t>
  </si>
  <si>
    <t>项目局部</t>
  </si>
  <si>
    <t>比较法-办公</t>
  </si>
  <si>
    <t>实际用途</t>
    <phoneticPr fontId="135" type="noConversion"/>
  </si>
  <si>
    <t>公寓</t>
  </si>
  <si>
    <t>公寓</t>
    <phoneticPr fontId="135" type="noConversion"/>
  </si>
  <si>
    <t>毛坯</t>
  </si>
  <si>
    <r>
      <rPr>
        <sz val="11"/>
        <color theme="1"/>
        <rFont val="宋体"/>
        <family val="3"/>
        <charset val="134"/>
      </rPr>
      <t>毛坯</t>
    </r>
    <phoneticPr fontId="135" type="noConversion"/>
  </si>
  <si>
    <t>现状用途</t>
    <phoneticPr fontId="32" type="noConversion"/>
  </si>
  <si>
    <t>公寓</t>
    <phoneticPr fontId="32" type="noConversion"/>
  </si>
  <si>
    <t>办公</t>
    <phoneticPr fontId="32" type="noConversion"/>
  </si>
  <si>
    <t>高区</t>
  </si>
  <si>
    <t>楼层</t>
    <phoneticPr fontId="4" type="noConversion"/>
  </si>
  <si>
    <t>装修</t>
    <phoneticPr fontId="4" type="noConversion"/>
  </si>
  <si>
    <t>简装</t>
  </si>
  <si>
    <t>现状用途</t>
    <phoneticPr fontId="4" type="noConversion"/>
  </si>
  <si>
    <t>收益比率</t>
  </si>
  <si>
    <t>押一</t>
  </si>
  <si>
    <t>总价</t>
  </si>
  <si>
    <t>商业</t>
    <phoneticPr fontId="31" type="noConversion"/>
  </si>
  <si>
    <t>单面临街</t>
  </si>
  <si>
    <t>浙商银行</t>
    <phoneticPr fontId="135" type="noConversion"/>
  </si>
  <si>
    <t>浦发银行</t>
    <phoneticPr fontId="135" type="noConversion"/>
  </si>
  <si>
    <t>链家</t>
    <phoneticPr fontId="135" type="noConversion"/>
  </si>
  <si>
    <t>餐厅</t>
    <phoneticPr fontId="135" type="noConversion"/>
  </si>
  <si>
    <t>蛋糕房</t>
    <phoneticPr fontId="135" type="noConversion"/>
  </si>
  <si>
    <t>基金会</t>
    <phoneticPr fontId="135" type="noConversion"/>
  </si>
  <si>
    <t>人寿</t>
    <phoneticPr fontId="135" type="noConversion"/>
  </si>
  <si>
    <t>较大</t>
  </si>
  <si>
    <t>配套商业</t>
  </si>
  <si>
    <t>六通</t>
  </si>
  <si>
    <t>新街口西里一区底商</t>
    <phoneticPr fontId="4" type="noConversion"/>
  </si>
  <si>
    <t>标准</t>
    <phoneticPr fontId="31" type="noConversion"/>
  </si>
  <si>
    <t>较好</t>
    <phoneticPr fontId="31" type="noConversion"/>
  </si>
  <si>
    <t>比较法-商业</t>
  </si>
  <si>
    <t>可视性</t>
    <phoneticPr fontId="135" type="noConversion"/>
  </si>
  <si>
    <t>人流量</t>
    <phoneticPr fontId="4" type="noConversion"/>
  </si>
  <si>
    <t>大</t>
  </si>
  <si>
    <t>较小</t>
  </si>
  <si>
    <t>小</t>
  </si>
  <si>
    <t>紫御府底商</t>
    <phoneticPr fontId="4" type="noConversion"/>
  </si>
  <si>
    <t>高第小区底商</t>
    <phoneticPr fontId="4" type="noConversion"/>
  </si>
  <si>
    <t>利息：取LPR加浮动点数</t>
  </si>
  <si>
    <t>——</t>
    <phoneticPr fontId="135" type="noConversion"/>
  </si>
  <si>
    <t>标准</t>
    <phoneticPr fontId="32" type="noConversion"/>
  </si>
  <si>
    <t>房地产价值（万元）</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</si>
</sst>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48" fillId="0" borderId="1" xfId="0" applyFont="1" applyBorder="1" applyAlignment="1" applyProtection="1">
      <alignment horizontal="left" vertical="center" wrapText="1"/>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54" xfId="0" applyFont="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0" fontId="45" fillId="0" borderId="37" xfId="0" applyNumberFormat="1" applyFont="1" applyBorder="1" applyAlignment="1" applyProtection="1">
      <alignment horizontal="center" vertical="center" wrapText="1"/>
      <protection locked="0"/>
    </xf>
    <xf numFmtId="0" fontId="99" fillId="0" borderId="15" xfId="0" applyFont="1" applyBorder="1" applyAlignment="1">
      <alignment horizontal="left" vertical="center"/>
    </xf>
    <xf numFmtId="0" fontId="129" fillId="0" borderId="5" xfId="0" applyFont="1" applyBorder="1" applyAlignment="1" applyProtection="1">
      <alignment horizontal="center" vertical="center" wrapText="1"/>
      <protection locked="0"/>
    </xf>
    <xf numFmtId="0" fontId="129" fillId="0" borderId="37" xfId="0" applyFont="1" applyBorder="1" applyAlignment="1" applyProtection="1">
      <alignment horizontal="center" vertical="center" wrapText="1"/>
      <protection locked="0"/>
    </xf>
    <xf numFmtId="0" fontId="223" fillId="0" borderId="18" xfId="0" applyFont="1" applyBorder="1" applyAlignment="1" applyProtection="1">
      <alignment horizontal="center" vertical="center" wrapText="1"/>
      <protection locked="0"/>
    </xf>
    <xf numFmtId="0" fontId="223" fillId="0" borderId="108" xfId="0" applyFont="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61" fillId="7" borderId="0" xfId="0" applyFont="1" applyFill="1" applyAlignment="1" applyProtection="1">
      <alignment horizontal="left" vertical="center"/>
      <protection locked="0"/>
    </xf>
    <xf numFmtId="0" fontId="99" fillId="0" borderId="1" xfId="0" applyFont="1" applyBorder="1" applyAlignment="1">
      <alignment horizontal="left" vertical="center"/>
    </xf>
    <xf numFmtId="0" fontId="115" fillId="0" borderId="1" xfId="0" applyFont="1" applyBorder="1" applyAlignment="1">
      <alignment horizontal="left" vertical="center"/>
    </xf>
    <xf numFmtId="0" fontId="115" fillId="0" borderId="0" xfId="0" applyFont="1">
      <alignment vertical="center"/>
    </xf>
    <xf numFmtId="0" fontId="115" fillId="0" borderId="0" xfId="0" applyFont="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115" fillId="0" borderId="5" xfId="0" applyFont="1" applyBorder="1" applyAlignment="1">
      <alignment horizontal="left" vertical="center"/>
    </xf>
    <xf numFmtId="0" fontId="99" fillId="0" borderId="54" xfId="0" applyFont="1" applyBorder="1" applyAlignment="1">
      <alignment horizontal="left" vertical="center"/>
    </xf>
    <xf numFmtId="0" fontId="99" fillId="0" borderId="3" xfId="0" applyFont="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3&#24180;/2023-1-0374&#37329;&#36152;&#22823;&#21414;/P0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崔锴（注册号：1120100036)、郑燚（注册号：1120070131)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估价对象为北京市房地产，为所有。根据《国有土地使用证》[]，估价对象（分摊）出让国有建设用地使用权面积为2389.9平方米，建筑面积为391.32平方米。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估价对象为北京市房地产,属开发建设的，该项目尚在开发建设中。根据《国有土地使用证》[]，估价对象（分摊）出让国有建设用地使用权面积为2389.9平方米，规划建筑面积为391.32平方米。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2023年5月19日（评估专业人员实地查勘之日）</v>
      </c>
    </row>
    <row r="13" spans="1:2">
      <c r="A13" s="1118" t="s">
        <v>529</v>
      </c>
      <c r="B13" s="1119"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527</v>
      </c>
    </row>
    <row r="21" spans="1:2">
      <c r="A21" s="1118" t="s">
        <v>537</v>
      </c>
      <c r="B21" s="1119">
        <f ca="1">'预评函-2'!D7</f>
        <v>48585</v>
      </c>
    </row>
    <row r="22" spans="1:2">
      <c r="A22" s="1118" t="s">
        <v>538</v>
      </c>
      <c r="B22" s="1119" t="str">
        <f ca="1">'预评函-2'!D6</f>
        <v>伍佰贰拾柒万元整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527</v>
      </c>
    </row>
    <row r="31" spans="1:2">
      <c r="A31" s="1118" t="s">
        <v>576</v>
      </c>
      <c r="B31" s="1119">
        <f ca="1">'预评函-2'!D15</f>
        <v>48585</v>
      </c>
    </row>
    <row r="32" spans="1:2">
      <c r="A32" s="1118" t="s">
        <v>543</v>
      </c>
      <c r="B32" s="1119" t="str">
        <f ca="1">'预评函-2'!D14</f>
        <v>伍佰贰拾柒万元整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391.32000000000005</v>
      </c>
    </row>
    <row r="44" spans="1:2">
      <c r="A44" s="1118" t="s">
        <v>575</v>
      </c>
      <c r="B44" s="1119" t="str">
        <f>'预评函-3'!C2</f>
        <v>(分摊)土地面积</v>
      </c>
    </row>
    <row r="45" spans="1:2">
      <c r="A45" s="1118" t="s">
        <v>547</v>
      </c>
      <c r="B45" s="1119">
        <f>'预评函-3'!C4</f>
        <v>2389.9</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崔锴</v>
      </c>
    </row>
    <row r="71" spans="1:2">
      <c r="A71" s="1118" t="s">
        <v>563</v>
      </c>
      <c r="B71" s="1119">
        <f ca="1">'预评函-4'!B4</f>
        <v>1120100036</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3347</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3333</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3334</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3335</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42" t="s">
        <v>3588</v>
      </c>
      <c r="C5" s="1440" t="s">
        <v>318</v>
      </c>
      <c r="F5" s="1441" t="s">
        <v>1015</v>
      </c>
      <c r="G5" s="1441">
        <v>70</v>
      </c>
      <c r="H5" s="1441" t="s">
        <v>1016</v>
      </c>
      <c r="I5" s="1441" t="s">
        <v>3336</v>
      </c>
      <c r="K5" s="1441" t="s">
        <v>1017</v>
      </c>
      <c r="L5" s="1441" t="s">
        <v>1017</v>
      </c>
      <c r="M5" s="1441" t="s">
        <v>1017</v>
      </c>
      <c r="N5" s="1441" t="s">
        <v>1017</v>
      </c>
      <c r="O5" s="1441" t="s">
        <v>1017</v>
      </c>
      <c r="P5" s="1441" t="s">
        <v>1017</v>
      </c>
      <c r="Q5" s="1441" t="s">
        <v>1017</v>
      </c>
      <c r="R5" s="1441" t="s">
        <v>445</v>
      </c>
      <c r="S5" s="1441" t="s">
        <v>1017</v>
      </c>
      <c r="T5" s="1441" t="s">
        <v>1018</v>
      </c>
      <c r="U5" s="1441" t="s">
        <v>1017</v>
      </c>
      <c r="W5" s="1441" t="s">
        <v>1017</v>
      </c>
    </row>
    <row r="6" spans="1:23">
      <c r="A6" s="1439" t="s">
        <v>1019</v>
      </c>
      <c r="B6" s="1442" t="s">
        <v>449</v>
      </c>
      <c r="C6" s="1444" t="s">
        <v>24</v>
      </c>
      <c r="F6" s="1441" t="s">
        <v>1016</v>
      </c>
      <c r="H6" s="1441" t="s">
        <v>1020</v>
      </c>
      <c r="I6" s="1441" t="s">
        <v>3337</v>
      </c>
      <c r="K6" s="1441" t="s">
        <v>1021</v>
      </c>
      <c r="L6" s="1441" t="s">
        <v>1021</v>
      </c>
      <c r="M6" s="1441" t="s">
        <v>1021</v>
      </c>
      <c r="N6" s="1441" t="s">
        <v>1021</v>
      </c>
      <c r="O6" s="1441" t="s">
        <v>1021</v>
      </c>
      <c r="P6" s="1441" t="s">
        <v>1021</v>
      </c>
      <c r="Q6" s="1441" t="s">
        <v>1021</v>
      </c>
      <c r="R6" s="1441" t="s">
        <v>446</v>
      </c>
      <c r="S6" s="1441" t="s">
        <v>1021</v>
      </c>
      <c r="T6" s="1441"/>
      <c r="U6" s="1441" t="s">
        <v>1021</v>
      </c>
      <c r="W6" s="1441" t="s">
        <v>1021</v>
      </c>
    </row>
    <row r="7" spans="1:23">
      <c r="A7" s="1439" t="s">
        <v>1022</v>
      </c>
      <c r="B7" s="1442" t="s">
        <v>450</v>
      </c>
      <c r="C7" s="1440" t="s">
        <v>25</v>
      </c>
      <c r="F7" s="1441" t="s">
        <v>1023</v>
      </c>
      <c r="H7" s="1441" t="s">
        <v>1024</v>
      </c>
      <c r="I7" s="1441" t="s">
        <v>3338</v>
      </c>
    </row>
    <row r="8" spans="1:23">
      <c r="A8" s="1439" t="s">
        <v>1025</v>
      </c>
      <c r="B8" s="1439" t="s">
        <v>1026</v>
      </c>
      <c r="C8" s="1440" t="s">
        <v>319</v>
      </c>
      <c r="F8" s="1441" t="s">
        <v>1027</v>
      </c>
      <c r="H8" s="1441" t="s">
        <v>2571</v>
      </c>
      <c r="I8" s="1441" t="s">
        <v>3339</v>
      </c>
    </row>
    <row r="9" spans="1:23">
      <c r="A9" s="1439" t="s">
        <v>1028</v>
      </c>
      <c r="B9" s="1439" t="s">
        <v>1029</v>
      </c>
      <c r="C9" s="1440" t="s">
        <v>320</v>
      </c>
      <c r="F9" s="1441" t="s">
        <v>1030</v>
      </c>
      <c r="H9" s="1441"/>
      <c r="I9" s="1443" t="s">
        <v>3340</v>
      </c>
    </row>
    <row r="10" spans="1:23">
      <c r="A10" s="1439" t="s">
        <v>1031</v>
      </c>
      <c r="B10" s="1439" t="s">
        <v>1032</v>
      </c>
      <c r="C10" s="1440" t="s">
        <v>321</v>
      </c>
      <c r="F10" s="1441" t="s">
        <v>2572</v>
      </c>
      <c r="I10" s="1443" t="s">
        <v>3341</v>
      </c>
    </row>
    <row r="11" spans="1:23">
      <c r="A11" s="1439" t="s">
        <v>1033</v>
      </c>
      <c r="B11" s="1439" t="s">
        <v>1034</v>
      </c>
      <c r="C11" s="1440" t="s">
        <v>322</v>
      </c>
      <c r="F11" s="1441" t="s">
        <v>13</v>
      </c>
      <c r="I11" s="1443" t="s">
        <v>3342</v>
      </c>
    </row>
    <row r="12" spans="1:23">
      <c r="A12" s="1439" t="s">
        <v>1035</v>
      </c>
      <c r="B12" s="1439" t="s">
        <v>1036</v>
      </c>
      <c r="C12" s="1440" t="s">
        <v>323</v>
      </c>
      <c r="I12" s="1443" t="s">
        <v>3343</v>
      </c>
    </row>
    <row r="13" spans="1:23">
      <c r="A13" s="1439" t="s">
        <v>1037</v>
      </c>
      <c r="B13" s="1439" t="s">
        <v>1038</v>
      </c>
      <c r="C13" s="1440" t="s">
        <v>324</v>
      </c>
      <c r="I13" s="1443" t="s">
        <v>3344</v>
      </c>
    </row>
    <row r="14" spans="1:23">
      <c r="A14" s="1439" t="s">
        <v>1039</v>
      </c>
      <c r="B14" s="1439" t="s">
        <v>1040</v>
      </c>
      <c r="C14" s="1441" t="s">
        <v>13</v>
      </c>
      <c r="I14" s="1443" t="s">
        <v>3345</v>
      </c>
    </row>
    <row r="15" spans="1:23">
      <c r="A15" s="1439" t="s">
        <v>1041</v>
      </c>
      <c r="B15" s="1439" t="s">
        <v>1042</v>
      </c>
      <c r="C15" s="1440"/>
      <c r="I15" s="1443" t="s">
        <v>3346</v>
      </c>
    </row>
    <row r="16" spans="1:23">
      <c r="A16" s="1439" t="s">
        <v>1043</v>
      </c>
      <c r="B16" s="1439" t="s">
        <v>312</v>
      </c>
      <c r="C16" s="1440"/>
    </row>
    <row r="17" spans="1:3">
      <c r="A17" s="1439" t="s">
        <v>1044</v>
      </c>
      <c r="B17" s="1439" t="s">
        <v>2284</v>
      </c>
      <c r="C17" s="1440"/>
    </row>
    <row r="18" spans="1:3">
      <c r="A18" s="1439" t="s">
        <v>1045</v>
      </c>
      <c r="B18" s="1439" t="s">
        <v>2427</v>
      </c>
      <c r="C18" s="1440"/>
    </row>
    <row r="19" spans="1:3">
      <c r="A19" s="1439" t="s">
        <v>1046</v>
      </c>
      <c r="B19" s="1439" t="s">
        <v>313</v>
      </c>
      <c r="C19" s="1440"/>
    </row>
    <row r="20" spans="1:3">
      <c r="A20" s="1439" t="s">
        <v>1047</v>
      </c>
      <c r="B20" s="1439" t="s">
        <v>313</v>
      </c>
      <c r="C20" s="1440"/>
    </row>
    <row r="21" spans="1:3">
      <c r="A21" s="1439" t="s">
        <v>1048</v>
      </c>
      <c r="B21" s="1439" t="s">
        <v>313</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5"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5" t="s">
        <v>385</v>
      </c>
      <c r="C54" s="1443" t="s">
        <v>583</v>
      </c>
    </row>
    <row r="55" spans="1:4">
      <c r="A55" s="3205"/>
      <c r="B55" s="1445" t="s">
        <v>386</v>
      </c>
      <c r="C55" s="1443" t="s">
        <v>584</v>
      </c>
    </row>
    <row r="56" spans="1:4">
      <c r="A56" s="3205"/>
      <c r="B56" s="1445" t="s">
        <v>387</v>
      </c>
      <c r="C56" s="1443" t="s">
        <v>588</v>
      </c>
    </row>
    <row r="57" spans="1:4">
      <c r="A57" s="3205"/>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2494</v>
      </c>
      <c r="B1" s="2755"/>
      <c r="C1" s="2755"/>
      <c r="D1" s="2755"/>
      <c r="E1" s="2755"/>
      <c r="F1" s="2756"/>
      <c r="I1" s="3133" t="s">
        <v>2587</v>
      </c>
      <c r="J1" s="2781"/>
      <c r="K1" s="2781"/>
      <c r="L1" s="2781"/>
      <c r="M1" s="2781"/>
      <c r="N1" s="2966"/>
      <c r="O1" s="2966"/>
      <c r="P1" s="2966"/>
      <c r="Q1" s="2966"/>
      <c r="R1" s="2966"/>
    </row>
    <row r="2" spans="1:18">
      <c r="A2" s="2758"/>
      <c r="B2" s="2759"/>
      <c r="C2" s="2759"/>
      <c r="D2" s="2759"/>
      <c r="E2" s="2759"/>
      <c r="F2" s="2760"/>
      <c r="I2" s="3206" t="s">
        <v>2574</v>
      </c>
      <c r="J2" s="3206"/>
      <c r="K2" s="3206"/>
      <c r="L2" s="3206"/>
      <c r="M2" s="3206"/>
      <c r="N2" s="3206"/>
      <c r="O2" s="3206"/>
      <c r="P2" s="3206"/>
      <c r="Q2" s="3206"/>
      <c r="R2" s="3206"/>
    </row>
    <row r="3" spans="1:18">
      <c r="A3" s="2761" t="s">
        <v>2495</v>
      </c>
      <c r="B3" s="2762">
        <f>项目基本情况!D3</f>
        <v>45065</v>
      </c>
      <c r="C3" s="2764"/>
      <c r="D3" s="2764"/>
      <c r="E3" s="2764"/>
      <c r="F3" s="2760"/>
      <c r="I3" s="2776"/>
      <c r="J3" s="2776" t="s">
        <v>2578</v>
      </c>
      <c r="K3" s="2776" t="s">
        <v>2579</v>
      </c>
      <c r="L3" s="2776" t="s">
        <v>2580</v>
      </c>
      <c r="M3" s="2776" t="s">
        <v>2581</v>
      </c>
      <c r="N3" s="3134" t="s">
        <v>2582</v>
      </c>
      <c r="O3" s="3134" t="s">
        <v>2583</v>
      </c>
      <c r="P3" s="3134" t="s">
        <v>2584</v>
      </c>
      <c r="Q3" s="3134" t="s">
        <v>2585</v>
      </c>
      <c r="R3" s="3134" t="s">
        <v>2586</v>
      </c>
    </row>
    <row r="4" spans="1:18">
      <c r="A4" s="2761" t="s">
        <v>2496</v>
      </c>
      <c r="B4" s="2764" t="s">
        <v>2497</v>
      </c>
      <c r="C4" s="2764" t="s">
        <v>2498</v>
      </c>
      <c r="D4" s="2764" t="s">
        <v>2499</v>
      </c>
      <c r="E4" s="2764" t="s">
        <v>2500</v>
      </c>
      <c r="F4" s="2760"/>
      <c r="I4" s="2776" t="s">
        <v>2575</v>
      </c>
      <c r="J4" s="2776">
        <v>80</v>
      </c>
      <c r="K4" s="2776">
        <v>70</v>
      </c>
      <c r="L4" s="2776">
        <v>20</v>
      </c>
      <c r="M4" s="2776">
        <v>30</v>
      </c>
      <c r="N4" s="2764">
        <v>45</v>
      </c>
      <c r="O4" s="2764">
        <v>60</v>
      </c>
      <c r="P4" s="2764">
        <v>50</v>
      </c>
      <c r="Q4" s="2764">
        <v>20</v>
      </c>
      <c r="R4" s="2764">
        <v>375</v>
      </c>
    </row>
    <row r="5" spans="1:18">
      <c r="A5" s="2765">
        <v>40</v>
      </c>
      <c r="B5" s="2762">
        <v>46375</v>
      </c>
      <c r="C5" s="2764">
        <f>ROUNDDOWN(MIN((B5-B3)/365,A5),2)</f>
        <v>3.58</v>
      </c>
      <c r="D5" s="2766">
        <f>IF(ISERROR(ROUND(POWER(1+E5,A5-C5)*(POWER(1+E5,C5)-1)/(POWER(1+E5,A5)-1),3)),0,ROUND(POWER(1+E5,A5-C5)*(POWER(1+E5,C5)-1)/(POWER(1+E5,A5)-1),4))</f>
        <v>0.16550000000000001</v>
      </c>
      <c r="E5" s="2767">
        <v>0.04</v>
      </c>
      <c r="F5" s="2760"/>
      <c r="I5" s="2776" t="s">
        <v>2576</v>
      </c>
      <c r="J5" s="2776">
        <v>70</v>
      </c>
      <c r="K5" s="2776">
        <v>60</v>
      </c>
      <c r="L5" s="2776">
        <v>15</v>
      </c>
      <c r="M5" s="2776">
        <v>25</v>
      </c>
      <c r="N5" s="2764">
        <v>40</v>
      </c>
      <c r="O5" s="2764">
        <v>50</v>
      </c>
      <c r="P5" s="2764">
        <v>40</v>
      </c>
      <c r="Q5" s="2764">
        <v>15</v>
      </c>
      <c r="R5" s="2764">
        <v>315</v>
      </c>
    </row>
    <row r="6" spans="1:18">
      <c r="A6" s="2765">
        <v>50</v>
      </c>
      <c r="B6" s="2762">
        <v>50028</v>
      </c>
      <c r="C6" s="2764">
        <f>ROUNDDOWN(MIN((B6-B3)/365,A6),2)</f>
        <v>13.59</v>
      </c>
      <c r="D6" s="2766">
        <f>IF(ISERROR(ROUND(POWER(1+E6,A6-C6)*(POWER(1+E6,C6)-1)/(POWER(1+E6,A6)-1),3)),0,ROUND(POWER(1+E6,A6-C6)*(POWER(1+E6,C6)-1)/(POWER(1+E6,A6)-1),4))</f>
        <v>0.48080000000000001</v>
      </c>
      <c r="E6" s="2767">
        <v>0.04</v>
      </c>
      <c r="F6" s="2760"/>
      <c r="I6" s="2776" t="s">
        <v>2577</v>
      </c>
      <c r="J6" s="2776">
        <v>60</v>
      </c>
      <c r="K6" s="2776">
        <v>50</v>
      </c>
      <c r="L6" s="2776">
        <v>10</v>
      </c>
      <c r="M6" s="2776">
        <v>20</v>
      </c>
      <c r="N6" s="2764">
        <v>35</v>
      </c>
      <c r="O6" s="2764">
        <v>40</v>
      </c>
      <c r="P6" s="2764">
        <v>30</v>
      </c>
      <c r="Q6" s="2764">
        <v>10</v>
      </c>
      <c r="R6" s="2764">
        <v>255</v>
      </c>
    </row>
    <row r="7" spans="1:18">
      <c r="A7" s="2765">
        <v>70</v>
      </c>
      <c r="B7" s="2762">
        <v>57333</v>
      </c>
      <c r="C7" s="2764">
        <f>ROUNDDOWN(MIN((B7-B3)/365,A7),2)</f>
        <v>33.61</v>
      </c>
      <c r="D7" s="2766">
        <f>IF(ISERROR(ROUND(POWER(1+E7,A7-C7)*(POWER(1+E7,C7)-1)/(POWER(1+E7,A7)-1),3)),0,ROUND(POWER(1+E7,A7-C7)*(POWER(1+E7,C7)-1)/(POWER(1+E7,A7)-1),4))</f>
        <v>0.78259999999999996</v>
      </c>
      <c r="E7" s="2767">
        <v>0.04</v>
      </c>
      <c r="F7" s="2760"/>
    </row>
    <row r="8" spans="1:18">
      <c r="A8" s="2758"/>
      <c r="B8" s="2759"/>
      <c r="C8" s="2759"/>
      <c r="D8" s="2759"/>
      <c r="E8" s="2759"/>
      <c r="F8" s="2760"/>
    </row>
    <row r="9" spans="1:18">
      <c r="A9" s="2761" t="s">
        <v>2501</v>
      </c>
      <c r="B9" s="2764"/>
      <c r="C9" s="2764"/>
      <c r="D9" s="2764"/>
      <c r="E9" s="2764"/>
      <c r="F9" s="2768"/>
    </row>
    <row r="10" spans="1:18">
      <c r="A10" s="2761" t="s">
        <v>2502</v>
      </c>
      <c r="B10" s="2764"/>
      <c r="C10" s="2764"/>
      <c r="D10" s="2764" t="s">
        <v>2500</v>
      </c>
      <c r="E10" s="2764"/>
      <c r="F10" s="2768" t="s">
        <v>2499</v>
      </c>
    </row>
    <row r="11" spans="1:18">
      <c r="A11" s="2761" t="s">
        <v>2503</v>
      </c>
      <c r="B11" s="2769">
        <v>70</v>
      </c>
      <c r="C11" s="2764" t="s">
        <v>2504</v>
      </c>
      <c r="D11" s="2769">
        <v>4.4999999999999998E-2</v>
      </c>
      <c r="E11" s="2764" t="s">
        <v>2505</v>
      </c>
      <c r="F11" s="2770">
        <f>ROUND(1-(1/(POWER(1+D11,B11))),4)</f>
        <v>0.95409999999999995</v>
      </c>
    </row>
    <row r="12" spans="1:18">
      <c r="A12" s="2761" t="s">
        <v>2506</v>
      </c>
      <c r="B12" s="2769">
        <v>40</v>
      </c>
      <c r="C12" s="2764" t="s">
        <v>2507</v>
      </c>
      <c r="D12" s="2769">
        <v>4.4999999999999998E-2</v>
      </c>
      <c r="E12" s="2764" t="s">
        <v>2508</v>
      </c>
      <c r="F12" s="2770">
        <f>ROUND(1-(1/(POWER(1+D12,B12))),4)</f>
        <v>0.82809999999999995</v>
      </c>
    </row>
    <row r="13" spans="1:18">
      <c r="A13" s="2761" t="s">
        <v>2509</v>
      </c>
      <c r="B13" s="2764"/>
      <c r="C13" s="2764"/>
      <c r="D13" s="2759"/>
      <c r="E13" s="2759"/>
      <c r="F13" s="2760"/>
    </row>
    <row r="14" spans="1:18">
      <c r="A14" s="2761" t="s">
        <v>2510</v>
      </c>
      <c r="B14" s="2769">
        <v>5000</v>
      </c>
      <c r="C14" s="2763"/>
      <c r="D14" s="2759"/>
      <c r="E14" s="2759"/>
      <c r="F14" s="2760"/>
    </row>
    <row r="15" spans="1:18">
      <c r="A15" s="2761" t="s">
        <v>2511</v>
      </c>
      <c r="B15" s="2764">
        <f>ROUND(B14*F12/F11,2)</f>
        <v>4339.6899999999996</v>
      </c>
      <c r="C15" s="2764">
        <f>ROUND(F12/F11,4)</f>
        <v>0.8679</v>
      </c>
      <c r="D15" s="2759"/>
      <c r="E15" s="2759"/>
      <c r="F15" s="2760"/>
    </row>
    <row r="16" spans="1:18">
      <c r="A16" s="2761" t="s">
        <v>2512</v>
      </c>
      <c r="B16" s="2764"/>
      <c r="C16" s="2764"/>
      <c r="D16" s="2759"/>
      <c r="E16" s="2759"/>
      <c r="F16" s="2760"/>
    </row>
    <row r="17" spans="1:13">
      <c r="A17" s="2761" t="s">
        <v>2511</v>
      </c>
      <c r="B17" s="2769">
        <v>4810</v>
      </c>
      <c r="C17" s="2763"/>
      <c r="D17" s="2759"/>
      <c r="E17" s="2759"/>
      <c r="F17" s="2760"/>
    </row>
    <row r="18" spans="1:13" ht="14.25" thickBot="1">
      <c r="A18" s="2771" t="s">
        <v>2510</v>
      </c>
      <c r="B18" s="2772">
        <f>ROUND(B17*F11/F12,2)</f>
        <v>5541.87</v>
      </c>
      <c r="C18" s="2772">
        <f>ROUND(F11/F12,4)</f>
        <v>1.1521999999999999</v>
      </c>
      <c r="D18" s="2773"/>
      <c r="E18" s="2773"/>
      <c r="F18" s="2774"/>
    </row>
    <row r="19" spans="1:13" ht="14.25" thickBot="1"/>
    <row r="20" spans="1:13" s="2807" customFormat="1" ht="14.25" thickTop="1">
      <c r="A20" s="2804" t="s">
        <v>2513</v>
      </c>
      <c r="B20" s="2805"/>
      <c r="C20" s="2805"/>
      <c r="D20" s="2805"/>
      <c r="E20" s="2805"/>
      <c r="F20" s="2805"/>
      <c r="G20" s="2806"/>
      <c r="I20" s="2808" t="s">
        <v>2558</v>
      </c>
      <c r="J20" s="2808" t="s">
        <v>2563</v>
      </c>
      <c r="K20" s="2808"/>
      <c r="L20" s="2808"/>
      <c r="M20" s="2808"/>
    </row>
    <row r="21" spans="1:13">
      <c r="A21" s="2775"/>
      <c r="B21" s="2776" t="s">
        <v>2514</v>
      </c>
      <c r="C21" s="2776" t="s">
        <v>2515</v>
      </c>
      <c r="D21" s="2776" t="s">
        <v>2516</v>
      </c>
      <c r="E21" s="2776" t="s">
        <v>2517</v>
      </c>
      <c r="F21" s="2776" t="s">
        <v>2518</v>
      </c>
      <c r="G21" s="2777" t="s">
        <v>2519</v>
      </c>
      <c r="I21" s="2798">
        <v>5</v>
      </c>
      <c r="J21" s="2798">
        <v>54.2</v>
      </c>
    </row>
    <row r="22" spans="1:13">
      <c r="A22" s="2775" t="s">
        <v>2520</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2521</v>
      </c>
      <c r="B23" s="2778">
        <v>70</v>
      </c>
      <c r="C23" s="2778">
        <v>40</v>
      </c>
      <c r="D23" s="2779">
        <v>0.04</v>
      </c>
      <c r="E23" s="2776">
        <f>ROUND(POWER(1+D23,B23-C23)*(POWER(1+D23,C23)-1)/(POWER(1+D23,B23)-1),3)</f>
        <v>0.84599999999999997</v>
      </c>
      <c r="F23" s="2779">
        <f>F22</f>
        <v>0.7</v>
      </c>
      <c r="G23" s="2777">
        <f>ROUND(100*(1-(1-E23)*F23),1)</f>
        <v>89.2</v>
      </c>
      <c r="I23" s="2798">
        <v>15</v>
      </c>
      <c r="J23" s="2798">
        <v>74.099999999999994</v>
      </c>
      <c r="K23" s="2798">
        <f t="shared" ref="K23:K30" si="0">J23-J22</f>
        <v>8.6999999999999886</v>
      </c>
      <c r="L23" s="2798" t="s">
        <v>2561</v>
      </c>
      <c r="M23" s="2798" t="s">
        <v>2562</v>
      </c>
    </row>
    <row r="24" spans="1:13">
      <c r="A24" s="2775" t="s">
        <v>2522</v>
      </c>
      <c r="B24" s="2778">
        <v>70</v>
      </c>
      <c r="C24" s="2778">
        <v>50</v>
      </c>
      <c r="D24" s="2779">
        <v>0.04</v>
      </c>
      <c r="E24" s="2776">
        <f>ROUND(POWER(1+D24,B24-C24)*(POWER(1+D24,C24)-1)/(POWER(1+D24,B24)-1),3)</f>
        <v>0.91800000000000004</v>
      </c>
      <c r="F24" s="2779">
        <f>F23</f>
        <v>0.7</v>
      </c>
      <c r="G24" s="2777">
        <f>ROUND(100*(1-(1-E24)*F24),1)</f>
        <v>94.3</v>
      </c>
      <c r="I24" s="2798">
        <v>20</v>
      </c>
      <c r="J24" s="2798">
        <v>81</v>
      </c>
      <c r="K24" s="2798">
        <f t="shared" si="0"/>
        <v>6.9000000000000057</v>
      </c>
      <c r="L24" s="2798" t="s">
        <v>2560</v>
      </c>
      <c r="M24" s="2798">
        <v>10</v>
      </c>
    </row>
    <row r="25" spans="1:13">
      <c r="A25" s="2775" t="s">
        <v>2523</v>
      </c>
      <c r="B25" s="2778">
        <v>70</v>
      </c>
      <c r="C25" s="2778">
        <v>60</v>
      </c>
      <c r="D25" s="2779">
        <v>0.04</v>
      </c>
      <c r="E25" s="2776">
        <f>ROUND(POWER(1+D25,B25-C25)*(POWER(1+D25,C25)-1)/(POWER(1+D25,B25)-1),3)</f>
        <v>0.96699999999999997</v>
      </c>
      <c r="F25" s="2779">
        <f>F24</f>
        <v>0.7</v>
      </c>
      <c r="G25" s="2777">
        <f>ROUND(100*(1-(1-E25)*F25),1)</f>
        <v>97.7</v>
      </c>
      <c r="I25" s="2798">
        <v>25</v>
      </c>
      <c r="J25" s="2798">
        <v>86.3</v>
      </c>
      <c r="K25" s="2798">
        <f t="shared" si="0"/>
        <v>5.2999999999999972</v>
      </c>
      <c r="L25" s="2798" t="s">
        <v>2564</v>
      </c>
      <c r="M25" s="2798">
        <v>8</v>
      </c>
    </row>
    <row r="26" spans="1:13">
      <c r="A26" s="2780"/>
      <c r="B26" s="2781"/>
      <c r="C26" s="2781"/>
      <c r="D26" s="2781"/>
      <c r="E26" s="2781"/>
      <c r="F26" s="2781"/>
      <c r="G26" s="2782"/>
      <c r="I26" s="2798">
        <v>30</v>
      </c>
      <c r="J26" s="2798">
        <v>90.5</v>
      </c>
      <c r="K26" s="2798">
        <f t="shared" si="0"/>
        <v>4.2000000000000028</v>
      </c>
      <c r="L26" s="2798" t="s">
        <v>2565</v>
      </c>
      <c r="M26" s="2798">
        <v>5</v>
      </c>
    </row>
    <row r="27" spans="1:13">
      <c r="A27" s="2780" t="s">
        <v>2524</v>
      </c>
      <c r="B27" s="2781"/>
      <c r="C27" s="2781"/>
      <c r="D27" s="2781"/>
      <c r="E27" s="2781"/>
      <c r="F27" s="2781"/>
      <c r="G27" s="2782"/>
      <c r="I27" s="2798">
        <v>35</v>
      </c>
      <c r="J27" s="2798">
        <v>93.8</v>
      </c>
      <c r="K27" s="2798">
        <f t="shared" si="0"/>
        <v>3.2999999999999972</v>
      </c>
      <c r="L27" s="2798" t="s">
        <v>2566</v>
      </c>
      <c r="M27" s="2798">
        <v>3</v>
      </c>
    </row>
    <row r="28" spans="1:13">
      <c r="A28" s="2780" t="s">
        <v>2525</v>
      </c>
      <c r="B28" s="2781"/>
      <c r="C28" s="2781"/>
      <c r="D28" s="2781"/>
      <c r="E28" s="2781"/>
      <c r="F28" s="2781"/>
      <c r="G28" s="2782"/>
      <c r="I28" s="2798">
        <v>40</v>
      </c>
      <c r="J28" s="2798">
        <v>96.4</v>
      </c>
      <c r="K28" s="2798">
        <f t="shared" si="0"/>
        <v>2.6000000000000085</v>
      </c>
      <c r="L28" s="2798" t="s">
        <v>2567</v>
      </c>
      <c r="M28" s="2798">
        <v>2</v>
      </c>
    </row>
    <row r="29" spans="1:13">
      <c r="A29" s="2780" t="s">
        <v>2526</v>
      </c>
      <c r="B29" s="2781"/>
      <c r="C29" s="2781"/>
      <c r="D29" s="2781"/>
      <c r="E29" s="2781"/>
      <c r="F29" s="2781"/>
      <c r="G29" s="2782"/>
      <c r="I29" s="2798">
        <v>45</v>
      </c>
      <c r="J29" s="2798">
        <v>98.4</v>
      </c>
      <c r="K29" s="2798">
        <f t="shared" si="0"/>
        <v>2</v>
      </c>
    </row>
    <row r="30" spans="1:13">
      <c r="A30" s="2780" t="s">
        <v>2527</v>
      </c>
      <c r="B30" s="2781"/>
      <c r="C30" s="2781"/>
      <c r="D30" s="2781"/>
      <c r="E30" s="2781"/>
      <c r="F30" s="2781"/>
      <c r="G30" s="2782"/>
      <c r="I30" s="2798">
        <v>50</v>
      </c>
      <c r="J30" s="2798">
        <v>100</v>
      </c>
      <c r="K30" s="2798">
        <f t="shared" si="0"/>
        <v>1.5999999999999943</v>
      </c>
    </row>
    <row r="31" spans="1:13">
      <c r="A31" s="2780" t="s">
        <v>2528</v>
      </c>
      <c r="B31" s="2781"/>
      <c r="C31" s="2781"/>
      <c r="D31" s="2781"/>
      <c r="E31" s="2781"/>
      <c r="F31" s="2781"/>
      <c r="G31" s="2782"/>
      <c r="I31" s="2798" t="s">
        <v>2559</v>
      </c>
    </row>
    <row r="32" spans="1:13">
      <c r="A32" s="2780" t="s">
        <v>2529</v>
      </c>
      <c r="B32" s="2781"/>
      <c r="C32" s="2781"/>
      <c r="D32" s="2781"/>
      <c r="E32" s="2781"/>
      <c r="F32" s="2781"/>
      <c r="G32" s="2782"/>
    </row>
    <row r="33" spans="1:13">
      <c r="A33" s="2780" t="s">
        <v>2530</v>
      </c>
      <c r="B33" s="2781"/>
      <c r="C33" s="2781"/>
      <c r="D33" s="2781"/>
      <c r="E33" s="2781"/>
      <c r="F33" s="2781"/>
      <c r="G33" s="2782"/>
      <c r="I33" s="2798" t="s">
        <v>2558</v>
      </c>
      <c r="J33" s="2798" t="s">
        <v>2568</v>
      </c>
    </row>
    <row r="34" spans="1:13">
      <c r="A34" s="2780" t="s">
        <v>2531</v>
      </c>
      <c r="B34" s="2781"/>
      <c r="C34" s="2781"/>
      <c r="D34" s="2781"/>
      <c r="E34" s="2781"/>
      <c r="F34" s="2781"/>
      <c r="G34" s="2782"/>
      <c r="I34" s="2798">
        <v>5</v>
      </c>
      <c r="J34" s="2798">
        <v>55.1</v>
      </c>
    </row>
    <row r="35" spans="1:13">
      <c r="A35" s="2780" t="s">
        <v>2532</v>
      </c>
      <c r="B35" s="2781"/>
      <c r="C35" s="2781"/>
      <c r="D35" s="2781"/>
      <c r="E35" s="2781"/>
      <c r="F35" s="2781"/>
      <c r="G35" s="2782"/>
      <c r="I35" s="2798">
        <v>10</v>
      </c>
      <c r="J35" s="2798">
        <v>67</v>
      </c>
      <c r="K35" s="2798">
        <f>J35-J34</f>
        <v>11.899999999999999</v>
      </c>
    </row>
    <row r="36" spans="1:13">
      <c r="A36" s="2780" t="s">
        <v>2533</v>
      </c>
      <c r="B36" s="2781"/>
      <c r="C36" s="2781"/>
      <c r="D36" s="2781"/>
      <c r="E36" s="2781"/>
      <c r="F36" s="2781"/>
      <c r="G36" s="2782"/>
      <c r="I36" s="2798">
        <v>15</v>
      </c>
      <c r="J36" s="2798">
        <v>76.3</v>
      </c>
      <c r="K36" s="2798">
        <f t="shared" ref="K36:K41" si="1">J36-J35</f>
        <v>9.2999999999999972</v>
      </c>
      <c r="L36" s="2798" t="s">
        <v>2561</v>
      </c>
      <c r="M36" s="2798" t="s">
        <v>2562</v>
      </c>
    </row>
    <row r="37" spans="1:13">
      <c r="A37" s="2780" t="s">
        <v>2534</v>
      </c>
      <c r="B37" s="2781"/>
      <c r="C37" s="2781"/>
      <c r="D37" s="2781"/>
      <c r="E37" s="2781"/>
      <c r="F37" s="2781"/>
      <c r="G37" s="2782"/>
      <c r="I37" s="2798">
        <v>20</v>
      </c>
      <c r="J37" s="2798">
        <v>83.6</v>
      </c>
      <c r="K37" s="2798">
        <f t="shared" si="1"/>
        <v>7.2999999999999972</v>
      </c>
      <c r="L37" s="2798" t="s">
        <v>2560</v>
      </c>
      <c r="M37" s="2798">
        <v>10</v>
      </c>
    </row>
    <row r="38" spans="1:13">
      <c r="A38" s="2780" t="s">
        <v>2535</v>
      </c>
      <c r="B38" s="2781"/>
      <c r="C38" s="2781"/>
      <c r="D38" s="2781"/>
      <c r="E38" s="2781"/>
      <c r="F38" s="2781"/>
      <c r="G38" s="2782"/>
      <c r="I38" s="2798">
        <v>25</v>
      </c>
      <c r="J38" s="2798">
        <v>89.3</v>
      </c>
      <c r="K38" s="2798">
        <f t="shared" si="1"/>
        <v>5.7000000000000028</v>
      </c>
      <c r="L38" s="2798" t="s">
        <v>2564</v>
      </c>
      <c r="M38" s="2798">
        <v>8</v>
      </c>
    </row>
    <row r="39" spans="1:13">
      <c r="A39" s="2780"/>
      <c r="B39" s="2781"/>
      <c r="C39" s="2781"/>
      <c r="D39" s="2781"/>
      <c r="E39" s="2781"/>
      <c r="F39" s="2781"/>
      <c r="G39" s="2782"/>
      <c r="I39" s="2798">
        <v>30</v>
      </c>
      <c r="J39" s="2798">
        <v>93.8</v>
      </c>
      <c r="K39" s="2798">
        <f t="shared" si="1"/>
        <v>4.5</v>
      </c>
      <c r="L39" s="2798" t="s">
        <v>2565</v>
      </c>
      <c r="M39" s="2798">
        <v>6</v>
      </c>
    </row>
    <row r="40" spans="1:13">
      <c r="A40" s="2783" t="s">
        <v>2536</v>
      </c>
      <c r="B40" s="2784"/>
      <c r="C40" s="2784"/>
      <c r="D40" s="2784"/>
      <c r="E40" s="2784"/>
      <c r="F40" s="2784"/>
      <c r="G40" s="2785"/>
      <c r="I40" s="2798">
        <v>35</v>
      </c>
      <c r="J40" s="2798">
        <v>97.2</v>
      </c>
      <c r="K40" s="2798">
        <f t="shared" si="1"/>
        <v>3.4000000000000057</v>
      </c>
      <c r="L40" s="2798" t="s">
        <v>2566</v>
      </c>
      <c r="M40" s="2798">
        <v>3</v>
      </c>
    </row>
    <row r="41" spans="1:13">
      <c r="A41" s="2786" t="s">
        <v>2537</v>
      </c>
      <c r="B41" s="2787" t="s">
        <v>2538</v>
      </c>
      <c r="C41" s="2788" t="s">
        <v>2539</v>
      </c>
      <c r="D41" s="2788" t="s">
        <v>2540</v>
      </c>
      <c r="E41" s="2789"/>
      <c r="F41" s="2790"/>
      <c r="G41" s="2791"/>
      <c r="I41" s="2798">
        <v>40</v>
      </c>
      <c r="J41" s="2798">
        <v>100</v>
      </c>
      <c r="K41" s="2798">
        <f t="shared" si="1"/>
        <v>2.7999999999999972</v>
      </c>
    </row>
    <row r="42" spans="1:13">
      <c r="A42" s="2786" t="s">
        <v>2541</v>
      </c>
      <c r="B42" s="2787" t="s">
        <v>2542</v>
      </c>
      <c r="C42" s="2788" t="s">
        <v>2543</v>
      </c>
      <c r="D42" s="2792" t="s">
        <v>2544</v>
      </c>
      <c r="E42" s="2784" t="s">
        <v>2545</v>
      </c>
      <c r="F42" s="2784"/>
      <c r="G42" s="2785"/>
    </row>
    <row r="43" spans="1:13">
      <c r="A43" s="2786" t="s">
        <v>2546</v>
      </c>
      <c r="B43" s="2787" t="s">
        <v>2547</v>
      </c>
      <c r="C43" s="2788" t="s">
        <v>2548</v>
      </c>
      <c r="D43" s="2788" t="s">
        <v>2549</v>
      </c>
      <c r="E43" s="2789" t="s">
        <v>2550</v>
      </c>
      <c r="F43" s="2790"/>
      <c r="G43" s="2791"/>
      <c r="I43" s="2798" t="s">
        <v>2558</v>
      </c>
      <c r="J43" s="2798" t="s">
        <v>2569</v>
      </c>
    </row>
    <row r="44" spans="1:13">
      <c r="A44" s="2786" t="s">
        <v>2551</v>
      </c>
      <c r="B44" s="2787" t="s">
        <v>2552</v>
      </c>
      <c r="C44" s="2788" t="s">
        <v>2553</v>
      </c>
      <c r="D44" s="2792">
        <v>0.5</v>
      </c>
      <c r="E44" s="2789" t="s">
        <v>2554</v>
      </c>
      <c r="F44" s="2790"/>
      <c r="G44" s="2791"/>
      <c r="I44" s="2798">
        <v>30</v>
      </c>
      <c r="J44" s="2798">
        <v>81.7</v>
      </c>
    </row>
    <row r="45" spans="1:13" ht="14.25" thickBot="1">
      <c r="A45" s="2793" t="s">
        <v>2555</v>
      </c>
      <c r="B45" s="2794" t="s">
        <v>2542</v>
      </c>
      <c r="C45" s="2795" t="s">
        <v>2542</v>
      </c>
      <c r="D45" s="2795" t="s">
        <v>2556</v>
      </c>
      <c r="E45" s="2796" t="s">
        <v>2557</v>
      </c>
      <c r="F45" s="2796"/>
      <c r="G45" s="2797"/>
      <c r="I45" s="2798">
        <v>40</v>
      </c>
      <c r="J45" s="2798">
        <v>89.2</v>
      </c>
      <c r="K45" s="2798">
        <f>J45-J44</f>
        <v>7.5</v>
      </c>
    </row>
    <row r="46" spans="1:13">
      <c r="I46" s="2798">
        <v>50</v>
      </c>
      <c r="J46" s="2798">
        <v>94.3</v>
      </c>
      <c r="K46" s="2798">
        <f>J46-J45</f>
        <v>5.0999999999999943</v>
      </c>
    </row>
    <row r="47" spans="1:13">
      <c r="I47" s="2798">
        <v>60</v>
      </c>
      <c r="J47" s="2798">
        <v>97.7</v>
      </c>
      <c r="K47" s="2798">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2163</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0" t="s">
        <v>2164</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2165</v>
      </c>
      <c r="B3" s="2183">
        <v>45065</v>
      </c>
      <c r="C3" s="2184" t="s">
        <v>2166</v>
      </c>
      <c r="D3" s="2183">
        <f>B3</f>
        <v>45065</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6" t="s">
        <v>2167</v>
      </c>
      <c r="B4" s="2185" t="s">
        <v>3369</v>
      </c>
      <c r="C4" s="2186">
        <f ca="1">SUMIF(注册房地产估价师,B4,估价师及机构信息!B3:B24)</f>
        <v>1120100036</v>
      </c>
      <c r="D4" s="2185" t="s">
        <v>3370</v>
      </c>
      <c r="E4" s="2186">
        <f ca="1">SUMIF(注册房地产估价师,D4,估价师及机构信息!B3:B24)</f>
        <v>1120070131</v>
      </c>
      <c r="F4" s="2185"/>
      <c r="G4" s="2186">
        <f>SUMIF(注册房地产估价师,F4,估价师及机构信息!B3:B24)</f>
        <v>0</v>
      </c>
      <c r="H4" s="2185"/>
      <c r="I4" s="2186">
        <f>SUMIF(注册房地产估价师,H4,估价师及机构信息!B3:B24)</f>
        <v>0</v>
      </c>
      <c r="J4" s="2243"/>
      <c r="K4" s="2187" t="str">
        <f ca="1">CONCATENATE(B4,"（注册号：",C4,")、",D4,"（注册号：",E4,")")</f>
        <v>崔锴（注册号：1120100036)、郑燚（注册号：1120070131)</v>
      </c>
      <c r="L4" s="2182"/>
      <c r="M4" s="2182"/>
      <c r="N4" s="2180"/>
      <c r="O4" s="1464"/>
      <c r="P4" s="2180"/>
      <c r="Q4" s="2180"/>
      <c r="R4" s="2180"/>
      <c r="S4" s="1559"/>
      <c r="T4" s="1616"/>
      <c r="U4" s="1616"/>
      <c r="V4" s="1616"/>
      <c r="W4" s="1616"/>
      <c r="X4" s="1616"/>
      <c r="Y4" s="1616"/>
      <c r="Z4" s="1616"/>
      <c r="AA4" s="1616"/>
      <c r="AB4" s="1616"/>
    </row>
    <row r="5" spans="1:30" ht="13.5" thickTop="1">
      <c r="A5" s="2188" t="s">
        <v>2168</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2169</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2170</v>
      </c>
      <c r="B7" s="2196"/>
      <c r="C7" s="2194"/>
      <c r="D7" s="2195"/>
      <c r="E7" s="2439"/>
      <c r="F7" s="2440"/>
      <c r="G7" s="2440"/>
      <c r="H7" s="2440"/>
      <c r="I7" s="2440"/>
      <c r="J7" s="2243"/>
      <c r="K7" s="2400"/>
      <c r="L7" s="2397"/>
      <c r="M7" s="2397"/>
      <c r="N7" s="2243"/>
      <c r="O7" s="1668"/>
      <c r="P7" s="2243"/>
      <c r="Q7" s="2243"/>
      <c r="R7" s="2243"/>
    </row>
    <row r="8" spans="1:30">
      <c r="A8" s="2197" t="s">
        <v>2171</v>
      </c>
      <c r="B8" s="2198" t="s">
        <v>3371</v>
      </c>
      <c r="C8" s="2199"/>
      <c r="D8" s="3217" t="s">
        <v>2172</v>
      </c>
      <c r="E8" s="2200"/>
      <c r="F8" s="2201"/>
      <c r="G8" s="2440"/>
      <c r="H8" s="2440"/>
      <c r="I8" s="2440"/>
      <c r="J8" s="2243"/>
      <c r="K8" s="2398"/>
      <c r="L8" s="2397"/>
      <c r="M8" s="2397"/>
      <c r="N8" s="2243"/>
      <c r="O8" s="1668"/>
      <c r="P8" s="2243"/>
      <c r="Q8" s="2243"/>
      <c r="R8" s="2243"/>
    </row>
    <row r="9" spans="1:30" ht="13.5" thickBot="1">
      <c r="A9" s="2202" t="s">
        <v>2173</v>
      </c>
      <c r="B9" s="2203" t="s">
        <v>3372</v>
      </c>
      <c r="C9" s="2204"/>
      <c r="D9" s="3218"/>
      <c r="E9" s="2203"/>
      <c r="F9" s="2205"/>
      <c r="G9" s="2441"/>
      <c r="H9" s="2441"/>
      <c r="I9" s="2441"/>
      <c r="J9" s="2243"/>
      <c r="K9" s="2400"/>
      <c r="L9" s="2397"/>
      <c r="M9" s="2397"/>
      <c r="N9" s="2243"/>
      <c r="O9" s="1668"/>
      <c r="P9" s="2243"/>
      <c r="Q9" s="2243"/>
      <c r="R9" s="2243"/>
    </row>
    <row r="10" spans="1:30" ht="13.5" thickTop="1">
      <c r="A10" s="2206" t="s">
        <v>2174</v>
      </c>
      <c r="B10" s="2207" t="s">
        <v>3373</v>
      </c>
      <c r="C10" s="2208"/>
      <c r="D10" s="2191"/>
      <c r="E10" s="2209" t="s">
        <v>2175</v>
      </c>
      <c r="F10" s="2442"/>
      <c r="G10" s="2443"/>
      <c r="H10" s="2444"/>
      <c r="I10" s="2445"/>
      <c r="J10" s="2243"/>
      <c r="K10" s="2400"/>
      <c r="L10" s="2397"/>
      <c r="M10" s="2397"/>
      <c r="N10" s="2243"/>
      <c r="O10" s="1668"/>
      <c r="P10" s="2243"/>
      <c r="Q10" s="2243"/>
      <c r="R10" s="2243"/>
    </row>
    <row r="11" spans="1:30">
      <c r="A11" s="2210" t="s">
        <v>2176</v>
      </c>
      <c r="B11" s="2211" t="s">
        <v>3374</v>
      </c>
      <c r="C11" s="2212"/>
      <c r="D11" s="2213"/>
      <c r="E11" s="2180"/>
      <c r="F11" s="2180"/>
      <c r="G11" s="2180"/>
      <c r="H11" s="2180"/>
      <c r="I11" s="2180"/>
      <c r="J11" s="2800"/>
      <c r="K11" s="2397"/>
      <c r="L11" s="2397"/>
      <c r="M11" s="2397"/>
      <c r="N11" s="2243"/>
      <c r="O11" s="1668"/>
      <c r="P11" s="2243"/>
      <c r="Q11" s="2243"/>
      <c r="R11" s="2243"/>
    </row>
    <row r="12" spans="1:30">
      <c r="A12" s="2214" t="s">
        <v>2177</v>
      </c>
      <c r="B12" s="315" t="s">
        <v>2178</v>
      </c>
      <c r="C12" s="2215" t="s">
        <v>2179</v>
      </c>
      <c r="D12" s="2215" t="s">
        <v>2180</v>
      </c>
      <c r="E12" s="2215" t="s">
        <v>2181</v>
      </c>
      <c r="F12" s="2215" t="s">
        <v>2182</v>
      </c>
      <c r="G12" s="2215" t="s">
        <v>2183</v>
      </c>
      <c r="H12" s="2215" t="s">
        <v>2184</v>
      </c>
      <c r="I12" s="2799" t="s">
        <v>2570</v>
      </c>
      <c r="J12" s="2801"/>
      <c r="K12" s="2397"/>
      <c r="L12" s="2397"/>
      <c r="M12" s="2243"/>
      <c r="N12" s="1668"/>
      <c r="O12" s="2243"/>
      <c r="P12" s="2243"/>
      <c r="Q12" s="2243"/>
      <c r="AD12" s="1616"/>
    </row>
    <row r="13" spans="1:30">
      <c r="A13" s="3120" t="s">
        <v>3328</v>
      </c>
      <c r="B13" s="2216" t="s">
        <v>2185</v>
      </c>
      <c r="C13" s="802"/>
      <c r="D13" s="802">
        <v>52662</v>
      </c>
      <c r="E13" s="802">
        <v>56314</v>
      </c>
      <c r="F13" s="802"/>
      <c r="G13" s="802"/>
      <c r="H13" s="802"/>
      <c r="I13" s="802"/>
      <c r="J13" s="2801"/>
      <c r="K13" s="2397"/>
      <c r="L13" s="2397"/>
      <c r="M13" s="2243"/>
      <c r="N13" s="1668"/>
      <c r="O13" s="2243"/>
      <c r="P13" s="2243"/>
      <c r="Q13" s="2243"/>
      <c r="AD13" s="1616"/>
    </row>
    <row r="14" spans="1:30">
      <c r="A14" s="1017"/>
      <c r="B14" s="2216" t="s">
        <v>2186</v>
      </c>
      <c r="C14" s="2217"/>
      <c r="D14" s="2217">
        <v>40</v>
      </c>
      <c r="E14" s="2217">
        <v>50</v>
      </c>
      <c r="F14" s="2217"/>
      <c r="G14" s="2217"/>
      <c r="H14" s="2217"/>
      <c r="I14" s="2217"/>
      <c r="J14" s="2802"/>
      <c r="K14" s="2397"/>
      <c r="L14" s="2397"/>
      <c r="M14" s="2243"/>
      <c r="N14" s="1668"/>
      <c r="O14" s="2243"/>
      <c r="P14" s="2243"/>
      <c r="Q14" s="2243"/>
      <c r="AD14" s="1616"/>
    </row>
    <row r="15" spans="1:30">
      <c r="A15" s="312"/>
      <c r="B15" s="2218" t="s">
        <v>2187</v>
      </c>
      <c r="C15" s="2219" t="str">
        <f>IF(A13="出让",IF(C13="","",ROUNDDOWN(MIN((C13-$D$3)/365,C14),2)),C14)</f>
        <v/>
      </c>
      <c r="D15" s="2219">
        <f>IF(A13="出让",IF(D13="","",ROUNDDOWN(MIN((D13-$D$3)/365,D14),2)),D14)</f>
        <v>20.81</v>
      </c>
      <c r="E15" s="2219">
        <f>IF(A13="出让",IF(E13="","",ROUNDDOWN(MIN((E13-$D$3)/365,E14),2)),E14)</f>
        <v>30.81</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6"/>
    </row>
    <row r="16" spans="1:30">
      <c r="A16" s="2209" t="s">
        <v>2188</v>
      </c>
      <c r="B16" s="3224"/>
      <c r="C16" s="3225"/>
      <c r="D16" s="3226"/>
      <c r="E16" s="2220" t="s">
        <v>2189</v>
      </c>
      <c r="F16" s="3227"/>
      <c r="G16" s="3228"/>
      <c r="H16" s="3228"/>
      <c r="I16" s="3229"/>
      <c r="J16" s="2243"/>
      <c r="K16" s="2401"/>
      <c r="L16" s="1668"/>
      <c r="M16" s="1668"/>
      <c r="N16" s="2243"/>
      <c r="O16" s="1668"/>
      <c r="P16" s="2243"/>
      <c r="Q16" s="2243"/>
      <c r="R16" s="2243"/>
    </row>
    <row r="17" spans="1:28">
      <c r="A17" s="305" t="s">
        <v>2190</v>
      </c>
      <c r="B17" s="294" t="s">
        <v>2191</v>
      </c>
      <c r="C17" s="8">
        <f>'数据-汇总表'!E3</f>
        <v>391.32000000000005</v>
      </c>
      <c r="D17" s="1254" t="s">
        <v>2192</v>
      </c>
      <c r="E17" s="3230" t="s">
        <v>2193</v>
      </c>
      <c r="F17" s="3231"/>
      <c r="G17" s="3231"/>
      <c r="H17" s="3231"/>
      <c r="I17" s="3232"/>
      <c r="J17" s="2243"/>
      <c r="K17" s="2402"/>
      <c r="L17" s="1668"/>
      <c r="M17" s="1668"/>
      <c r="N17" s="2243"/>
      <c r="O17" s="1668"/>
      <c r="P17" s="2243"/>
      <c r="Q17" s="2243"/>
      <c r="R17" s="2243"/>
      <c r="S17" s="2243"/>
      <c r="T17" s="2243"/>
      <c r="U17" s="2243"/>
      <c r="V17" s="2243"/>
    </row>
    <row r="18" spans="1:28" ht="24.75" thickBot="1">
      <c r="A18" s="2221" t="s">
        <v>2194</v>
      </c>
      <c r="B18" s="1026" t="s">
        <v>2195</v>
      </c>
      <c r="C18" s="2222">
        <f>'数据-汇总表'!D3</f>
        <v>2389.9</v>
      </c>
      <c r="D18" s="1028" t="s">
        <v>2196</v>
      </c>
      <c r="E18" s="3233" t="s">
        <v>2197</v>
      </c>
      <c r="F18" s="3234"/>
      <c r="G18" s="3234"/>
      <c r="H18" s="3234"/>
      <c r="I18" s="3235"/>
      <c r="J18" s="2243"/>
      <c r="K18" s="2402"/>
      <c r="L18" s="1668"/>
      <c r="M18" s="1668"/>
      <c r="N18" s="2243"/>
      <c r="O18" s="1668"/>
      <c r="P18" s="2243"/>
      <c r="Q18" s="2243"/>
      <c r="R18" s="2243"/>
      <c r="S18" s="2243"/>
      <c r="T18" s="2243"/>
      <c r="U18" s="2243"/>
      <c r="V18" s="2243"/>
    </row>
    <row r="19" spans="1:28" ht="37.5" thickTop="1" thickBot="1">
      <c r="A19" s="319" t="s">
        <v>1054</v>
      </c>
      <c r="B19" s="299" t="s">
        <v>2198</v>
      </c>
      <c r="C19" s="1453"/>
      <c r="D19" s="1454" t="s">
        <v>2199</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2200</v>
      </c>
      <c r="B20" s="3220" t="s">
        <v>2201</v>
      </c>
      <c r="C20" s="3221"/>
      <c r="D20" s="3222" t="s">
        <v>2202</v>
      </c>
      <c r="E20" s="3223"/>
      <c r="F20" s="2428" t="s">
        <v>1055</v>
      </c>
      <c r="G20" s="2440"/>
      <c r="H20" s="2440"/>
      <c r="I20" s="2440"/>
      <c r="J20" s="2243"/>
      <c r="K20" s="3219"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2204</v>
      </c>
      <c r="C21" s="2294" t="s">
        <v>1056</v>
      </c>
      <c r="D21" s="1458" t="s">
        <v>2205</v>
      </c>
      <c r="E21" s="2417" t="s">
        <v>1056</v>
      </c>
      <c r="F21" s="2429"/>
      <c r="G21" s="2440"/>
      <c r="H21" s="2440"/>
      <c r="I21" s="2440"/>
      <c r="J21" s="2243"/>
      <c r="K21" s="321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2206</v>
      </c>
      <c r="C22" s="2294" t="s">
        <v>1057</v>
      </c>
      <c r="D22" s="2440"/>
      <c r="E22" s="2440"/>
      <c r="F22" s="2440"/>
      <c r="G22" s="2440"/>
      <c r="H22" s="2440"/>
      <c r="I22" s="2440"/>
      <c r="J22" s="2243"/>
      <c r="K22" s="321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2207</v>
      </c>
      <c r="B23" s="2291" t="s">
        <v>2208</v>
      </c>
      <c r="C23" s="2420"/>
      <c r="D23" s="2421" t="s">
        <v>2208</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1058</v>
      </c>
      <c r="C24" s="2269"/>
      <c r="D24" s="2419" t="s">
        <v>1058</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1059</v>
      </c>
      <c r="C25" s="2269"/>
      <c r="D25" s="2419" t="s">
        <v>1059</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1060</v>
      </c>
      <c r="C26" s="2426"/>
      <c r="D26" s="2424" t="s">
        <v>1060</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08" t="s">
        <v>2209</v>
      </c>
      <c r="B27" s="312" t="s">
        <v>2210</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08"/>
      <c r="B28" s="294" t="s">
        <v>2211</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08"/>
      <c r="B29" s="294" t="s">
        <v>2212</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09"/>
      <c r="B30" s="294" t="s">
        <v>2213</v>
      </c>
      <c r="C30" s="3210"/>
      <c r="D30" s="3211"/>
      <c r="E30" s="2440"/>
      <c r="F30" s="2440"/>
      <c r="G30" s="2440"/>
      <c r="H30" s="2440"/>
      <c r="I30" s="2440"/>
      <c r="J30" s="2243"/>
      <c r="K30" s="2400"/>
      <c r="L30" s="2397"/>
      <c r="M30" s="2397"/>
      <c r="N30" s="2243"/>
      <c r="O30" s="1668"/>
      <c r="P30" s="2243"/>
      <c r="Q30" s="2243"/>
      <c r="R30" s="2243"/>
      <c r="S30" s="2243"/>
      <c r="T30" s="2243"/>
      <c r="U30" s="2243"/>
      <c r="V30" s="2243"/>
    </row>
    <row r="31" spans="1:28">
      <c r="A31" s="3212" t="s">
        <v>2214</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13"/>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13"/>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2215</v>
      </c>
      <c r="B34" s="1868"/>
      <c r="C34" s="1868"/>
      <c r="D34" s="1868"/>
      <c r="E34" s="1868"/>
      <c r="F34" s="1868"/>
      <c r="G34" s="1868"/>
      <c r="H34" s="1868"/>
      <c r="I34" s="2440"/>
      <c r="J34" s="2243"/>
      <c r="K34" s="8">
        <f>COUNTIF(B34:H34,"——")</f>
        <v>0</v>
      </c>
      <c r="L34" s="315" t="s">
        <v>2216</v>
      </c>
      <c r="M34" s="315" t="s">
        <v>2217</v>
      </c>
      <c r="N34" s="315" t="s">
        <v>2218</v>
      </c>
      <c r="O34" s="315" t="s">
        <v>2219</v>
      </c>
      <c r="P34" s="315" t="s">
        <v>2220</v>
      </c>
      <c r="Q34" s="315" t="s">
        <v>2221</v>
      </c>
      <c r="R34" s="315" t="s">
        <v>2222</v>
      </c>
      <c r="S34" s="3207" t="s">
        <v>2223</v>
      </c>
      <c r="T34" s="315" t="str">
        <f>NUMBERSTRING(7-K34,1)&amp;"通"</f>
        <v>七通</v>
      </c>
      <c r="U34" s="2243"/>
      <c r="V34" s="2243"/>
    </row>
    <row r="35" spans="1:30">
      <c r="A35" s="2234"/>
      <c r="B35" s="3207" t="s">
        <v>2224</v>
      </c>
      <c r="C35" s="3207"/>
      <c r="D35" s="3207"/>
      <c r="E35" s="320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3"/>
      <c r="V35" s="2243"/>
    </row>
    <row r="36" spans="1:30">
      <c r="A36" s="2181"/>
      <c r="B36" s="8" t="s">
        <v>2180</v>
      </c>
      <c r="C36" s="8" t="s">
        <v>2181</v>
      </c>
      <c r="D36" s="8" t="s">
        <v>2179</v>
      </c>
      <c r="E36" s="8" t="s">
        <v>2184</v>
      </c>
      <c r="F36" s="2799" t="s">
        <v>2573</v>
      </c>
      <c r="G36" s="2440"/>
      <c r="H36" s="2440"/>
      <c r="I36" s="2440"/>
      <c r="J36" s="2243"/>
      <c r="K36" s="2400"/>
      <c r="L36" s="2397"/>
      <c r="M36" s="2397"/>
      <c r="N36" s="2243"/>
      <c r="O36" s="1668"/>
      <c r="P36" s="2243"/>
      <c r="Q36" s="2243"/>
      <c r="R36" s="2243"/>
      <c r="S36" s="2243"/>
      <c r="T36" s="2243"/>
      <c r="U36" s="2243"/>
      <c r="V36" s="2243"/>
    </row>
    <row r="37" spans="1:30">
      <c r="A37" s="2413" t="s">
        <v>2225</v>
      </c>
      <c r="B37" s="2235"/>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2226</v>
      </c>
      <c r="B38" s="2236"/>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2227</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2228</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2229</v>
      </c>
      <c r="B42" s="8" t="s">
        <v>2230</v>
      </c>
      <c r="C42" s="8" t="s">
        <v>2231</v>
      </c>
      <c r="D42" s="8" t="s">
        <v>2232</v>
      </c>
      <c r="E42" s="8" t="s">
        <v>2233</v>
      </c>
      <c r="F42" s="8" t="s">
        <v>2234</v>
      </c>
      <c r="G42" s="8" t="s">
        <v>2235</v>
      </c>
      <c r="H42" s="8" t="s">
        <v>2236</v>
      </c>
      <c r="I42" s="8" t="s">
        <v>2237</v>
      </c>
      <c r="J42" s="2409" t="s">
        <v>2238</v>
      </c>
      <c r="K42" s="2410" t="s">
        <v>2239</v>
      </c>
      <c r="L42" s="2410" t="s">
        <v>2240</v>
      </c>
      <c r="M42" s="2410" t="s">
        <v>2241</v>
      </c>
      <c r="N42" s="2403" t="s">
        <v>2242</v>
      </c>
      <c r="O42" s="2403" t="s">
        <v>2243</v>
      </c>
      <c r="P42" s="2403" t="s">
        <v>2244</v>
      </c>
      <c r="Q42" s="2404" t="s">
        <v>2245</v>
      </c>
      <c r="R42" s="2404" t="s">
        <v>2246</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topLeftCell="A28" workbookViewId="0">
      <selection activeCell="K11" sqref="K11"/>
    </sheetView>
  </sheetViews>
  <sheetFormatPr defaultColWidth="9" defaultRowHeight="14.25"/>
  <cols>
    <col min="1" max="1" width="9" style="3101"/>
    <col min="2" max="2" width="13.625" style="3101" customWidth="1"/>
    <col min="3" max="3" width="11" style="3101" customWidth="1"/>
    <col min="4" max="4" width="10.75" style="3101" customWidth="1"/>
    <col min="5" max="5" width="12" style="3101" customWidth="1"/>
    <col min="6" max="7" width="9.875" style="3101" customWidth="1"/>
    <col min="8" max="16384" width="9" style="641"/>
  </cols>
  <sheetData>
    <row r="1" spans="1:7">
      <c r="A1" s="3161" t="s">
        <v>3375</v>
      </c>
      <c r="B1" s="3161" t="s">
        <v>3376</v>
      </c>
      <c r="C1" s="3161" t="s">
        <v>3377</v>
      </c>
      <c r="D1" s="3161" t="s">
        <v>3378</v>
      </c>
      <c r="E1" s="3161" t="s">
        <v>3379</v>
      </c>
      <c r="F1" s="3162" t="s">
        <v>3582</v>
      </c>
      <c r="G1" s="3162" t="s">
        <v>3595</v>
      </c>
    </row>
    <row r="2" spans="1:7">
      <c r="A2" s="3161">
        <v>1</v>
      </c>
      <c r="B2" s="3161" t="s">
        <v>3380</v>
      </c>
      <c r="C2" s="3161" t="s">
        <v>3387</v>
      </c>
      <c r="D2" s="3161">
        <v>5</v>
      </c>
      <c r="E2" s="3161">
        <v>108.47</v>
      </c>
      <c r="F2" s="3162" t="s">
        <v>3388</v>
      </c>
      <c r="G2" s="3162" t="s">
        <v>3388</v>
      </c>
    </row>
    <row r="3" spans="1:7">
      <c r="A3" s="3161">
        <v>2</v>
      </c>
      <c r="B3" s="3161" t="s">
        <v>3381</v>
      </c>
      <c r="C3" s="3161" t="s">
        <v>3387</v>
      </c>
      <c r="D3" s="3161">
        <v>5</v>
      </c>
      <c r="E3" s="3161">
        <v>108.47</v>
      </c>
      <c r="F3" s="3162" t="s">
        <v>3388</v>
      </c>
      <c r="G3" s="3162" t="s">
        <v>3388</v>
      </c>
    </row>
    <row r="4" spans="1:7">
      <c r="A4" s="3161">
        <v>3</v>
      </c>
      <c r="B4" s="3161" t="s">
        <v>3382</v>
      </c>
      <c r="C4" s="3161" t="s">
        <v>3387</v>
      </c>
      <c r="D4" s="3161">
        <v>5</v>
      </c>
      <c r="E4" s="3161">
        <v>108.47</v>
      </c>
      <c r="F4" s="3162" t="s">
        <v>3388</v>
      </c>
      <c r="G4" s="3162" t="s">
        <v>3597</v>
      </c>
    </row>
    <row r="5" spans="1:7">
      <c r="A5" s="3161">
        <v>4</v>
      </c>
      <c r="B5" s="3161" t="s">
        <v>3383</v>
      </c>
      <c r="C5" s="3161" t="s">
        <v>3387</v>
      </c>
      <c r="D5" s="3161">
        <v>5</v>
      </c>
      <c r="E5" s="3161">
        <v>108.47</v>
      </c>
      <c r="F5" s="3162" t="s">
        <v>3388</v>
      </c>
      <c r="G5" s="3162" t="s">
        <v>3388</v>
      </c>
    </row>
    <row r="6" spans="1:7">
      <c r="A6" s="3161">
        <v>5</v>
      </c>
      <c r="B6" s="3161" t="s">
        <v>3384</v>
      </c>
      <c r="C6" s="3161" t="s">
        <v>3387</v>
      </c>
      <c r="D6" s="3161">
        <v>5</v>
      </c>
      <c r="E6" s="3161">
        <v>138.01</v>
      </c>
      <c r="F6" s="3162" t="s">
        <v>3388</v>
      </c>
      <c r="G6" s="3162" t="s">
        <v>3388</v>
      </c>
    </row>
    <row r="7" spans="1:7">
      <c r="A7" s="3161">
        <v>6</v>
      </c>
      <c r="B7" s="3161" t="s">
        <v>3385</v>
      </c>
      <c r="C7" s="3161" t="s">
        <v>3387</v>
      </c>
      <c r="D7" s="3161">
        <v>5</v>
      </c>
      <c r="E7" s="3161">
        <v>138.01</v>
      </c>
      <c r="F7" s="3162" t="s">
        <v>3388</v>
      </c>
      <c r="G7" s="3162" t="s">
        <v>3388</v>
      </c>
    </row>
    <row r="8" spans="1:7">
      <c r="A8" s="3161">
        <v>7</v>
      </c>
      <c r="B8" s="3161" t="s">
        <v>3386</v>
      </c>
      <c r="C8" s="3161" t="s">
        <v>3387</v>
      </c>
      <c r="D8" s="3161">
        <v>5</v>
      </c>
      <c r="E8" s="3161">
        <v>201.75</v>
      </c>
      <c r="F8" s="3162" t="s">
        <v>3388</v>
      </c>
      <c r="G8" s="3162" t="s">
        <v>3388</v>
      </c>
    </row>
    <row r="9" spans="1:7">
      <c r="A9" s="3161">
        <v>8</v>
      </c>
      <c r="B9" s="3161" t="s">
        <v>3389</v>
      </c>
      <c r="C9" s="3161" t="s">
        <v>3387</v>
      </c>
      <c r="D9" s="3161">
        <v>6</v>
      </c>
      <c r="E9" s="3161">
        <v>206.15</v>
      </c>
      <c r="F9" s="3162" t="s">
        <v>3388</v>
      </c>
      <c r="G9" s="3162" t="s">
        <v>3597</v>
      </c>
    </row>
    <row r="10" spans="1:7">
      <c r="A10" s="3161">
        <v>9</v>
      </c>
      <c r="B10" s="3161" t="s">
        <v>3390</v>
      </c>
      <c r="C10" s="3161" t="s">
        <v>3387</v>
      </c>
      <c r="D10" s="3161">
        <v>6</v>
      </c>
      <c r="E10" s="3161">
        <v>109.06</v>
      </c>
      <c r="F10" s="3162" t="s">
        <v>3388</v>
      </c>
      <c r="G10" s="3162" t="s">
        <v>3597</v>
      </c>
    </row>
    <row r="11" spans="1:7">
      <c r="A11" s="3161">
        <v>10</v>
      </c>
      <c r="B11" s="3161" t="s">
        <v>3391</v>
      </c>
      <c r="C11" s="3161" t="s">
        <v>3387</v>
      </c>
      <c r="D11" s="3161">
        <v>6</v>
      </c>
      <c r="E11" s="3161">
        <v>108.47</v>
      </c>
      <c r="F11" s="3162" t="s">
        <v>3388</v>
      </c>
      <c r="G11" s="3162" t="s">
        <v>3388</v>
      </c>
    </row>
    <row r="12" spans="1:7">
      <c r="A12" s="3161">
        <v>11</v>
      </c>
      <c r="B12" s="3161" t="s">
        <v>3392</v>
      </c>
      <c r="C12" s="3161" t="s">
        <v>3387</v>
      </c>
      <c r="D12" s="3161">
        <v>6</v>
      </c>
      <c r="E12" s="3161">
        <v>108.47</v>
      </c>
      <c r="F12" s="3162" t="s">
        <v>3388</v>
      </c>
      <c r="G12" s="3162" t="s">
        <v>3388</v>
      </c>
    </row>
    <row r="13" spans="1:7">
      <c r="A13" s="3161">
        <v>12</v>
      </c>
      <c r="B13" s="3161" t="s">
        <v>3393</v>
      </c>
      <c r="C13" s="3161" t="s">
        <v>3387</v>
      </c>
      <c r="D13" s="3161">
        <v>6</v>
      </c>
      <c r="E13" s="3161">
        <v>108.47</v>
      </c>
      <c r="F13" s="3162" t="s">
        <v>3388</v>
      </c>
      <c r="G13" s="3162" t="s">
        <v>3388</v>
      </c>
    </row>
    <row r="14" spans="1:7">
      <c r="A14" s="3161">
        <v>13</v>
      </c>
      <c r="B14" s="3161" t="s">
        <v>3394</v>
      </c>
      <c r="C14" s="3161" t="s">
        <v>3387</v>
      </c>
      <c r="D14" s="3161">
        <v>6</v>
      </c>
      <c r="E14" s="3161">
        <v>108.47</v>
      </c>
      <c r="F14" s="3162" t="s">
        <v>3388</v>
      </c>
      <c r="G14" s="3162" t="s">
        <v>3388</v>
      </c>
    </row>
    <row r="15" spans="1:7">
      <c r="A15" s="3161">
        <v>14</v>
      </c>
      <c r="B15" s="3161" t="s">
        <v>3395</v>
      </c>
      <c r="C15" s="3161" t="s">
        <v>3387</v>
      </c>
      <c r="D15" s="3161">
        <v>6</v>
      </c>
      <c r="E15" s="3161">
        <v>201.75</v>
      </c>
      <c r="F15" s="3162" t="s">
        <v>3388</v>
      </c>
      <c r="G15" s="3162" t="s">
        <v>3597</v>
      </c>
    </row>
    <row r="16" spans="1:7">
      <c r="A16" s="3161">
        <v>15</v>
      </c>
      <c r="B16" s="3161" t="s">
        <v>3396</v>
      </c>
      <c r="C16" s="3161" t="s">
        <v>3387</v>
      </c>
      <c r="D16" s="3161">
        <v>7</v>
      </c>
      <c r="E16" s="3161">
        <v>142.4</v>
      </c>
      <c r="F16" s="3162" t="s">
        <v>3388</v>
      </c>
      <c r="G16" s="3162" t="s">
        <v>3597</v>
      </c>
    </row>
    <row r="17" spans="1:7">
      <c r="A17" s="3161">
        <v>16</v>
      </c>
      <c r="B17" s="3161" t="s">
        <v>3397</v>
      </c>
      <c r="C17" s="3161" t="s">
        <v>3387</v>
      </c>
      <c r="D17" s="3161">
        <v>7</v>
      </c>
      <c r="E17" s="3161">
        <v>108.47</v>
      </c>
      <c r="F17" s="3162" t="s">
        <v>3388</v>
      </c>
      <c r="G17" s="3162" t="s">
        <v>3388</v>
      </c>
    </row>
    <row r="18" spans="1:7">
      <c r="A18" s="3161">
        <v>17</v>
      </c>
      <c r="B18" s="3161" t="s">
        <v>3398</v>
      </c>
      <c r="C18" s="3161" t="s">
        <v>3387</v>
      </c>
      <c r="D18" s="3161">
        <v>7</v>
      </c>
      <c r="E18" s="3161">
        <v>108.47</v>
      </c>
      <c r="F18" s="3162" t="s">
        <v>3388</v>
      </c>
      <c r="G18" s="3162" t="s">
        <v>3388</v>
      </c>
    </row>
    <row r="19" spans="1:7">
      <c r="A19" s="3161">
        <v>18</v>
      </c>
      <c r="B19" s="3161" t="s">
        <v>3399</v>
      </c>
      <c r="C19" s="3161" t="s">
        <v>3387</v>
      </c>
      <c r="D19" s="3161">
        <v>7</v>
      </c>
      <c r="E19" s="3161">
        <v>108.47</v>
      </c>
      <c r="F19" s="3162" t="s">
        <v>3388</v>
      </c>
      <c r="G19" s="3162" t="s">
        <v>3597</v>
      </c>
    </row>
    <row r="20" spans="1:7">
      <c r="A20" s="3161">
        <v>19</v>
      </c>
      <c r="B20" s="3161" t="s">
        <v>3400</v>
      </c>
      <c r="C20" s="3161" t="s">
        <v>3387</v>
      </c>
      <c r="D20" s="3161">
        <v>7</v>
      </c>
      <c r="E20" s="3161">
        <v>108.47</v>
      </c>
      <c r="F20" s="3162" t="s">
        <v>3388</v>
      </c>
      <c r="G20" s="3162" t="s">
        <v>3597</v>
      </c>
    </row>
    <row r="21" spans="1:7">
      <c r="A21" s="3161">
        <v>20</v>
      </c>
      <c r="B21" s="3161" t="s">
        <v>3401</v>
      </c>
      <c r="C21" s="3161" t="s">
        <v>3387</v>
      </c>
      <c r="D21" s="3161">
        <v>7</v>
      </c>
      <c r="E21" s="3161">
        <v>142.4</v>
      </c>
      <c r="F21" s="3162" t="s">
        <v>3388</v>
      </c>
      <c r="G21" s="3162" t="s">
        <v>3597</v>
      </c>
    </row>
    <row r="22" spans="1:7">
      <c r="A22" s="3161">
        <v>21</v>
      </c>
      <c r="B22" s="3161" t="s">
        <v>3402</v>
      </c>
      <c r="C22" s="3161" t="s">
        <v>3387</v>
      </c>
      <c r="D22" s="3161">
        <v>8</v>
      </c>
      <c r="E22" s="3161">
        <v>208.9</v>
      </c>
      <c r="F22" s="3162" t="s">
        <v>3388</v>
      </c>
      <c r="G22" s="3162" t="s">
        <v>3597</v>
      </c>
    </row>
    <row r="23" spans="1:7">
      <c r="A23" s="3161">
        <v>22</v>
      </c>
      <c r="B23" s="3161" t="s">
        <v>3403</v>
      </c>
      <c r="C23" s="3161" t="s">
        <v>3387</v>
      </c>
      <c r="D23" s="3161">
        <v>8</v>
      </c>
      <c r="E23" s="3161">
        <v>142.4</v>
      </c>
      <c r="F23" s="3162" t="s">
        <v>3388</v>
      </c>
      <c r="G23" s="3162" t="s">
        <v>3597</v>
      </c>
    </row>
    <row r="24" spans="1:7">
      <c r="A24" s="3161">
        <v>23</v>
      </c>
      <c r="B24" s="3161" t="s">
        <v>3404</v>
      </c>
      <c r="C24" s="3161" t="s">
        <v>3387</v>
      </c>
      <c r="D24" s="3161">
        <v>8</v>
      </c>
      <c r="E24" s="3161">
        <v>108.47</v>
      </c>
      <c r="F24" s="3162" t="s">
        <v>3388</v>
      </c>
      <c r="G24" s="3162" t="s">
        <v>3597</v>
      </c>
    </row>
    <row r="25" spans="1:7">
      <c r="A25" s="3161">
        <v>24</v>
      </c>
      <c r="B25" s="3161" t="s">
        <v>3405</v>
      </c>
      <c r="C25" s="3161" t="s">
        <v>3387</v>
      </c>
      <c r="D25" s="3161">
        <v>8</v>
      </c>
      <c r="E25" s="3161">
        <v>108.47</v>
      </c>
      <c r="F25" s="3162" t="s">
        <v>3388</v>
      </c>
      <c r="G25" s="3162" t="s">
        <v>3597</v>
      </c>
    </row>
    <row r="26" spans="1:7">
      <c r="A26" s="3161">
        <v>25</v>
      </c>
      <c r="B26" s="3161" t="s">
        <v>3406</v>
      </c>
      <c r="C26" s="3161" t="s">
        <v>3387</v>
      </c>
      <c r="D26" s="3161">
        <v>8</v>
      </c>
      <c r="E26" s="3161">
        <v>108.47</v>
      </c>
      <c r="F26" s="3162" t="s">
        <v>3388</v>
      </c>
      <c r="G26" s="3162" t="s">
        <v>3597</v>
      </c>
    </row>
    <row r="27" spans="1:7">
      <c r="A27" s="3161">
        <v>26</v>
      </c>
      <c r="B27" s="3161" t="s">
        <v>3407</v>
      </c>
      <c r="C27" s="3161" t="s">
        <v>3387</v>
      </c>
      <c r="D27" s="3161">
        <v>9</v>
      </c>
      <c r="E27" s="3161">
        <v>109.06</v>
      </c>
      <c r="F27" s="3162" t="s">
        <v>3388</v>
      </c>
      <c r="G27" s="3162" t="s">
        <v>3597</v>
      </c>
    </row>
    <row r="28" spans="1:7">
      <c r="A28" s="3161">
        <v>27</v>
      </c>
      <c r="B28" s="3161" t="s">
        <v>3408</v>
      </c>
      <c r="C28" s="3161" t="s">
        <v>3387</v>
      </c>
      <c r="D28" s="3161">
        <v>9</v>
      </c>
      <c r="E28" s="3161">
        <v>109.06</v>
      </c>
      <c r="F28" s="3162" t="s">
        <v>3388</v>
      </c>
      <c r="G28" s="3162" t="s">
        <v>3597</v>
      </c>
    </row>
    <row r="29" spans="1:7">
      <c r="A29" s="3161">
        <v>28</v>
      </c>
      <c r="B29" s="3161" t="s">
        <v>3409</v>
      </c>
      <c r="C29" s="3161" t="s">
        <v>3387</v>
      </c>
      <c r="D29" s="3161">
        <v>9</v>
      </c>
      <c r="E29" s="3161">
        <v>109.06</v>
      </c>
      <c r="F29" s="3162" t="s">
        <v>3388</v>
      </c>
      <c r="G29" s="3162" t="s">
        <v>3597</v>
      </c>
    </row>
    <row r="30" spans="1:7">
      <c r="A30" s="3161">
        <v>29</v>
      </c>
      <c r="B30" s="3161" t="s">
        <v>3410</v>
      </c>
      <c r="C30" s="3161" t="s">
        <v>3387</v>
      </c>
      <c r="D30" s="3161">
        <v>9</v>
      </c>
      <c r="E30" s="3161">
        <v>142.4</v>
      </c>
      <c r="F30" s="3162" t="s">
        <v>3388</v>
      </c>
      <c r="G30" s="3162" t="s">
        <v>3597</v>
      </c>
    </row>
    <row r="31" spans="1:7">
      <c r="A31" s="3161">
        <v>30</v>
      </c>
      <c r="B31" s="3161" t="s">
        <v>3411</v>
      </c>
      <c r="C31" s="3161" t="s">
        <v>3387</v>
      </c>
      <c r="D31" s="3161">
        <v>9</v>
      </c>
      <c r="E31" s="3161">
        <v>108.47</v>
      </c>
      <c r="F31" s="3162" t="s">
        <v>3388</v>
      </c>
      <c r="G31" s="3162" t="s">
        <v>3597</v>
      </c>
    </row>
    <row r="32" spans="1:7">
      <c r="A32" s="3161">
        <v>31</v>
      </c>
      <c r="B32" s="3161" t="s">
        <v>3412</v>
      </c>
      <c r="C32" s="3161" t="s">
        <v>3387</v>
      </c>
      <c r="D32" s="3161">
        <v>9</v>
      </c>
      <c r="E32" s="3161">
        <v>108.47</v>
      </c>
      <c r="F32" s="3162" t="s">
        <v>3388</v>
      </c>
      <c r="G32" s="3162" t="s">
        <v>3597</v>
      </c>
    </row>
    <row r="33" spans="1:7">
      <c r="A33" s="3161">
        <v>32</v>
      </c>
      <c r="B33" s="3161" t="s">
        <v>3413</v>
      </c>
      <c r="C33" s="3161" t="s">
        <v>3387</v>
      </c>
      <c r="D33" s="3161">
        <v>9</v>
      </c>
      <c r="E33" s="3161">
        <v>100.31</v>
      </c>
      <c r="F33" s="3162" t="s">
        <v>3388</v>
      </c>
      <c r="G33" s="3162" t="s">
        <v>3597</v>
      </c>
    </row>
    <row r="34" spans="1:7">
      <c r="A34" s="3161">
        <v>33</v>
      </c>
      <c r="B34" s="3161" t="s">
        <v>3415</v>
      </c>
      <c r="C34" s="3161" t="s">
        <v>3387</v>
      </c>
      <c r="D34" s="3161">
        <v>9</v>
      </c>
      <c r="E34" s="3161">
        <v>108.47</v>
      </c>
      <c r="F34" s="3162" t="s">
        <v>3388</v>
      </c>
      <c r="G34" s="3162" t="s">
        <v>3597</v>
      </c>
    </row>
    <row r="35" spans="1:7">
      <c r="A35" s="3161">
        <v>34</v>
      </c>
      <c r="B35" s="3161" t="s">
        <v>3414</v>
      </c>
      <c r="C35" s="3161" t="s">
        <v>3387</v>
      </c>
      <c r="D35" s="3161">
        <v>9</v>
      </c>
      <c r="E35" s="3161">
        <v>108.47</v>
      </c>
      <c r="F35" s="3162" t="s">
        <v>3388</v>
      </c>
      <c r="G35" s="3162" t="s">
        <v>3597</v>
      </c>
    </row>
    <row r="36" spans="1:7">
      <c r="A36" s="3161">
        <v>35</v>
      </c>
      <c r="B36" s="3161" t="s">
        <v>3416</v>
      </c>
      <c r="C36" s="3161" t="s">
        <v>3387</v>
      </c>
      <c r="D36" s="3161">
        <v>9</v>
      </c>
      <c r="E36" s="3161">
        <v>142.4</v>
      </c>
      <c r="F36" s="3162" t="s">
        <v>3388</v>
      </c>
      <c r="G36" s="3162" t="s">
        <v>3597</v>
      </c>
    </row>
    <row r="37" spans="1:7">
      <c r="A37" s="3161">
        <v>36</v>
      </c>
      <c r="B37" s="3161" t="s">
        <v>3417</v>
      </c>
      <c r="C37" s="3161" t="s">
        <v>3387</v>
      </c>
      <c r="D37" s="3161">
        <v>10</v>
      </c>
      <c r="E37" s="3161">
        <v>109.06</v>
      </c>
      <c r="F37" s="3162" t="s">
        <v>3388</v>
      </c>
      <c r="G37" s="3162" t="s">
        <v>3597</v>
      </c>
    </row>
    <row r="38" spans="1:7">
      <c r="A38" s="3161">
        <v>37</v>
      </c>
      <c r="B38" s="3161" t="s">
        <v>3418</v>
      </c>
      <c r="C38" s="3161" t="s">
        <v>3387</v>
      </c>
      <c r="D38" s="3161">
        <v>10</v>
      </c>
      <c r="E38" s="3161">
        <v>100.31</v>
      </c>
      <c r="F38" s="3162" t="s">
        <v>3388</v>
      </c>
      <c r="G38" s="3162" t="s">
        <v>3597</v>
      </c>
    </row>
    <row r="39" spans="1:7">
      <c r="A39" s="3161">
        <v>38</v>
      </c>
      <c r="B39" s="3161" t="s">
        <v>3419</v>
      </c>
      <c r="C39" s="3161" t="s">
        <v>3387</v>
      </c>
      <c r="D39" s="3161">
        <v>11</v>
      </c>
      <c r="E39" s="3161">
        <v>109.06</v>
      </c>
      <c r="F39" s="3162" t="s">
        <v>3388</v>
      </c>
      <c r="G39" s="3162" t="s">
        <v>3597</v>
      </c>
    </row>
    <row r="40" spans="1:7">
      <c r="A40" s="3161">
        <v>39</v>
      </c>
      <c r="B40" s="3161" t="s">
        <v>3420</v>
      </c>
      <c r="C40" s="3161" t="s">
        <v>3387</v>
      </c>
      <c r="D40" s="3161">
        <v>11</v>
      </c>
      <c r="E40" s="3161">
        <v>208.9</v>
      </c>
      <c r="F40" s="3162" t="s">
        <v>3388</v>
      </c>
      <c r="G40" s="3162" t="s">
        <v>3597</v>
      </c>
    </row>
    <row r="41" spans="1:7">
      <c r="A41" s="3161">
        <v>40</v>
      </c>
      <c r="B41" s="3161" t="s">
        <v>3421</v>
      </c>
      <c r="C41" s="3161" t="s">
        <v>3387</v>
      </c>
      <c r="D41" s="3161">
        <v>11</v>
      </c>
      <c r="E41" s="3161">
        <v>108.47</v>
      </c>
      <c r="F41" s="3162" t="s">
        <v>3388</v>
      </c>
      <c r="G41" s="3162" t="s">
        <v>3597</v>
      </c>
    </row>
    <row r="42" spans="1:7">
      <c r="A42" s="3161">
        <v>41</v>
      </c>
      <c r="B42" s="3161" t="s">
        <v>3422</v>
      </c>
      <c r="C42" s="3161" t="s">
        <v>3387</v>
      </c>
      <c r="D42" s="3161">
        <v>11</v>
      </c>
      <c r="E42" s="3161">
        <v>100.31</v>
      </c>
      <c r="F42" s="3162" t="s">
        <v>3388</v>
      </c>
      <c r="G42" s="3162" t="s">
        <v>3597</v>
      </c>
    </row>
    <row r="43" spans="1:7">
      <c r="A43" s="3161">
        <v>42</v>
      </c>
      <c r="B43" s="3161" t="s">
        <v>3423</v>
      </c>
      <c r="C43" s="3161" t="s">
        <v>3387</v>
      </c>
      <c r="D43" s="3161">
        <v>11</v>
      </c>
      <c r="E43" s="3161">
        <v>108.47</v>
      </c>
      <c r="F43" s="3162" t="s">
        <v>3388</v>
      </c>
      <c r="G43" s="3162" t="s">
        <v>3597</v>
      </c>
    </row>
    <row r="44" spans="1:7">
      <c r="A44" s="3161">
        <v>43</v>
      </c>
      <c r="B44" s="3161" t="s">
        <v>3424</v>
      </c>
      <c r="C44" s="3161" t="s">
        <v>3387</v>
      </c>
      <c r="D44" s="3161">
        <v>11</v>
      </c>
      <c r="E44" s="3161">
        <v>142.4</v>
      </c>
      <c r="F44" s="3162" t="s">
        <v>3388</v>
      </c>
      <c r="G44" s="3162" t="s">
        <v>3597</v>
      </c>
    </row>
    <row r="45" spans="1:7">
      <c r="A45" s="3161">
        <v>44</v>
      </c>
      <c r="B45" s="3161" t="s">
        <v>3425</v>
      </c>
      <c r="C45" s="3161" t="s">
        <v>3387</v>
      </c>
      <c r="D45" s="3161">
        <v>14</v>
      </c>
      <c r="E45" s="3161">
        <v>109.06</v>
      </c>
      <c r="F45" s="3162" t="s">
        <v>3388</v>
      </c>
      <c r="G45" s="3162" t="s">
        <v>3388</v>
      </c>
    </row>
    <row r="46" spans="1:7">
      <c r="A46" s="3161">
        <v>45</v>
      </c>
      <c r="B46" s="3161" t="s">
        <v>3426</v>
      </c>
      <c r="C46" s="3161" t="s">
        <v>3387</v>
      </c>
      <c r="D46" s="3161">
        <v>14</v>
      </c>
      <c r="E46" s="3161">
        <v>109.06</v>
      </c>
      <c r="F46" s="3162" t="s">
        <v>3388</v>
      </c>
      <c r="G46" s="3162" t="s">
        <v>3388</v>
      </c>
    </row>
    <row r="47" spans="1:7">
      <c r="A47" s="3161">
        <v>46</v>
      </c>
      <c r="B47" s="3161" t="s">
        <v>3427</v>
      </c>
      <c r="C47" s="3161" t="s">
        <v>3387</v>
      </c>
      <c r="D47" s="3161">
        <v>14</v>
      </c>
      <c r="E47" s="3161">
        <v>109.06</v>
      </c>
      <c r="F47" s="3162" t="s">
        <v>3388</v>
      </c>
      <c r="G47" s="3162" t="s">
        <v>3388</v>
      </c>
    </row>
    <row r="48" spans="1:7">
      <c r="A48" s="3161">
        <v>47</v>
      </c>
      <c r="B48" s="3161" t="s">
        <v>3428</v>
      </c>
      <c r="C48" s="3161" t="s">
        <v>3387</v>
      </c>
      <c r="D48" s="3161">
        <v>14</v>
      </c>
      <c r="E48" s="3161">
        <v>109.06</v>
      </c>
      <c r="F48" s="3162" t="s">
        <v>3388</v>
      </c>
      <c r="G48" s="3162" t="s">
        <v>3388</v>
      </c>
    </row>
    <row r="49" spans="1:7">
      <c r="A49" s="3161">
        <v>48</v>
      </c>
      <c r="B49" s="3161" t="s">
        <v>3429</v>
      </c>
      <c r="C49" s="3161" t="s">
        <v>3387</v>
      </c>
      <c r="D49" s="3161">
        <v>14</v>
      </c>
      <c r="E49" s="3161">
        <v>109.06</v>
      </c>
      <c r="F49" s="3162" t="s">
        <v>3388</v>
      </c>
      <c r="G49" s="3162" t="s">
        <v>3388</v>
      </c>
    </row>
    <row r="50" spans="1:7">
      <c r="A50" s="3161">
        <v>49</v>
      </c>
      <c r="B50" s="3161" t="s">
        <v>3430</v>
      </c>
      <c r="C50" s="3161" t="s">
        <v>3387</v>
      </c>
      <c r="D50" s="3161">
        <v>14</v>
      </c>
      <c r="E50" s="3161">
        <v>208.9</v>
      </c>
      <c r="F50" s="3162" t="s">
        <v>3388</v>
      </c>
      <c r="G50" s="3162" t="s">
        <v>3388</v>
      </c>
    </row>
    <row r="51" spans="1:7">
      <c r="A51" s="3161">
        <v>50</v>
      </c>
      <c r="B51" s="3161" t="s">
        <v>3431</v>
      </c>
      <c r="C51" s="3161" t="s">
        <v>3387</v>
      </c>
      <c r="D51" s="3161">
        <v>14</v>
      </c>
      <c r="E51" s="3161">
        <v>108.47</v>
      </c>
      <c r="F51" s="3162" t="s">
        <v>3388</v>
      </c>
      <c r="G51" s="3162" t="s">
        <v>3597</v>
      </c>
    </row>
    <row r="52" spans="1:7">
      <c r="A52" s="3161">
        <v>51</v>
      </c>
      <c r="B52" s="3161" t="s">
        <v>3432</v>
      </c>
      <c r="C52" s="3161" t="s">
        <v>3387</v>
      </c>
      <c r="D52" s="3161">
        <v>14</v>
      </c>
      <c r="E52" s="3161">
        <v>108.47</v>
      </c>
      <c r="F52" s="3162" t="s">
        <v>3388</v>
      </c>
      <c r="G52" s="3162" t="s">
        <v>3597</v>
      </c>
    </row>
    <row r="53" spans="1:7">
      <c r="A53" s="3161">
        <v>52</v>
      </c>
      <c r="B53" s="3161" t="s">
        <v>3433</v>
      </c>
      <c r="C53" s="3161" t="s">
        <v>3387</v>
      </c>
      <c r="D53" s="3161">
        <v>14</v>
      </c>
      <c r="E53" s="3161">
        <v>100.31</v>
      </c>
      <c r="F53" s="3162" t="s">
        <v>3388</v>
      </c>
      <c r="G53" s="3162" t="s">
        <v>3597</v>
      </c>
    </row>
    <row r="54" spans="1:7">
      <c r="A54" s="3161">
        <v>53</v>
      </c>
      <c r="B54" s="3161" t="s">
        <v>3502</v>
      </c>
      <c r="C54" s="3161" t="s">
        <v>3387</v>
      </c>
      <c r="D54" s="3161">
        <v>14</v>
      </c>
      <c r="E54" s="3161">
        <v>108.47</v>
      </c>
      <c r="F54" s="3162" t="s">
        <v>3388</v>
      </c>
      <c r="G54" s="3162" t="s">
        <v>3597</v>
      </c>
    </row>
    <row r="55" spans="1:7">
      <c r="A55" s="3161">
        <v>54</v>
      </c>
      <c r="B55" s="3161" t="s">
        <v>3503</v>
      </c>
      <c r="C55" s="3161" t="s">
        <v>3387</v>
      </c>
      <c r="D55" s="3161">
        <v>14</v>
      </c>
      <c r="E55" s="3161">
        <v>142.4</v>
      </c>
      <c r="F55" s="3162" t="s">
        <v>3388</v>
      </c>
      <c r="G55" s="3162" t="s">
        <v>3597</v>
      </c>
    </row>
    <row r="56" spans="1:7">
      <c r="A56" s="3161">
        <v>55</v>
      </c>
      <c r="B56" s="3161" t="s">
        <v>3434</v>
      </c>
      <c r="C56" s="3161" t="s">
        <v>3387</v>
      </c>
      <c r="D56" s="3161">
        <v>15</v>
      </c>
      <c r="E56" s="3161">
        <v>109.06</v>
      </c>
      <c r="F56" s="3162" t="s">
        <v>3388</v>
      </c>
      <c r="G56" s="3162" t="s">
        <v>3597</v>
      </c>
    </row>
    <row r="57" spans="1:7">
      <c r="A57" s="3161">
        <v>56</v>
      </c>
      <c r="B57" s="3161" t="s">
        <v>3435</v>
      </c>
      <c r="C57" s="3161" t="s">
        <v>3387</v>
      </c>
      <c r="D57" s="3161">
        <v>15</v>
      </c>
      <c r="E57" s="3161">
        <v>109.06</v>
      </c>
      <c r="F57" s="3162" t="s">
        <v>3388</v>
      </c>
      <c r="G57" s="3162" t="s">
        <v>3597</v>
      </c>
    </row>
    <row r="58" spans="1:7">
      <c r="A58" s="3161">
        <v>57</v>
      </c>
      <c r="B58" s="3161" t="s">
        <v>3436</v>
      </c>
      <c r="C58" s="3161" t="s">
        <v>3387</v>
      </c>
      <c r="D58" s="3161">
        <v>15</v>
      </c>
      <c r="E58" s="3161">
        <v>208.9</v>
      </c>
      <c r="F58" s="3162" t="s">
        <v>3388</v>
      </c>
      <c r="G58" s="3162" t="s">
        <v>3597</v>
      </c>
    </row>
    <row r="59" spans="1:7">
      <c r="A59" s="3161">
        <v>58</v>
      </c>
      <c r="B59" s="3161" t="s">
        <v>3437</v>
      </c>
      <c r="C59" s="3161" t="s">
        <v>3387</v>
      </c>
      <c r="D59" s="3161">
        <v>15</v>
      </c>
      <c r="E59" s="3161">
        <v>108.47</v>
      </c>
      <c r="F59" s="3162" t="s">
        <v>3388</v>
      </c>
      <c r="G59" s="3162" t="s">
        <v>3597</v>
      </c>
    </row>
    <row r="60" spans="1:7">
      <c r="A60" s="3161">
        <v>59</v>
      </c>
      <c r="B60" s="3161" t="s">
        <v>3438</v>
      </c>
      <c r="C60" s="3161" t="s">
        <v>3387</v>
      </c>
      <c r="D60" s="3161">
        <v>15</v>
      </c>
      <c r="E60" s="3161">
        <v>108.47</v>
      </c>
      <c r="F60" s="3162" t="s">
        <v>3388</v>
      </c>
      <c r="G60" s="3162" t="s">
        <v>3597</v>
      </c>
    </row>
    <row r="61" spans="1:7">
      <c r="A61" s="3161">
        <v>60</v>
      </c>
      <c r="B61" s="3161" t="s">
        <v>3439</v>
      </c>
      <c r="C61" s="3161" t="s">
        <v>3387</v>
      </c>
      <c r="D61" s="3161">
        <v>15</v>
      </c>
      <c r="E61" s="3161">
        <v>100.31</v>
      </c>
      <c r="F61" s="3162" t="s">
        <v>3388</v>
      </c>
      <c r="G61" s="3162" t="s">
        <v>3597</v>
      </c>
    </row>
    <row r="62" spans="1:7">
      <c r="A62" s="3161">
        <v>61</v>
      </c>
      <c r="B62" s="3161" t="s">
        <v>3440</v>
      </c>
      <c r="C62" s="3161" t="s">
        <v>3387</v>
      </c>
      <c r="D62" s="3161">
        <v>15</v>
      </c>
      <c r="E62" s="3161">
        <v>108.47</v>
      </c>
      <c r="F62" s="3162" t="s">
        <v>3388</v>
      </c>
      <c r="G62" s="3162" t="s">
        <v>3597</v>
      </c>
    </row>
    <row r="63" spans="1:7">
      <c r="A63" s="3161">
        <v>62</v>
      </c>
      <c r="B63" s="3161" t="s">
        <v>3441</v>
      </c>
      <c r="C63" s="3161" t="s">
        <v>3387</v>
      </c>
      <c r="D63" s="3161">
        <v>15</v>
      </c>
      <c r="E63" s="3161">
        <v>142.4</v>
      </c>
      <c r="F63" s="3162" t="s">
        <v>3388</v>
      </c>
      <c r="G63" s="3162" t="s">
        <v>3597</v>
      </c>
    </row>
    <row r="64" spans="1:7">
      <c r="A64" s="3161">
        <v>63</v>
      </c>
      <c r="B64" s="3161" t="s">
        <v>3443</v>
      </c>
      <c r="C64" s="3161" t="s">
        <v>3387</v>
      </c>
      <c r="D64" s="3161">
        <v>16</v>
      </c>
      <c r="E64" s="3161">
        <v>208.9</v>
      </c>
      <c r="F64" s="3162" t="s">
        <v>3388</v>
      </c>
      <c r="G64" s="3162" t="s">
        <v>3597</v>
      </c>
    </row>
    <row r="65" spans="1:7">
      <c r="A65" s="3161">
        <v>64</v>
      </c>
      <c r="B65" s="3161" t="s">
        <v>3444</v>
      </c>
      <c r="C65" s="3161" t="s">
        <v>3387</v>
      </c>
      <c r="D65" s="3161">
        <v>16</v>
      </c>
      <c r="E65" s="3161">
        <v>218.12</v>
      </c>
      <c r="F65" s="3162" t="s">
        <v>3442</v>
      </c>
      <c r="G65" s="3162" t="s">
        <v>3597</v>
      </c>
    </row>
    <row r="66" spans="1:7">
      <c r="A66" s="3161">
        <v>65</v>
      </c>
      <c r="B66" s="3161" t="s">
        <v>3445</v>
      </c>
      <c r="C66" s="3161" t="s">
        <v>3387</v>
      </c>
      <c r="D66" s="3161">
        <v>16</v>
      </c>
      <c r="E66" s="3161">
        <v>208.9</v>
      </c>
      <c r="F66" s="3162" t="s">
        <v>3442</v>
      </c>
      <c r="G66" s="3162" t="s">
        <v>3597</v>
      </c>
    </row>
    <row r="67" spans="1:7">
      <c r="A67" s="3161">
        <v>66</v>
      </c>
      <c r="B67" s="3161" t="s">
        <v>3446</v>
      </c>
      <c r="C67" s="3161" t="s">
        <v>3387</v>
      </c>
      <c r="D67" s="3161">
        <v>16</v>
      </c>
      <c r="E67" s="3161">
        <v>250.89</v>
      </c>
      <c r="F67" s="3162" t="s">
        <v>3442</v>
      </c>
      <c r="G67" s="3162" t="s">
        <v>3597</v>
      </c>
    </row>
    <row r="68" spans="1:7">
      <c r="A68" s="3161">
        <v>67</v>
      </c>
      <c r="B68" s="3161" t="s">
        <v>3447</v>
      </c>
      <c r="C68" s="3161" t="s">
        <v>3387</v>
      </c>
      <c r="D68" s="3161">
        <v>16</v>
      </c>
      <c r="E68" s="3161">
        <v>108.47</v>
      </c>
      <c r="F68" s="3162" t="s">
        <v>3442</v>
      </c>
      <c r="G68" s="3162" t="s">
        <v>3597</v>
      </c>
    </row>
    <row r="69" spans="1:7">
      <c r="A69" s="3161">
        <v>68</v>
      </c>
      <c r="B69" s="3161" t="s">
        <v>3448</v>
      </c>
      <c r="C69" s="3161" t="s">
        <v>3387</v>
      </c>
      <c r="D69" s="3161">
        <v>16</v>
      </c>
      <c r="E69" s="3161">
        <v>250.89</v>
      </c>
      <c r="F69" s="3162" t="s">
        <v>3442</v>
      </c>
      <c r="G69" s="3162" t="s">
        <v>3597</v>
      </c>
    </row>
    <row r="70" spans="1:7">
      <c r="A70" s="3161">
        <v>69</v>
      </c>
      <c r="B70" s="3161" t="s">
        <v>3449</v>
      </c>
      <c r="C70" s="3161" t="s">
        <v>3387</v>
      </c>
      <c r="D70" s="3161">
        <v>2</v>
      </c>
      <c r="E70" s="3161">
        <v>125.44</v>
      </c>
      <c r="F70" s="3162" t="s">
        <v>3442</v>
      </c>
      <c r="G70" s="3162" t="s">
        <v>3388</v>
      </c>
    </row>
    <row r="71" spans="1:7">
      <c r="A71" s="3161">
        <v>70</v>
      </c>
      <c r="B71" s="3161" t="s">
        <v>3450</v>
      </c>
      <c r="C71" s="3161" t="s">
        <v>3387</v>
      </c>
      <c r="D71" s="3161">
        <v>2</v>
      </c>
      <c r="E71" s="3161">
        <v>211.49</v>
      </c>
      <c r="F71" s="3162" t="s">
        <v>3442</v>
      </c>
      <c r="G71" s="3162" t="s">
        <v>3388</v>
      </c>
    </row>
    <row r="72" spans="1:7">
      <c r="A72" s="3161">
        <v>71</v>
      </c>
      <c r="B72" s="3161" t="s">
        <v>3451</v>
      </c>
      <c r="C72" s="3161" t="s">
        <v>3387</v>
      </c>
      <c r="D72" s="3161">
        <v>2</v>
      </c>
      <c r="E72" s="3161">
        <v>211.49</v>
      </c>
      <c r="F72" s="3162" t="s">
        <v>3442</v>
      </c>
      <c r="G72" s="3162" t="s">
        <v>3388</v>
      </c>
    </row>
    <row r="73" spans="1:7">
      <c r="A73" s="3161">
        <v>72</v>
      </c>
      <c r="B73" s="3161" t="s">
        <v>3452</v>
      </c>
      <c r="C73" s="3161" t="s">
        <v>3387</v>
      </c>
      <c r="D73" s="3161">
        <v>2</v>
      </c>
      <c r="E73" s="3161">
        <v>125.44</v>
      </c>
      <c r="F73" s="3162" t="s">
        <v>3442</v>
      </c>
      <c r="G73" s="3162" t="s">
        <v>3388</v>
      </c>
    </row>
    <row r="74" spans="1:7">
      <c r="A74" s="3161">
        <v>73</v>
      </c>
      <c r="B74" s="3161" t="s">
        <v>3453</v>
      </c>
      <c r="C74" s="3161" t="s">
        <v>3387</v>
      </c>
      <c r="D74" s="3161">
        <v>2</v>
      </c>
      <c r="E74" s="3161">
        <v>125.44</v>
      </c>
      <c r="F74" s="3162" t="s">
        <v>3442</v>
      </c>
      <c r="G74" s="3162" t="s">
        <v>3388</v>
      </c>
    </row>
    <row r="75" spans="1:7">
      <c r="A75" s="3161">
        <v>74</v>
      </c>
      <c r="B75" s="3161" t="s">
        <v>3454</v>
      </c>
      <c r="C75" s="3161" t="s">
        <v>3387</v>
      </c>
      <c r="D75" s="3161">
        <v>2</v>
      </c>
      <c r="E75" s="3161">
        <v>164.06</v>
      </c>
      <c r="F75" s="3162" t="s">
        <v>3442</v>
      </c>
      <c r="G75" s="3162" t="s">
        <v>3388</v>
      </c>
    </row>
    <row r="76" spans="1:7">
      <c r="A76" s="3161">
        <v>75</v>
      </c>
      <c r="B76" s="3161" t="s">
        <v>3455</v>
      </c>
      <c r="C76" s="3161" t="s">
        <v>3387</v>
      </c>
      <c r="D76" s="3161">
        <v>2</v>
      </c>
      <c r="E76" s="3161">
        <v>169.88</v>
      </c>
      <c r="F76" s="3162" t="s">
        <v>3442</v>
      </c>
      <c r="G76" s="3162" t="s">
        <v>3388</v>
      </c>
    </row>
    <row r="77" spans="1:7">
      <c r="A77" s="3161">
        <v>76</v>
      </c>
      <c r="B77" s="3161" t="s">
        <v>3456</v>
      </c>
      <c r="C77" s="3161" t="s">
        <v>3387</v>
      </c>
      <c r="D77" s="3161">
        <v>2</v>
      </c>
      <c r="E77" s="3161">
        <v>125.44</v>
      </c>
      <c r="F77" s="3162" t="s">
        <v>3442</v>
      </c>
      <c r="G77" s="3162" t="s">
        <v>3388</v>
      </c>
    </row>
    <row r="78" spans="1:7">
      <c r="A78" s="3161">
        <v>77</v>
      </c>
      <c r="B78" s="3161" t="s">
        <v>3457</v>
      </c>
      <c r="C78" s="3161" t="s">
        <v>3387</v>
      </c>
      <c r="D78" s="3161">
        <v>7</v>
      </c>
      <c r="E78" s="3161">
        <v>234.74</v>
      </c>
      <c r="F78" s="3162" t="s">
        <v>3442</v>
      </c>
      <c r="G78" s="3162" t="s">
        <v>3388</v>
      </c>
    </row>
    <row r="79" spans="1:7">
      <c r="A79" s="3161">
        <v>78</v>
      </c>
      <c r="B79" s="3161" t="s">
        <v>3458</v>
      </c>
      <c r="C79" s="3161" t="s">
        <v>3387</v>
      </c>
      <c r="D79" s="3161">
        <v>10</v>
      </c>
      <c r="E79" s="3161">
        <v>125.44</v>
      </c>
      <c r="F79" s="3162" t="s">
        <v>3442</v>
      </c>
      <c r="G79" s="3162" t="s">
        <v>3388</v>
      </c>
    </row>
    <row r="80" spans="1:7">
      <c r="A80" s="3161">
        <v>79</v>
      </c>
      <c r="B80" s="3161" t="s">
        <v>3459</v>
      </c>
      <c r="C80" s="3161" t="s">
        <v>3387</v>
      </c>
      <c r="D80" s="3161">
        <v>10</v>
      </c>
      <c r="E80" s="3161">
        <v>211.49</v>
      </c>
      <c r="F80" s="3162" t="s">
        <v>3442</v>
      </c>
      <c r="G80" s="3162" t="s">
        <v>3388</v>
      </c>
    </row>
    <row r="81" spans="1:8">
      <c r="A81" s="3161">
        <v>80</v>
      </c>
      <c r="B81" s="3161" t="s">
        <v>3460</v>
      </c>
      <c r="C81" s="3161" t="s">
        <v>3387</v>
      </c>
      <c r="D81" s="3161">
        <v>10</v>
      </c>
      <c r="E81" s="3161">
        <v>211.49</v>
      </c>
      <c r="F81" s="3162" t="s">
        <v>3442</v>
      </c>
      <c r="G81" s="3162" t="s">
        <v>3388</v>
      </c>
      <c r="H81" s="3153" t="s">
        <v>3599</v>
      </c>
    </row>
    <row r="82" spans="1:8">
      <c r="A82" s="3161">
        <v>81</v>
      </c>
      <c r="B82" s="3161" t="s">
        <v>3461</v>
      </c>
      <c r="C82" s="3161" t="s">
        <v>3387</v>
      </c>
      <c r="D82" s="3161">
        <v>10</v>
      </c>
      <c r="E82" s="3161">
        <v>125.44</v>
      </c>
      <c r="F82" s="3162" t="s">
        <v>3442</v>
      </c>
      <c r="G82" s="3162" t="s">
        <v>3388</v>
      </c>
      <c r="H82" s="3153" t="s">
        <v>3599</v>
      </c>
    </row>
    <row r="83" spans="1:8">
      <c r="A83" s="3161">
        <v>82</v>
      </c>
      <c r="B83" s="3161" t="s">
        <v>3462</v>
      </c>
      <c r="C83" s="3161" t="s">
        <v>3387</v>
      </c>
      <c r="D83" s="3161">
        <v>10</v>
      </c>
      <c r="E83" s="3161">
        <v>125.44</v>
      </c>
      <c r="F83" s="3162" t="s">
        <v>3442</v>
      </c>
      <c r="G83" s="3162" t="s">
        <v>3388</v>
      </c>
      <c r="H83" s="3153" t="s">
        <v>3599</v>
      </c>
    </row>
    <row r="84" spans="1:8">
      <c r="A84" s="3161">
        <v>83</v>
      </c>
      <c r="B84" s="3161" t="s">
        <v>3463</v>
      </c>
      <c r="C84" s="3161" t="s">
        <v>3387</v>
      </c>
      <c r="D84" s="3161">
        <v>10</v>
      </c>
      <c r="E84" s="3161">
        <v>234.73</v>
      </c>
      <c r="F84" s="3162" t="s">
        <v>3442</v>
      </c>
      <c r="G84" s="3162" t="s">
        <v>3388</v>
      </c>
      <c r="H84" s="3153" t="s">
        <v>3599</v>
      </c>
    </row>
    <row r="85" spans="1:8">
      <c r="A85" s="3161">
        <v>84</v>
      </c>
      <c r="B85" s="3161" t="s">
        <v>3464</v>
      </c>
      <c r="C85" s="3161" t="s">
        <v>3387</v>
      </c>
      <c r="D85" s="3161">
        <v>10</v>
      </c>
      <c r="E85" s="3161">
        <v>234.74</v>
      </c>
      <c r="F85" s="3162" t="s">
        <v>3442</v>
      </c>
      <c r="G85" s="3162" t="s">
        <v>3388</v>
      </c>
      <c r="H85" s="3153" t="s">
        <v>3599</v>
      </c>
    </row>
    <row r="86" spans="1:8">
      <c r="A86" s="3161">
        <v>85</v>
      </c>
      <c r="B86" s="3161" t="s">
        <v>3465</v>
      </c>
      <c r="C86" s="3161" t="s">
        <v>3387</v>
      </c>
      <c r="D86" s="3161">
        <v>10</v>
      </c>
      <c r="E86" s="3161">
        <v>125.44</v>
      </c>
      <c r="F86" s="3162" t="s">
        <v>3442</v>
      </c>
      <c r="G86" s="3162" t="s">
        <v>3388</v>
      </c>
    </row>
    <row r="87" spans="1:8">
      <c r="A87" s="3161">
        <v>86</v>
      </c>
      <c r="B87" s="3161" t="s">
        <v>3466</v>
      </c>
      <c r="C87" s="3161" t="s">
        <v>3387</v>
      </c>
      <c r="D87" s="3161">
        <v>11</v>
      </c>
      <c r="E87" s="3161">
        <v>125.44</v>
      </c>
      <c r="F87" s="3162" t="s">
        <v>3442</v>
      </c>
      <c r="G87" s="3162" t="s">
        <v>3388</v>
      </c>
    </row>
    <row r="88" spans="1:8">
      <c r="A88" s="3161">
        <v>87</v>
      </c>
      <c r="B88" s="3161" t="s">
        <v>3467</v>
      </c>
      <c r="C88" s="3161" t="s">
        <v>3387</v>
      </c>
      <c r="D88" s="3161">
        <v>11</v>
      </c>
      <c r="E88" s="3161">
        <v>211.49</v>
      </c>
      <c r="F88" s="3162" t="s">
        <v>3442</v>
      </c>
      <c r="G88" s="3162" t="s">
        <v>3388</v>
      </c>
    </row>
    <row r="89" spans="1:8">
      <c r="A89" s="3161">
        <v>88</v>
      </c>
      <c r="B89" s="3161" t="s">
        <v>3468</v>
      </c>
      <c r="C89" s="3161" t="s">
        <v>3387</v>
      </c>
      <c r="D89" s="3161">
        <v>11</v>
      </c>
      <c r="E89" s="3161">
        <v>211.49</v>
      </c>
      <c r="F89" s="3162" t="s">
        <v>3442</v>
      </c>
      <c r="G89" s="3162" t="s">
        <v>3388</v>
      </c>
    </row>
    <row r="90" spans="1:8">
      <c r="A90" s="3161">
        <v>89</v>
      </c>
      <c r="B90" s="3161" t="s">
        <v>3469</v>
      </c>
      <c r="C90" s="3161" t="s">
        <v>3387</v>
      </c>
      <c r="D90" s="3161">
        <v>11</v>
      </c>
      <c r="E90" s="3161">
        <v>125.44</v>
      </c>
      <c r="F90" s="3162" t="s">
        <v>3442</v>
      </c>
      <c r="G90" s="3162" t="s">
        <v>3388</v>
      </c>
    </row>
    <row r="91" spans="1:8">
      <c r="A91" s="3161">
        <v>90</v>
      </c>
      <c r="B91" s="3161" t="s">
        <v>3470</v>
      </c>
      <c r="C91" s="3161" t="s">
        <v>3387</v>
      </c>
      <c r="D91" s="3161">
        <v>11</v>
      </c>
      <c r="E91" s="3161">
        <v>125.44</v>
      </c>
      <c r="F91" s="3162" t="s">
        <v>3442</v>
      </c>
      <c r="G91" s="3162" t="s">
        <v>3388</v>
      </c>
    </row>
    <row r="92" spans="1:8">
      <c r="A92" s="3161">
        <v>91</v>
      </c>
      <c r="B92" s="3161" t="s">
        <v>3471</v>
      </c>
      <c r="C92" s="3161" t="s">
        <v>3387</v>
      </c>
      <c r="D92" s="3161">
        <v>11</v>
      </c>
      <c r="E92" s="3161">
        <v>234.73</v>
      </c>
      <c r="F92" s="3162" t="s">
        <v>3442</v>
      </c>
      <c r="G92" s="3162" t="s">
        <v>3388</v>
      </c>
    </row>
    <row r="93" spans="1:8">
      <c r="A93" s="3161">
        <v>92</v>
      </c>
      <c r="B93" s="3161" t="s">
        <v>3472</v>
      </c>
      <c r="C93" s="3161" t="s">
        <v>3387</v>
      </c>
      <c r="D93" s="3161">
        <v>11</v>
      </c>
      <c r="E93" s="3161">
        <v>234.74</v>
      </c>
      <c r="F93" s="3162" t="s">
        <v>3442</v>
      </c>
      <c r="G93" s="3162" t="s">
        <v>3388</v>
      </c>
    </row>
    <row r="94" spans="1:8">
      <c r="A94" s="3161">
        <v>93</v>
      </c>
      <c r="B94" s="3161" t="s">
        <v>3473</v>
      </c>
      <c r="C94" s="3161" t="s">
        <v>3387</v>
      </c>
      <c r="D94" s="3161">
        <v>11</v>
      </c>
      <c r="E94" s="3161">
        <v>125.44</v>
      </c>
      <c r="F94" s="3162" t="s">
        <v>3442</v>
      </c>
      <c r="G94" s="3162" t="s">
        <v>3388</v>
      </c>
    </row>
    <row r="95" spans="1:8">
      <c r="A95" s="3161">
        <v>94</v>
      </c>
      <c r="B95" s="3161" t="s">
        <v>3474</v>
      </c>
      <c r="C95" s="3161" t="s">
        <v>3387</v>
      </c>
      <c r="D95" s="3161">
        <v>18</v>
      </c>
      <c r="E95" s="3161">
        <v>125.44</v>
      </c>
      <c r="F95" s="3162" t="s">
        <v>3442</v>
      </c>
      <c r="G95" s="3162" t="s">
        <v>3388</v>
      </c>
    </row>
    <row r="96" spans="1:8">
      <c r="A96" s="3161">
        <v>95</v>
      </c>
      <c r="B96" s="3161" t="s">
        <v>3475</v>
      </c>
      <c r="C96" s="3161" t="s">
        <v>3387</v>
      </c>
      <c r="D96" s="3161">
        <v>18</v>
      </c>
      <c r="E96" s="3161">
        <v>211.49</v>
      </c>
      <c r="F96" s="3162" t="s">
        <v>3442</v>
      </c>
      <c r="G96" s="3162" t="s">
        <v>3388</v>
      </c>
    </row>
    <row r="97" spans="1:8">
      <c r="A97" s="3161">
        <v>96</v>
      </c>
      <c r="B97" s="3161" t="s">
        <v>3476</v>
      </c>
      <c r="C97" s="3161" t="s">
        <v>3387</v>
      </c>
      <c r="D97" s="3161">
        <v>18</v>
      </c>
      <c r="E97" s="3161">
        <v>211.49</v>
      </c>
      <c r="F97" s="3162" t="s">
        <v>3442</v>
      </c>
      <c r="G97" s="3162" t="s">
        <v>3388</v>
      </c>
    </row>
    <row r="98" spans="1:8">
      <c r="A98" s="3161">
        <v>97</v>
      </c>
      <c r="B98" s="3161" t="s">
        <v>3477</v>
      </c>
      <c r="C98" s="3161" t="s">
        <v>3387</v>
      </c>
      <c r="D98" s="3161">
        <v>18</v>
      </c>
      <c r="E98" s="3161">
        <v>125.44</v>
      </c>
      <c r="F98" s="3162" t="s">
        <v>3442</v>
      </c>
      <c r="G98" s="3162" t="s">
        <v>3388</v>
      </c>
    </row>
    <row r="99" spans="1:8">
      <c r="A99" s="3161">
        <v>98</v>
      </c>
      <c r="B99" s="3161" t="s">
        <v>3478</v>
      </c>
      <c r="C99" s="3161" t="s">
        <v>3387</v>
      </c>
      <c r="D99" s="3161">
        <v>18</v>
      </c>
      <c r="E99" s="3161">
        <v>125.44</v>
      </c>
      <c r="F99" s="3162" t="s">
        <v>3442</v>
      </c>
      <c r="G99" s="3162" t="s">
        <v>3388</v>
      </c>
    </row>
    <row r="100" spans="1:8">
      <c r="A100" s="3161">
        <v>99</v>
      </c>
      <c r="B100" s="3161" t="s">
        <v>3479</v>
      </c>
      <c r="C100" s="3161" t="s">
        <v>3387</v>
      </c>
      <c r="D100" s="3161">
        <v>18</v>
      </c>
      <c r="E100" s="3161">
        <v>234.73</v>
      </c>
      <c r="F100" s="3162" t="s">
        <v>3442</v>
      </c>
      <c r="G100" s="3162" t="s">
        <v>3388</v>
      </c>
    </row>
    <row r="101" spans="1:8">
      <c r="A101" s="3161">
        <v>100</v>
      </c>
      <c r="B101" s="3161" t="s">
        <v>3480</v>
      </c>
      <c r="C101" s="3161" t="s">
        <v>3387</v>
      </c>
      <c r="D101" s="3161">
        <v>18</v>
      </c>
      <c r="E101" s="3161">
        <v>234.74</v>
      </c>
      <c r="F101" s="3162" t="s">
        <v>3442</v>
      </c>
      <c r="G101" s="3162" t="s">
        <v>3388</v>
      </c>
    </row>
    <row r="102" spans="1:8">
      <c r="A102" s="3161">
        <v>101</v>
      </c>
      <c r="B102" s="3161" t="s">
        <v>3481</v>
      </c>
      <c r="C102" s="3161" t="s">
        <v>3387</v>
      </c>
      <c r="D102" s="3161">
        <v>18</v>
      </c>
      <c r="E102" s="3161">
        <v>125.44</v>
      </c>
      <c r="F102" s="3162" t="s">
        <v>3442</v>
      </c>
      <c r="G102" s="3162" t="s">
        <v>3388</v>
      </c>
    </row>
    <row r="103" spans="1:8">
      <c r="A103" s="3161">
        <v>102</v>
      </c>
      <c r="B103" s="3161" t="s">
        <v>3482</v>
      </c>
      <c r="C103" s="3161" t="s">
        <v>3387</v>
      </c>
      <c r="D103" s="3161">
        <v>19</v>
      </c>
      <c r="E103" s="3161">
        <v>125.44</v>
      </c>
      <c r="F103" s="3162" t="s">
        <v>3442</v>
      </c>
      <c r="G103" s="3162" t="s">
        <v>3388</v>
      </c>
    </row>
    <row r="104" spans="1:8">
      <c r="A104" s="3161">
        <v>103</v>
      </c>
      <c r="B104" s="3161" t="s">
        <v>3483</v>
      </c>
      <c r="C104" s="3161" t="s">
        <v>3387</v>
      </c>
      <c r="D104" s="3161">
        <v>19</v>
      </c>
      <c r="E104" s="3161">
        <v>211.49</v>
      </c>
      <c r="F104" s="3162" t="s">
        <v>3442</v>
      </c>
      <c r="G104" s="3162" t="s">
        <v>3388</v>
      </c>
    </row>
    <row r="105" spans="1:8">
      <c r="A105" s="3161">
        <v>104</v>
      </c>
      <c r="B105" s="3161" t="s">
        <v>3484</v>
      </c>
      <c r="C105" s="3161" t="s">
        <v>3387</v>
      </c>
      <c r="D105" s="3161">
        <v>19</v>
      </c>
      <c r="E105" s="3161">
        <v>211.49</v>
      </c>
      <c r="F105" s="3162" t="s">
        <v>3442</v>
      </c>
      <c r="G105" s="3162" t="s">
        <v>3388</v>
      </c>
    </row>
    <row r="106" spans="1:8">
      <c r="A106" s="3161">
        <v>105</v>
      </c>
      <c r="B106" s="3161" t="s">
        <v>3485</v>
      </c>
      <c r="C106" s="3161" t="s">
        <v>3387</v>
      </c>
      <c r="D106" s="3161">
        <v>19</v>
      </c>
      <c r="E106" s="3161">
        <v>125.44</v>
      </c>
      <c r="F106" s="3162" t="s">
        <v>3442</v>
      </c>
      <c r="G106" s="3162" t="s">
        <v>3388</v>
      </c>
    </row>
    <row r="107" spans="1:8">
      <c r="A107" s="3161">
        <v>106</v>
      </c>
      <c r="B107" s="3161" t="s">
        <v>3486</v>
      </c>
      <c r="C107" s="3161" t="s">
        <v>3387</v>
      </c>
      <c r="D107" s="3161">
        <v>19</v>
      </c>
      <c r="E107" s="3161">
        <v>125.44</v>
      </c>
      <c r="F107" s="3162" t="s">
        <v>3442</v>
      </c>
      <c r="G107" s="3162" t="s">
        <v>3388</v>
      </c>
    </row>
    <row r="108" spans="1:8">
      <c r="A108" s="3161">
        <v>107</v>
      </c>
      <c r="B108" s="3161" t="s">
        <v>3487</v>
      </c>
      <c r="C108" s="3161" t="s">
        <v>3387</v>
      </c>
      <c r="D108" s="3161">
        <v>19</v>
      </c>
      <c r="E108" s="3161">
        <v>234.73</v>
      </c>
      <c r="F108" s="3162" t="s">
        <v>3442</v>
      </c>
      <c r="G108" s="3162" t="s">
        <v>3388</v>
      </c>
    </row>
    <row r="109" spans="1:8">
      <c r="A109" s="3161">
        <v>108</v>
      </c>
      <c r="B109" s="3161" t="s">
        <v>3488</v>
      </c>
      <c r="C109" s="3161" t="s">
        <v>3387</v>
      </c>
      <c r="D109" s="3161">
        <v>19</v>
      </c>
      <c r="E109" s="3161">
        <v>234.74</v>
      </c>
      <c r="F109" s="3162" t="s">
        <v>3442</v>
      </c>
      <c r="G109" s="3162" t="s">
        <v>3388</v>
      </c>
    </row>
    <row r="110" spans="1:8">
      <c r="A110" s="3161">
        <v>109</v>
      </c>
      <c r="B110" s="3161" t="s">
        <v>3489</v>
      </c>
      <c r="C110" s="3161" t="s">
        <v>3387</v>
      </c>
      <c r="D110" s="3161">
        <v>19</v>
      </c>
      <c r="E110" s="3161">
        <v>125.44</v>
      </c>
      <c r="F110" s="3162" t="s">
        <v>3442</v>
      </c>
      <c r="G110" s="3162" t="s">
        <v>3388</v>
      </c>
    </row>
    <row r="111" spans="1:8">
      <c r="A111" s="3236" t="s">
        <v>3491</v>
      </c>
      <c r="B111" s="3237"/>
      <c r="C111" s="3237"/>
      <c r="D111" s="3238"/>
      <c r="E111" s="3161">
        <f>SUM(E2:E110)</f>
        <v>16024.920000000006</v>
      </c>
      <c r="F111" s="3162" t="s">
        <v>3635</v>
      </c>
      <c r="G111" s="3162"/>
    </row>
    <row r="112" spans="1:8">
      <c r="A112" s="3161">
        <v>110</v>
      </c>
      <c r="B112" s="3161" t="s">
        <v>3490</v>
      </c>
      <c r="C112" s="3161" t="s">
        <v>3387</v>
      </c>
      <c r="D112" s="3161">
        <v>1</v>
      </c>
      <c r="E112" s="3161">
        <v>282.85000000000002</v>
      </c>
      <c r="F112" s="3162" t="s">
        <v>3501</v>
      </c>
      <c r="G112" s="3162"/>
      <c r="H112" s="3163" t="s">
        <v>3613</v>
      </c>
    </row>
    <row r="113" spans="1:8">
      <c r="A113" s="3161">
        <v>110</v>
      </c>
      <c r="B113" s="3161" t="s">
        <v>3492</v>
      </c>
      <c r="C113" s="3161" t="s">
        <v>3387</v>
      </c>
      <c r="D113" s="3161">
        <v>1</v>
      </c>
      <c r="E113" s="3161">
        <v>204.95</v>
      </c>
      <c r="F113" s="3162" t="s">
        <v>3501</v>
      </c>
      <c r="G113" s="3162"/>
      <c r="H113" s="3163" t="s">
        <v>3613</v>
      </c>
    </row>
    <row r="114" spans="1:8">
      <c r="A114" s="3161">
        <v>110</v>
      </c>
      <c r="B114" s="3161" t="s">
        <v>3493</v>
      </c>
      <c r="C114" s="3161" t="s">
        <v>3387</v>
      </c>
      <c r="D114" s="3161">
        <v>1</v>
      </c>
      <c r="E114" s="3161">
        <v>256.02999999999997</v>
      </c>
      <c r="F114" s="3162" t="s">
        <v>3501</v>
      </c>
      <c r="G114" s="3162"/>
      <c r="H114" s="3163" t="s">
        <v>3614</v>
      </c>
    </row>
    <row r="115" spans="1:8">
      <c r="A115" s="3161">
        <v>110</v>
      </c>
      <c r="B115" s="3161" t="s">
        <v>3494</v>
      </c>
      <c r="C115" s="3161" t="s">
        <v>3387</v>
      </c>
      <c r="D115" s="3161">
        <v>1</v>
      </c>
      <c r="E115" s="3161">
        <v>467.92</v>
      </c>
      <c r="F115" s="3162" t="s">
        <v>3501</v>
      </c>
      <c r="G115" s="3162"/>
      <c r="H115" s="3163" t="s">
        <v>3614</v>
      </c>
    </row>
    <row r="116" spans="1:8">
      <c r="A116" s="3161">
        <v>110</v>
      </c>
      <c r="B116" s="3161" t="s">
        <v>3495</v>
      </c>
      <c r="C116" s="3161" t="s">
        <v>3387</v>
      </c>
      <c r="D116" s="3161">
        <v>1</v>
      </c>
      <c r="E116" s="3161">
        <v>396.96</v>
      </c>
      <c r="F116" s="3162" t="s">
        <v>3501</v>
      </c>
      <c r="G116" s="3162"/>
      <c r="H116" s="3164">
        <v>711</v>
      </c>
    </row>
    <row r="117" spans="1:8">
      <c r="A117" s="3161">
        <v>110</v>
      </c>
      <c r="B117" s="3161" t="s">
        <v>3496</v>
      </c>
      <c r="C117" s="3161" t="s">
        <v>3387</v>
      </c>
      <c r="D117" s="3161">
        <v>1</v>
      </c>
      <c r="E117" s="3161">
        <v>251.25</v>
      </c>
      <c r="F117" s="3162" t="s">
        <v>3501</v>
      </c>
      <c r="G117" s="3162"/>
      <c r="H117" s="3164" t="s">
        <v>3615</v>
      </c>
    </row>
    <row r="118" spans="1:8">
      <c r="A118" s="3161">
        <v>110</v>
      </c>
      <c r="B118" s="3161" t="s">
        <v>3497</v>
      </c>
      <c r="C118" s="3161" t="s">
        <v>3387</v>
      </c>
      <c r="D118" s="3161">
        <v>1</v>
      </c>
      <c r="E118" s="3161">
        <v>195.05</v>
      </c>
      <c r="F118" s="3162" t="s">
        <v>3501</v>
      </c>
      <c r="G118" s="3162"/>
      <c r="H118" s="3164" t="s">
        <v>3616</v>
      </c>
    </row>
    <row r="119" spans="1:8">
      <c r="A119" s="3161">
        <v>110</v>
      </c>
      <c r="B119" s="3161" t="s">
        <v>3498</v>
      </c>
      <c r="C119" s="3161" t="s">
        <v>3387</v>
      </c>
      <c r="D119" s="3161">
        <v>1</v>
      </c>
      <c r="E119" s="3161">
        <v>324.41000000000003</v>
      </c>
      <c r="F119" s="3162" t="s">
        <v>3501</v>
      </c>
      <c r="G119" s="3162"/>
      <c r="H119" s="3164" t="s">
        <v>3617</v>
      </c>
    </row>
    <row r="120" spans="1:8">
      <c r="A120" s="3161">
        <v>110</v>
      </c>
      <c r="B120" s="3161" t="s">
        <v>3499</v>
      </c>
      <c r="C120" s="3161" t="s">
        <v>3387</v>
      </c>
      <c r="D120" s="3161">
        <v>1</v>
      </c>
      <c r="E120" s="3161">
        <v>480.71</v>
      </c>
      <c r="F120" s="3162" t="s">
        <v>3501</v>
      </c>
      <c r="G120" s="3162"/>
      <c r="H120" s="3164" t="s">
        <v>3618</v>
      </c>
    </row>
    <row r="121" spans="1:8">
      <c r="A121" s="3161">
        <v>110</v>
      </c>
      <c r="B121" s="3161" t="s">
        <v>3500</v>
      </c>
      <c r="C121" s="3161" t="s">
        <v>3387</v>
      </c>
      <c r="D121" s="3161">
        <v>1</v>
      </c>
      <c r="E121" s="3161">
        <v>283.31</v>
      </c>
      <c r="F121" s="3162" t="s">
        <v>3501</v>
      </c>
      <c r="G121" s="3162"/>
      <c r="H121" s="3164" t="s">
        <v>3619</v>
      </c>
    </row>
    <row r="122" spans="1:8">
      <c r="A122" s="3236" t="s">
        <v>3581</v>
      </c>
      <c r="B122" s="3237"/>
      <c r="C122" s="3237"/>
      <c r="D122" s="3238"/>
      <c r="E122" s="3161">
        <f>SUM(E112:E121)</f>
        <v>3143.44</v>
      </c>
      <c r="F122" s="3162" t="s">
        <v>3635</v>
      </c>
      <c r="G122" s="3162"/>
    </row>
    <row r="123" spans="1:8">
      <c r="A123" s="3236" t="s">
        <v>2586</v>
      </c>
      <c r="B123" s="3237"/>
      <c r="C123" s="3237"/>
      <c r="D123" s="3238"/>
      <c r="E123" s="3161">
        <f>SUM(E122,E111)</f>
        <v>19168.360000000004</v>
      </c>
      <c r="F123" s="3162" t="s">
        <v>3635</v>
      </c>
      <c r="G123" s="3162"/>
    </row>
  </sheetData>
  <mergeCells count="3">
    <mergeCell ref="A111:D111"/>
    <mergeCell ref="A122:D122"/>
    <mergeCell ref="A123:D123"/>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3"/>
  <sheetViews>
    <sheetView topLeftCell="A93" workbookViewId="0">
      <selection sqref="A1:G123"/>
    </sheetView>
  </sheetViews>
  <sheetFormatPr defaultColWidth="9" defaultRowHeight="14.25"/>
  <cols>
    <col min="1" max="1" width="9" style="3101"/>
    <col min="2" max="2" width="13.625" style="3101" customWidth="1"/>
    <col min="3" max="3" width="11" style="3101" hidden="1" customWidth="1"/>
    <col min="4" max="4" width="10.75" style="3101" hidden="1" customWidth="1"/>
    <col min="5" max="5" width="12" style="3101" customWidth="1"/>
    <col min="6" max="6" width="9.875" style="3101" customWidth="1"/>
    <col min="7" max="7" width="17.5" style="3101" customWidth="1"/>
    <col min="8" max="16384" width="9" style="641"/>
  </cols>
  <sheetData>
    <row r="1" spans="1:7">
      <c r="A1" s="3161" t="s">
        <v>3375</v>
      </c>
      <c r="B1" s="3161" t="s">
        <v>3376</v>
      </c>
      <c r="C1" s="3161" t="s">
        <v>3377</v>
      </c>
      <c r="D1" s="3161" t="s">
        <v>3378</v>
      </c>
      <c r="E1" s="3161" t="s">
        <v>3379</v>
      </c>
      <c r="F1" s="3162" t="s">
        <v>3582</v>
      </c>
      <c r="G1" s="3162" t="s">
        <v>3637</v>
      </c>
    </row>
    <row r="2" spans="1:7">
      <c r="A2" s="3161">
        <v>1</v>
      </c>
      <c r="B2" s="3161" t="s">
        <v>3380</v>
      </c>
      <c r="C2" s="3161" t="s">
        <v>3387</v>
      </c>
      <c r="D2" s="3161">
        <v>5</v>
      </c>
      <c r="E2" s="3161">
        <v>108.47</v>
      </c>
      <c r="F2" s="3162" t="s">
        <v>2806</v>
      </c>
      <c r="G2" s="3162">
        <f ca="1">典型户型修正!S25</f>
        <v>559</v>
      </c>
    </row>
    <row r="3" spans="1:7">
      <c r="A3" s="3161">
        <v>2</v>
      </c>
      <c r="B3" s="3161" t="s">
        <v>3381</v>
      </c>
      <c r="C3" s="3161" t="s">
        <v>3387</v>
      </c>
      <c r="D3" s="3161">
        <v>5</v>
      </c>
      <c r="E3" s="3161">
        <v>108.47</v>
      </c>
      <c r="F3" s="3162" t="s">
        <v>2806</v>
      </c>
      <c r="G3" s="3162">
        <f ca="1">典型户型修正!S26</f>
        <v>559</v>
      </c>
    </row>
    <row r="4" spans="1:7">
      <c r="A4" s="3161">
        <v>3</v>
      </c>
      <c r="B4" s="3161" t="s">
        <v>3382</v>
      </c>
      <c r="C4" s="3161" t="s">
        <v>3387</v>
      </c>
      <c r="D4" s="3161">
        <v>5</v>
      </c>
      <c r="E4" s="3161">
        <v>108.47</v>
      </c>
      <c r="F4" s="3162" t="s">
        <v>2806</v>
      </c>
      <c r="G4" s="3162">
        <f ca="1">典型户型修正!S24</f>
        <v>527</v>
      </c>
    </row>
    <row r="5" spans="1:7">
      <c r="A5" s="3161">
        <v>4</v>
      </c>
      <c r="B5" s="3161" t="s">
        <v>3383</v>
      </c>
      <c r="C5" s="3161" t="s">
        <v>3387</v>
      </c>
      <c r="D5" s="3161">
        <v>5</v>
      </c>
      <c r="E5" s="3161">
        <v>108.47</v>
      </c>
      <c r="F5" s="3162" t="s">
        <v>2806</v>
      </c>
      <c r="G5" s="3162">
        <f ca="1">典型户型修正!S28</f>
        <v>559</v>
      </c>
    </row>
    <row r="6" spans="1:7">
      <c r="A6" s="3161">
        <v>5</v>
      </c>
      <c r="B6" s="3161" t="s">
        <v>3384</v>
      </c>
      <c r="C6" s="3161" t="s">
        <v>3387</v>
      </c>
      <c r="D6" s="3161">
        <v>5</v>
      </c>
      <c r="E6" s="3161">
        <v>138.01</v>
      </c>
      <c r="F6" s="3162" t="s">
        <v>2806</v>
      </c>
      <c r="G6" s="3162">
        <f ca="1">典型户型修正!S29</f>
        <v>711</v>
      </c>
    </row>
    <row r="7" spans="1:7">
      <c r="A7" s="3161">
        <v>6</v>
      </c>
      <c r="B7" s="3161" t="s">
        <v>3385</v>
      </c>
      <c r="C7" s="3161" t="s">
        <v>3387</v>
      </c>
      <c r="D7" s="3161">
        <v>5</v>
      </c>
      <c r="E7" s="3161">
        <v>138.01</v>
      </c>
      <c r="F7" s="3162" t="s">
        <v>2806</v>
      </c>
      <c r="G7" s="3162">
        <f ca="1">典型户型修正!S30</f>
        <v>711</v>
      </c>
    </row>
    <row r="8" spans="1:7">
      <c r="A8" s="3161">
        <v>7</v>
      </c>
      <c r="B8" s="3161" t="s">
        <v>3386</v>
      </c>
      <c r="C8" s="3161" t="s">
        <v>3387</v>
      </c>
      <c r="D8" s="3161">
        <v>5</v>
      </c>
      <c r="E8" s="3161">
        <v>201.75</v>
      </c>
      <c r="F8" s="3162" t="s">
        <v>2806</v>
      </c>
      <c r="G8" s="3162">
        <f ca="1">典型户型修正!S31</f>
        <v>1039</v>
      </c>
    </row>
    <row r="9" spans="1:7">
      <c r="A9" s="3161">
        <v>8</v>
      </c>
      <c r="B9" s="3161" t="s">
        <v>3389</v>
      </c>
      <c r="C9" s="3161" t="s">
        <v>3387</v>
      </c>
      <c r="D9" s="3161">
        <v>6</v>
      </c>
      <c r="E9" s="3161">
        <v>206.15</v>
      </c>
      <c r="F9" s="3162" t="s">
        <v>2806</v>
      </c>
      <c r="G9" s="3162">
        <f ca="1">典型户型修正!S32</f>
        <v>1001</v>
      </c>
    </row>
    <row r="10" spans="1:7">
      <c r="A10" s="3161">
        <v>9</v>
      </c>
      <c r="B10" s="3161" t="s">
        <v>3390</v>
      </c>
      <c r="C10" s="3161" t="s">
        <v>3387</v>
      </c>
      <c r="D10" s="3161">
        <v>6</v>
      </c>
      <c r="E10" s="3161">
        <v>109.06</v>
      </c>
      <c r="F10" s="3162" t="s">
        <v>2806</v>
      </c>
      <c r="G10" s="3162">
        <f ca="1">典型户型修正!S33</f>
        <v>530</v>
      </c>
    </row>
    <row r="11" spans="1:7">
      <c r="A11" s="3161">
        <v>10</v>
      </c>
      <c r="B11" s="3161" t="s">
        <v>3391</v>
      </c>
      <c r="C11" s="3161" t="s">
        <v>3387</v>
      </c>
      <c r="D11" s="3161">
        <v>6</v>
      </c>
      <c r="E11" s="3161">
        <v>108.47</v>
      </c>
      <c r="F11" s="3162" t="s">
        <v>2806</v>
      </c>
      <c r="G11" s="3162">
        <f ca="1">典型户型修正!S34</f>
        <v>559</v>
      </c>
    </row>
    <row r="12" spans="1:7">
      <c r="A12" s="3161">
        <v>11</v>
      </c>
      <c r="B12" s="3161" t="s">
        <v>3392</v>
      </c>
      <c r="C12" s="3161" t="s">
        <v>3387</v>
      </c>
      <c r="D12" s="3161">
        <v>6</v>
      </c>
      <c r="E12" s="3161">
        <v>108.47</v>
      </c>
      <c r="F12" s="3162" t="s">
        <v>2806</v>
      </c>
      <c r="G12" s="3162">
        <f ca="1">典型户型修正!S35</f>
        <v>559</v>
      </c>
    </row>
    <row r="13" spans="1:7">
      <c r="A13" s="3161">
        <v>12</v>
      </c>
      <c r="B13" s="3161" t="s">
        <v>3393</v>
      </c>
      <c r="C13" s="3161" t="s">
        <v>3387</v>
      </c>
      <c r="D13" s="3161">
        <v>6</v>
      </c>
      <c r="E13" s="3161">
        <v>108.47</v>
      </c>
      <c r="F13" s="3162" t="s">
        <v>2806</v>
      </c>
      <c r="G13" s="3162">
        <f ca="1">典型户型修正!S36</f>
        <v>559</v>
      </c>
    </row>
    <row r="14" spans="1:7">
      <c r="A14" s="3161">
        <v>13</v>
      </c>
      <c r="B14" s="3161" t="s">
        <v>3394</v>
      </c>
      <c r="C14" s="3161" t="s">
        <v>3387</v>
      </c>
      <c r="D14" s="3161">
        <v>6</v>
      </c>
      <c r="E14" s="3161">
        <v>108.47</v>
      </c>
      <c r="F14" s="3162" t="s">
        <v>2806</v>
      </c>
      <c r="G14" s="3162">
        <f ca="1">典型户型修正!S37</f>
        <v>559</v>
      </c>
    </row>
    <row r="15" spans="1:7">
      <c r="A15" s="3161">
        <v>14</v>
      </c>
      <c r="B15" s="3161" t="s">
        <v>3395</v>
      </c>
      <c r="C15" s="3161" t="s">
        <v>3387</v>
      </c>
      <c r="D15" s="3161">
        <v>6</v>
      </c>
      <c r="E15" s="3161">
        <v>201.75</v>
      </c>
      <c r="F15" s="3162" t="s">
        <v>2806</v>
      </c>
      <c r="G15" s="3162">
        <f ca="1">典型户型修正!S38</f>
        <v>980</v>
      </c>
    </row>
    <row r="16" spans="1:7">
      <c r="A16" s="3161">
        <v>15</v>
      </c>
      <c r="B16" s="3161" t="s">
        <v>3396</v>
      </c>
      <c r="C16" s="3161" t="s">
        <v>3387</v>
      </c>
      <c r="D16" s="3161">
        <v>7</v>
      </c>
      <c r="E16" s="3161">
        <v>142.4</v>
      </c>
      <c r="F16" s="3162" t="s">
        <v>2806</v>
      </c>
      <c r="G16" s="3162">
        <f ca="1">典型户型修正!S39</f>
        <v>706</v>
      </c>
    </row>
    <row r="17" spans="1:7">
      <c r="A17" s="3161">
        <v>16</v>
      </c>
      <c r="B17" s="3161" t="s">
        <v>3397</v>
      </c>
      <c r="C17" s="3161" t="s">
        <v>3387</v>
      </c>
      <c r="D17" s="3161">
        <v>7</v>
      </c>
      <c r="E17" s="3161">
        <v>108.47</v>
      </c>
      <c r="F17" s="3162" t="s">
        <v>2806</v>
      </c>
      <c r="G17" s="3162">
        <f ca="1">典型户型修正!S40</f>
        <v>570</v>
      </c>
    </row>
    <row r="18" spans="1:7">
      <c r="A18" s="3161">
        <v>17</v>
      </c>
      <c r="B18" s="3161" t="s">
        <v>3398</v>
      </c>
      <c r="C18" s="3161" t="s">
        <v>3387</v>
      </c>
      <c r="D18" s="3161">
        <v>7</v>
      </c>
      <c r="E18" s="3161">
        <v>108.47</v>
      </c>
      <c r="F18" s="3162" t="s">
        <v>2806</v>
      </c>
      <c r="G18" s="3162">
        <f ca="1">典型户型修正!S41</f>
        <v>570</v>
      </c>
    </row>
    <row r="19" spans="1:7">
      <c r="A19" s="3161">
        <v>18</v>
      </c>
      <c r="B19" s="3161" t="s">
        <v>3399</v>
      </c>
      <c r="C19" s="3161" t="s">
        <v>3387</v>
      </c>
      <c r="D19" s="3161">
        <v>7</v>
      </c>
      <c r="E19" s="3161">
        <v>108.47</v>
      </c>
      <c r="F19" s="3162" t="s">
        <v>2806</v>
      </c>
      <c r="G19" s="3162">
        <f ca="1">典型户型修正!S42</f>
        <v>537</v>
      </c>
    </row>
    <row r="20" spans="1:7">
      <c r="A20" s="3161">
        <v>19</v>
      </c>
      <c r="B20" s="3161" t="s">
        <v>3400</v>
      </c>
      <c r="C20" s="3161" t="s">
        <v>3387</v>
      </c>
      <c r="D20" s="3161">
        <v>7</v>
      </c>
      <c r="E20" s="3161">
        <v>108.47</v>
      </c>
      <c r="F20" s="3162" t="s">
        <v>2806</v>
      </c>
      <c r="G20" s="3162">
        <f ca="1">典型户型修正!S43</f>
        <v>537</v>
      </c>
    </row>
    <row r="21" spans="1:7">
      <c r="A21" s="3161">
        <v>20</v>
      </c>
      <c r="B21" s="3161" t="s">
        <v>3401</v>
      </c>
      <c r="C21" s="3161" t="s">
        <v>3387</v>
      </c>
      <c r="D21" s="3161">
        <v>7</v>
      </c>
      <c r="E21" s="3161">
        <v>142.4</v>
      </c>
      <c r="F21" s="3162" t="s">
        <v>2806</v>
      </c>
      <c r="G21" s="3162">
        <f ca="1">典型户型修正!S44</f>
        <v>706</v>
      </c>
    </row>
    <row r="22" spans="1:7">
      <c r="A22" s="3161">
        <v>21</v>
      </c>
      <c r="B22" s="3161" t="s">
        <v>3402</v>
      </c>
      <c r="C22" s="3161" t="s">
        <v>3387</v>
      </c>
      <c r="D22" s="3161">
        <v>8</v>
      </c>
      <c r="E22" s="3161">
        <v>208.9</v>
      </c>
      <c r="F22" s="3162" t="s">
        <v>2806</v>
      </c>
      <c r="G22" s="3162">
        <f ca="1">典型户型修正!S45</f>
        <v>1035</v>
      </c>
    </row>
    <row r="23" spans="1:7">
      <c r="A23" s="3161">
        <v>22</v>
      </c>
      <c r="B23" s="3161" t="s">
        <v>3403</v>
      </c>
      <c r="C23" s="3161" t="s">
        <v>3387</v>
      </c>
      <c r="D23" s="3161">
        <v>8</v>
      </c>
      <c r="E23" s="3161">
        <v>142.4</v>
      </c>
      <c r="F23" s="3162" t="s">
        <v>2806</v>
      </c>
      <c r="G23" s="3162">
        <f ca="1">典型户型修正!S46</f>
        <v>706</v>
      </c>
    </row>
    <row r="24" spans="1:7">
      <c r="A24" s="3161">
        <v>23</v>
      </c>
      <c r="B24" s="3161" t="s">
        <v>3404</v>
      </c>
      <c r="C24" s="3161" t="s">
        <v>3387</v>
      </c>
      <c r="D24" s="3161">
        <v>8</v>
      </c>
      <c r="E24" s="3161">
        <v>108.47</v>
      </c>
      <c r="F24" s="3162" t="s">
        <v>2806</v>
      </c>
      <c r="G24" s="3162">
        <f ca="1">典型户型修正!S47</f>
        <v>537</v>
      </c>
    </row>
    <row r="25" spans="1:7">
      <c r="A25" s="3161">
        <v>24</v>
      </c>
      <c r="B25" s="3161" t="s">
        <v>3405</v>
      </c>
      <c r="C25" s="3161" t="s">
        <v>3387</v>
      </c>
      <c r="D25" s="3161">
        <v>8</v>
      </c>
      <c r="E25" s="3161">
        <v>108.47</v>
      </c>
      <c r="F25" s="3162" t="s">
        <v>2806</v>
      </c>
      <c r="G25" s="3162">
        <f ca="1">典型户型修正!S48</f>
        <v>537</v>
      </c>
    </row>
    <row r="26" spans="1:7">
      <c r="A26" s="3161">
        <v>25</v>
      </c>
      <c r="B26" s="3161" t="s">
        <v>3406</v>
      </c>
      <c r="C26" s="3161" t="s">
        <v>3387</v>
      </c>
      <c r="D26" s="3161">
        <v>8</v>
      </c>
      <c r="E26" s="3161">
        <v>108.47</v>
      </c>
      <c r="F26" s="3162" t="s">
        <v>2806</v>
      </c>
      <c r="G26" s="3162">
        <f ca="1">典型户型修正!S49</f>
        <v>537</v>
      </c>
    </row>
    <row r="27" spans="1:7">
      <c r="A27" s="3161">
        <v>26</v>
      </c>
      <c r="B27" s="3161" t="s">
        <v>3407</v>
      </c>
      <c r="C27" s="3161" t="s">
        <v>3387</v>
      </c>
      <c r="D27" s="3161">
        <v>9</v>
      </c>
      <c r="E27" s="3161">
        <v>109.06</v>
      </c>
      <c r="F27" s="3162" t="s">
        <v>2806</v>
      </c>
      <c r="G27" s="3162">
        <f ca="1">典型户型修正!S50</f>
        <v>540</v>
      </c>
    </row>
    <row r="28" spans="1:7">
      <c r="A28" s="3161">
        <v>27</v>
      </c>
      <c r="B28" s="3161" t="s">
        <v>3408</v>
      </c>
      <c r="C28" s="3161" t="s">
        <v>3387</v>
      </c>
      <c r="D28" s="3161">
        <v>9</v>
      </c>
      <c r="E28" s="3161">
        <v>109.06</v>
      </c>
      <c r="F28" s="3162" t="s">
        <v>2806</v>
      </c>
      <c r="G28" s="3162">
        <f ca="1">典型户型修正!S51</f>
        <v>540</v>
      </c>
    </row>
    <row r="29" spans="1:7">
      <c r="A29" s="3161">
        <v>28</v>
      </c>
      <c r="B29" s="3161" t="s">
        <v>3409</v>
      </c>
      <c r="C29" s="3161" t="s">
        <v>3387</v>
      </c>
      <c r="D29" s="3161">
        <v>9</v>
      </c>
      <c r="E29" s="3161">
        <v>109.06</v>
      </c>
      <c r="F29" s="3162" t="s">
        <v>2806</v>
      </c>
      <c r="G29" s="3162">
        <f ca="1">典型户型修正!S52</f>
        <v>540</v>
      </c>
    </row>
    <row r="30" spans="1:7">
      <c r="A30" s="3161">
        <v>29</v>
      </c>
      <c r="B30" s="3161" t="s">
        <v>3410</v>
      </c>
      <c r="C30" s="3161" t="s">
        <v>3387</v>
      </c>
      <c r="D30" s="3161">
        <v>9</v>
      </c>
      <c r="E30" s="3161">
        <v>142.4</v>
      </c>
      <c r="F30" s="3162" t="s">
        <v>2806</v>
      </c>
      <c r="G30" s="3162">
        <f ca="1">典型户型修正!S53</f>
        <v>706</v>
      </c>
    </row>
    <row r="31" spans="1:7">
      <c r="A31" s="3161">
        <v>30</v>
      </c>
      <c r="B31" s="3161" t="s">
        <v>3411</v>
      </c>
      <c r="C31" s="3161" t="s">
        <v>3387</v>
      </c>
      <c r="D31" s="3161">
        <v>9</v>
      </c>
      <c r="E31" s="3161">
        <v>108.47</v>
      </c>
      <c r="F31" s="3162" t="s">
        <v>2806</v>
      </c>
      <c r="G31" s="3162">
        <f ca="1">典型户型修正!S54</f>
        <v>537</v>
      </c>
    </row>
    <row r="32" spans="1:7">
      <c r="A32" s="3161">
        <v>31</v>
      </c>
      <c r="B32" s="3161" t="s">
        <v>3412</v>
      </c>
      <c r="C32" s="3161" t="s">
        <v>3387</v>
      </c>
      <c r="D32" s="3161">
        <v>9</v>
      </c>
      <c r="E32" s="3161">
        <v>108.47</v>
      </c>
      <c r="F32" s="3162" t="s">
        <v>2806</v>
      </c>
      <c r="G32" s="3162">
        <f ca="1">典型户型修正!S55</f>
        <v>537</v>
      </c>
    </row>
    <row r="33" spans="1:7">
      <c r="A33" s="3161">
        <v>32</v>
      </c>
      <c r="B33" s="3161" t="s">
        <v>3413</v>
      </c>
      <c r="C33" s="3161" t="s">
        <v>3387</v>
      </c>
      <c r="D33" s="3161">
        <v>9</v>
      </c>
      <c r="E33" s="3161">
        <v>100.31</v>
      </c>
      <c r="F33" s="3162" t="s">
        <v>2806</v>
      </c>
      <c r="G33" s="3162">
        <f ca="1">典型户型修正!S56</f>
        <v>497</v>
      </c>
    </row>
    <row r="34" spans="1:7">
      <c r="A34" s="3161">
        <v>33</v>
      </c>
      <c r="B34" s="3161" t="s">
        <v>3415</v>
      </c>
      <c r="C34" s="3161" t="s">
        <v>3387</v>
      </c>
      <c r="D34" s="3161">
        <v>9</v>
      </c>
      <c r="E34" s="3161">
        <v>108.47</v>
      </c>
      <c r="F34" s="3162" t="s">
        <v>2806</v>
      </c>
      <c r="G34" s="3162">
        <f ca="1">典型户型修正!S57</f>
        <v>537</v>
      </c>
    </row>
    <row r="35" spans="1:7">
      <c r="A35" s="3161">
        <v>34</v>
      </c>
      <c r="B35" s="3161" t="s">
        <v>3414</v>
      </c>
      <c r="C35" s="3161" t="s">
        <v>3387</v>
      </c>
      <c r="D35" s="3161">
        <v>9</v>
      </c>
      <c r="E35" s="3161">
        <v>108.47</v>
      </c>
      <c r="F35" s="3162" t="s">
        <v>2806</v>
      </c>
      <c r="G35" s="3162">
        <f ca="1">典型户型修正!S58</f>
        <v>537</v>
      </c>
    </row>
    <row r="36" spans="1:7">
      <c r="A36" s="3161">
        <v>35</v>
      </c>
      <c r="B36" s="3161" t="s">
        <v>3416</v>
      </c>
      <c r="C36" s="3161" t="s">
        <v>3387</v>
      </c>
      <c r="D36" s="3161">
        <v>9</v>
      </c>
      <c r="E36" s="3161">
        <v>142.4</v>
      </c>
      <c r="F36" s="3162" t="s">
        <v>2806</v>
      </c>
      <c r="G36" s="3162">
        <f ca="1">典型户型修正!S59</f>
        <v>706</v>
      </c>
    </row>
    <row r="37" spans="1:7">
      <c r="A37" s="3161">
        <v>36</v>
      </c>
      <c r="B37" s="3161" t="s">
        <v>3417</v>
      </c>
      <c r="C37" s="3161" t="s">
        <v>3387</v>
      </c>
      <c r="D37" s="3161">
        <v>10</v>
      </c>
      <c r="E37" s="3161">
        <v>109.06</v>
      </c>
      <c r="F37" s="3162" t="s">
        <v>2806</v>
      </c>
      <c r="G37" s="3162">
        <f ca="1">典型户型修正!S60</f>
        <v>540</v>
      </c>
    </row>
    <row r="38" spans="1:7">
      <c r="A38" s="3161">
        <v>37</v>
      </c>
      <c r="B38" s="3161" t="s">
        <v>3418</v>
      </c>
      <c r="C38" s="3161" t="s">
        <v>3387</v>
      </c>
      <c r="D38" s="3161">
        <v>10</v>
      </c>
      <c r="E38" s="3161">
        <v>100.31</v>
      </c>
      <c r="F38" s="3162" t="s">
        <v>2806</v>
      </c>
      <c r="G38" s="3162">
        <f ca="1">典型户型修正!S61</f>
        <v>497</v>
      </c>
    </row>
    <row r="39" spans="1:7">
      <c r="A39" s="3161">
        <v>38</v>
      </c>
      <c r="B39" s="3161" t="s">
        <v>3419</v>
      </c>
      <c r="C39" s="3161" t="s">
        <v>3387</v>
      </c>
      <c r="D39" s="3161">
        <v>11</v>
      </c>
      <c r="E39" s="3161">
        <v>109.06</v>
      </c>
      <c r="F39" s="3162" t="s">
        <v>2806</v>
      </c>
      <c r="G39" s="3162">
        <f ca="1">典型户型修正!S62</f>
        <v>540</v>
      </c>
    </row>
    <row r="40" spans="1:7">
      <c r="A40" s="3161">
        <v>39</v>
      </c>
      <c r="B40" s="3161" t="s">
        <v>3420</v>
      </c>
      <c r="C40" s="3161" t="s">
        <v>3387</v>
      </c>
      <c r="D40" s="3161">
        <v>11</v>
      </c>
      <c r="E40" s="3161">
        <v>208.9</v>
      </c>
      <c r="F40" s="3162" t="s">
        <v>2806</v>
      </c>
      <c r="G40" s="3162">
        <f ca="1">典型户型修正!S63</f>
        <v>1035</v>
      </c>
    </row>
    <row r="41" spans="1:7">
      <c r="A41" s="3161">
        <v>40</v>
      </c>
      <c r="B41" s="3161" t="s">
        <v>3421</v>
      </c>
      <c r="C41" s="3161" t="s">
        <v>3387</v>
      </c>
      <c r="D41" s="3161">
        <v>11</v>
      </c>
      <c r="E41" s="3161">
        <v>108.47</v>
      </c>
      <c r="F41" s="3162" t="s">
        <v>2806</v>
      </c>
      <c r="G41" s="3162">
        <f ca="1">典型户型修正!S64</f>
        <v>537</v>
      </c>
    </row>
    <row r="42" spans="1:7">
      <c r="A42" s="3161">
        <v>41</v>
      </c>
      <c r="B42" s="3161" t="s">
        <v>3422</v>
      </c>
      <c r="C42" s="3161" t="s">
        <v>3387</v>
      </c>
      <c r="D42" s="3161">
        <v>11</v>
      </c>
      <c r="E42" s="3161">
        <v>100.31</v>
      </c>
      <c r="F42" s="3162" t="s">
        <v>2806</v>
      </c>
      <c r="G42" s="3162">
        <f ca="1">典型户型修正!S65</f>
        <v>497</v>
      </c>
    </row>
    <row r="43" spans="1:7">
      <c r="A43" s="3161">
        <v>42</v>
      </c>
      <c r="B43" s="3161" t="s">
        <v>3423</v>
      </c>
      <c r="C43" s="3161" t="s">
        <v>3387</v>
      </c>
      <c r="D43" s="3161">
        <v>11</v>
      </c>
      <c r="E43" s="3161">
        <v>108.47</v>
      </c>
      <c r="F43" s="3162" t="s">
        <v>2806</v>
      </c>
      <c r="G43" s="3162">
        <f ca="1">典型户型修正!S66</f>
        <v>537</v>
      </c>
    </row>
    <row r="44" spans="1:7">
      <c r="A44" s="3161">
        <v>43</v>
      </c>
      <c r="B44" s="3161" t="s">
        <v>3424</v>
      </c>
      <c r="C44" s="3161" t="s">
        <v>3387</v>
      </c>
      <c r="D44" s="3161">
        <v>11</v>
      </c>
      <c r="E44" s="3161">
        <v>142.4</v>
      </c>
      <c r="F44" s="3162" t="s">
        <v>2806</v>
      </c>
      <c r="G44" s="3162">
        <f ca="1">典型户型修正!S67</f>
        <v>706</v>
      </c>
    </row>
    <row r="45" spans="1:7">
      <c r="A45" s="3161">
        <v>44</v>
      </c>
      <c r="B45" s="3161" t="s">
        <v>3425</v>
      </c>
      <c r="C45" s="3161" t="s">
        <v>3387</v>
      </c>
      <c r="D45" s="3161">
        <v>14</v>
      </c>
      <c r="E45" s="3161">
        <v>109.06</v>
      </c>
      <c r="F45" s="3162" t="s">
        <v>2806</v>
      </c>
      <c r="G45" s="3162">
        <f ca="1">典型户型修正!S68</f>
        <v>584</v>
      </c>
    </row>
    <row r="46" spans="1:7">
      <c r="A46" s="3161">
        <v>45</v>
      </c>
      <c r="B46" s="3161" t="s">
        <v>3426</v>
      </c>
      <c r="C46" s="3161" t="s">
        <v>3387</v>
      </c>
      <c r="D46" s="3161">
        <v>14</v>
      </c>
      <c r="E46" s="3161">
        <v>109.06</v>
      </c>
      <c r="F46" s="3162" t="s">
        <v>2806</v>
      </c>
      <c r="G46" s="3162">
        <f ca="1">典型户型修正!S69</f>
        <v>584</v>
      </c>
    </row>
    <row r="47" spans="1:7">
      <c r="A47" s="3161">
        <v>46</v>
      </c>
      <c r="B47" s="3161" t="s">
        <v>3427</v>
      </c>
      <c r="C47" s="3161" t="s">
        <v>3387</v>
      </c>
      <c r="D47" s="3161">
        <v>14</v>
      </c>
      <c r="E47" s="3161">
        <v>109.06</v>
      </c>
      <c r="F47" s="3162" t="s">
        <v>2806</v>
      </c>
      <c r="G47" s="3162">
        <f ca="1">典型户型修正!S70</f>
        <v>584</v>
      </c>
    </row>
    <row r="48" spans="1:7">
      <c r="A48" s="3161">
        <v>47</v>
      </c>
      <c r="B48" s="3161" t="s">
        <v>3428</v>
      </c>
      <c r="C48" s="3161" t="s">
        <v>3387</v>
      </c>
      <c r="D48" s="3161">
        <v>14</v>
      </c>
      <c r="E48" s="3161">
        <v>109.06</v>
      </c>
      <c r="F48" s="3162" t="s">
        <v>2806</v>
      </c>
      <c r="G48" s="3162">
        <f ca="1">典型户型修正!S71</f>
        <v>584</v>
      </c>
    </row>
    <row r="49" spans="1:7">
      <c r="A49" s="3161">
        <v>48</v>
      </c>
      <c r="B49" s="3161" t="s">
        <v>3429</v>
      </c>
      <c r="C49" s="3161" t="s">
        <v>3387</v>
      </c>
      <c r="D49" s="3161">
        <v>14</v>
      </c>
      <c r="E49" s="3161">
        <v>109.06</v>
      </c>
      <c r="F49" s="3162" t="s">
        <v>2806</v>
      </c>
      <c r="G49" s="3162">
        <f ca="1">典型户型修正!S72</f>
        <v>584</v>
      </c>
    </row>
    <row r="50" spans="1:7">
      <c r="A50" s="3161">
        <v>49</v>
      </c>
      <c r="B50" s="3161" t="s">
        <v>3430</v>
      </c>
      <c r="C50" s="3161" t="s">
        <v>3387</v>
      </c>
      <c r="D50" s="3161">
        <v>14</v>
      </c>
      <c r="E50" s="3161">
        <v>208.9</v>
      </c>
      <c r="F50" s="3162" t="s">
        <v>2806</v>
      </c>
      <c r="G50" s="3162">
        <f ca="1">典型户型修正!S73</f>
        <v>1119</v>
      </c>
    </row>
    <row r="51" spans="1:7">
      <c r="A51" s="3161">
        <v>50</v>
      </c>
      <c r="B51" s="3161" t="s">
        <v>3431</v>
      </c>
      <c r="C51" s="3161" t="s">
        <v>3387</v>
      </c>
      <c r="D51" s="3161">
        <v>14</v>
      </c>
      <c r="E51" s="3161">
        <v>108.47</v>
      </c>
      <c r="F51" s="3162" t="s">
        <v>2806</v>
      </c>
      <c r="G51" s="3162">
        <f ca="1">典型户型修正!S74</f>
        <v>548</v>
      </c>
    </row>
    <row r="52" spans="1:7">
      <c r="A52" s="3161">
        <v>51</v>
      </c>
      <c r="B52" s="3161" t="s">
        <v>3432</v>
      </c>
      <c r="C52" s="3161" t="s">
        <v>3387</v>
      </c>
      <c r="D52" s="3161">
        <v>14</v>
      </c>
      <c r="E52" s="3161">
        <v>108.47</v>
      </c>
      <c r="F52" s="3162" t="s">
        <v>2806</v>
      </c>
      <c r="G52" s="3162">
        <f ca="1">典型户型修正!S75</f>
        <v>548</v>
      </c>
    </row>
    <row r="53" spans="1:7">
      <c r="A53" s="3161">
        <v>52</v>
      </c>
      <c r="B53" s="3161" t="s">
        <v>3433</v>
      </c>
      <c r="C53" s="3161" t="s">
        <v>3387</v>
      </c>
      <c r="D53" s="3161">
        <v>14</v>
      </c>
      <c r="E53" s="3161">
        <v>100.31</v>
      </c>
      <c r="F53" s="3162" t="s">
        <v>2806</v>
      </c>
      <c r="G53" s="3162">
        <f ca="1">典型户型修正!S76</f>
        <v>507</v>
      </c>
    </row>
    <row r="54" spans="1:7">
      <c r="A54" s="3161">
        <v>53</v>
      </c>
      <c r="B54" s="3161" t="s">
        <v>3502</v>
      </c>
      <c r="C54" s="3161" t="s">
        <v>3387</v>
      </c>
      <c r="D54" s="3161">
        <v>14</v>
      </c>
      <c r="E54" s="3161">
        <v>108.47</v>
      </c>
      <c r="F54" s="3162" t="s">
        <v>2806</v>
      </c>
      <c r="G54" s="3162">
        <f ca="1">典型户型修正!S77</f>
        <v>548</v>
      </c>
    </row>
    <row r="55" spans="1:7">
      <c r="A55" s="3161">
        <v>54</v>
      </c>
      <c r="B55" s="3161" t="s">
        <v>3503</v>
      </c>
      <c r="C55" s="3161" t="s">
        <v>3387</v>
      </c>
      <c r="D55" s="3161">
        <v>14</v>
      </c>
      <c r="E55" s="3161">
        <v>142.4</v>
      </c>
      <c r="F55" s="3162" t="s">
        <v>2806</v>
      </c>
      <c r="G55" s="3162">
        <f ca="1">典型户型修正!S78</f>
        <v>719</v>
      </c>
    </row>
    <row r="56" spans="1:7">
      <c r="A56" s="3161">
        <v>55</v>
      </c>
      <c r="B56" s="3161" t="s">
        <v>3434</v>
      </c>
      <c r="C56" s="3161" t="s">
        <v>3387</v>
      </c>
      <c r="D56" s="3161">
        <v>15</v>
      </c>
      <c r="E56" s="3161">
        <v>109.06</v>
      </c>
      <c r="F56" s="3162" t="s">
        <v>2806</v>
      </c>
      <c r="G56" s="3162">
        <f ca="1">典型户型修正!S79</f>
        <v>551</v>
      </c>
    </row>
    <row r="57" spans="1:7">
      <c r="A57" s="3161">
        <v>56</v>
      </c>
      <c r="B57" s="3161" t="s">
        <v>3435</v>
      </c>
      <c r="C57" s="3161" t="s">
        <v>3387</v>
      </c>
      <c r="D57" s="3161">
        <v>15</v>
      </c>
      <c r="E57" s="3161">
        <v>109.06</v>
      </c>
      <c r="F57" s="3162" t="s">
        <v>2806</v>
      </c>
      <c r="G57" s="3162">
        <f ca="1">典型户型修正!S80</f>
        <v>551</v>
      </c>
    </row>
    <row r="58" spans="1:7">
      <c r="A58" s="3161">
        <v>57</v>
      </c>
      <c r="B58" s="3161" t="s">
        <v>3436</v>
      </c>
      <c r="C58" s="3161" t="s">
        <v>3387</v>
      </c>
      <c r="D58" s="3161">
        <v>15</v>
      </c>
      <c r="E58" s="3161">
        <v>208.9</v>
      </c>
      <c r="F58" s="3162" t="s">
        <v>2806</v>
      </c>
      <c r="G58" s="3162">
        <f ca="1">典型户型修正!S81</f>
        <v>1055</v>
      </c>
    </row>
    <row r="59" spans="1:7">
      <c r="A59" s="3161">
        <v>58</v>
      </c>
      <c r="B59" s="3161" t="s">
        <v>3437</v>
      </c>
      <c r="C59" s="3161" t="s">
        <v>3387</v>
      </c>
      <c r="D59" s="3161">
        <v>15</v>
      </c>
      <c r="E59" s="3161">
        <v>108.47</v>
      </c>
      <c r="F59" s="3162" t="s">
        <v>2806</v>
      </c>
      <c r="G59" s="3162">
        <f ca="1">典型户型修正!S82</f>
        <v>548</v>
      </c>
    </row>
    <row r="60" spans="1:7">
      <c r="A60" s="3161">
        <v>59</v>
      </c>
      <c r="B60" s="3161" t="s">
        <v>3438</v>
      </c>
      <c r="C60" s="3161" t="s">
        <v>3387</v>
      </c>
      <c r="D60" s="3161">
        <v>15</v>
      </c>
      <c r="E60" s="3161">
        <v>108.47</v>
      </c>
      <c r="F60" s="3162" t="s">
        <v>2806</v>
      </c>
      <c r="G60" s="3162">
        <f ca="1">典型户型修正!S83</f>
        <v>548</v>
      </c>
    </row>
    <row r="61" spans="1:7">
      <c r="A61" s="3161">
        <v>60</v>
      </c>
      <c r="B61" s="3161" t="s">
        <v>3439</v>
      </c>
      <c r="C61" s="3161" t="s">
        <v>3387</v>
      </c>
      <c r="D61" s="3161">
        <v>15</v>
      </c>
      <c r="E61" s="3161">
        <v>100.31</v>
      </c>
      <c r="F61" s="3162" t="s">
        <v>2806</v>
      </c>
      <c r="G61" s="3162">
        <f ca="1">典型户型修正!S84</f>
        <v>507</v>
      </c>
    </row>
    <row r="62" spans="1:7">
      <c r="A62" s="3161">
        <v>61</v>
      </c>
      <c r="B62" s="3161" t="s">
        <v>3440</v>
      </c>
      <c r="C62" s="3161" t="s">
        <v>3387</v>
      </c>
      <c r="D62" s="3161">
        <v>15</v>
      </c>
      <c r="E62" s="3161">
        <v>108.47</v>
      </c>
      <c r="F62" s="3162" t="s">
        <v>2806</v>
      </c>
      <c r="G62" s="3162">
        <f ca="1">典型户型修正!S85</f>
        <v>548</v>
      </c>
    </row>
    <row r="63" spans="1:7">
      <c r="A63" s="3161">
        <v>62</v>
      </c>
      <c r="B63" s="3161" t="s">
        <v>3441</v>
      </c>
      <c r="C63" s="3161" t="s">
        <v>3387</v>
      </c>
      <c r="D63" s="3161">
        <v>15</v>
      </c>
      <c r="E63" s="3161">
        <v>142.4</v>
      </c>
      <c r="F63" s="3162" t="s">
        <v>2806</v>
      </c>
      <c r="G63" s="3162">
        <f ca="1">典型户型修正!S86</f>
        <v>719</v>
      </c>
    </row>
    <row r="64" spans="1:7">
      <c r="A64" s="3161">
        <v>63</v>
      </c>
      <c r="B64" s="3161" t="s">
        <v>3443</v>
      </c>
      <c r="C64" s="3161" t="s">
        <v>3387</v>
      </c>
      <c r="D64" s="3161">
        <v>16</v>
      </c>
      <c r="E64" s="3161">
        <v>208.9</v>
      </c>
      <c r="F64" s="3162" t="s">
        <v>2806</v>
      </c>
      <c r="G64" s="3162">
        <f ca="1">典型户型修正!S87</f>
        <v>1055</v>
      </c>
    </row>
    <row r="65" spans="1:7">
      <c r="A65" s="3161">
        <v>64</v>
      </c>
      <c r="B65" s="3161" t="s">
        <v>3444</v>
      </c>
      <c r="C65" s="3161" t="s">
        <v>3387</v>
      </c>
      <c r="D65" s="3161">
        <v>16</v>
      </c>
      <c r="E65" s="3161">
        <v>218.12</v>
      </c>
      <c r="F65" s="3162" t="s">
        <v>2806</v>
      </c>
      <c r="G65" s="3162">
        <f ca="1">典型户型修正!S88</f>
        <v>1102</v>
      </c>
    </row>
    <row r="66" spans="1:7">
      <c r="A66" s="3161">
        <v>65</v>
      </c>
      <c r="B66" s="3161" t="s">
        <v>3445</v>
      </c>
      <c r="C66" s="3161" t="s">
        <v>3387</v>
      </c>
      <c r="D66" s="3161">
        <v>16</v>
      </c>
      <c r="E66" s="3161">
        <v>208.9</v>
      </c>
      <c r="F66" s="3162" t="s">
        <v>2806</v>
      </c>
      <c r="G66" s="3162">
        <f ca="1">典型户型修正!S89</f>
        <v>1055</v>
      </c>
    </row>
    <row r="67" spans="1:7">
      <c r="A67" s="3161">
        <v>66</v>
      </c>
      <c r="B67" s="3161" t="s">
        <v>3446</v>
      </c>
      <c r="C67" s="3161" t="s">
        <v>3387</v>
      </c>
      <c r="D67" s="3161">
        <v>16</v>
      </c>
      <c r="E67" s="3161">
        <v>250.89</v>
      </c>
      <c r="F67" s="3162" t="s">
        <v>2806</v>
      </c>
      <c r="G67" s="3162">
        <f ca="1">典型户型修正!S90</f>
        <v>1267</v>
      </c>
    </row>
    <row r="68" spans="1:7">
      <c r="A68" s="3161">
        <v>67</v>
      </c>
      <c r="B68" s="3161" t="s">
        <v>3447</v>
      </c>
      <c r="C68" s="3161" t="s">
        <v>3387</v>
      </c>
      <c r="D68" s="3161">
        <v>16</v>
      </c>
      <c r="E68" s="3161">
        <v>108.47</v>
      </c>
      <c r="F68" s="3162" t="s">
        <v>2806</v>
      </c>
      <c r="G68" s="3162">
        <f ca="1">典型户型修正!S91</f>
        <v>548</v>
      </c>
    </row>
    <row r="69" spans="1:7">
      <c r="A69" s="3161">
        <v>68</v>
      </c>
      <c r="B69" s="3161" t="s">
        <v>3448</v>
      </c>
      <c r="C69" s="3161" t="s">
        <v>3387</v>
      </c>
      <c r="D69" s="3161">
        <v>16</v>
      </c>
      <c r="E69" s="3161">
        <v>250.89</v>
      </c>
      <c r="F69" s="3162" t="s">
        <v>2806</v>
      </c>
      <c r="G69" s="3162">
        <f ca="1">典型户型修正!S92</f>
        <v>1267</v>
      </c>
    </row>
    <row r="70" spans="1:7">
      <c r="A70" s="3161">
        <v>69</v>
      </c>
      <c r="B70" s="3161" t="s">
        <v>3449</v>
      </c>
      <c r="C70" s="3161" t="s">
        <v>3387</v>
      </c>
      <c r="D70" s="3161">
        <v>2</v>
      </c>
      <c r="E70" s="3161">
        <v>125.44</v>
      </c>
      <c r="F70" s="3162" t="s">
        <v>2806</v>
      </c>
      <c r="G70" s="3162">
        <f ca="1">典型户型修正!S93</f>
        <v>646</v>
      </c>
    </row>
    <row r="71" spans="1:7">
      <c r="A71" s="3161">
        <v>70</v>
      </c>
      <c r="B71" s="3161" t="s">
        <v>3450</v>
      </c>
      <c r="C71" s="3161" t="s">
        <v>3387</v>
      </c>
      <c r="D71" s="3161">
        <v>2</v>
      </c>
      <c r="E71" s="3161">
        <v>211.49</v>
      </c>
      <c r="F71" s="3162" t="s">
        <v>2806</v>
      </c>
      <c r="G71" s="3162">
        <f ca="1">典型户型修正!S94</f>
        <v>1089</v>
      </c>
    </row>
    <row r="72" spans="1:7">
      <c r="A72" s="3161">
        <v>71</v>
      </c>
      <c r="B72" s="3161" t="s">
        <v>3451</v>
      </c>
      <c r="C72" s="3161" t="s">
        <v>3387</v>
      </c>
      <c r="D72" s="3161">
        <v>2</v>
      </c>
      <c r="E72" s="3161">
        <v>211.49</v>
      </c>
      <c r="F72" s="3162" t="s">
        <v>2806</v>
      </c>
      <c r="G72" s="3162">
        <f ca="1">典型户型修正!S95</f>
        <v>1089</v>
      </c>
    </row>
    <row r="73" spans="1:7">
      <c r="A73" s="3161">
        <v>72</v>
      </c>
      <c r="B73" s="3161" t="s">
        <v>3452</v>
      </c>
      <c r="C73" s="3161" t="s">
        <v>3387</v>
      </c>
      <c r="D73" s="3161">
        <v>2</v>
      </c>
      <c r="E73" s="3161">
        <v>125.44</v>
      </c>
      <c r="F73" s="3162" t="s">
        <v>2806</v>
      </c>
      <c r="G73" s="3162">
        <f ca="1">典型户型修正!S96</f>
        <v>646</v>
      </c>
    </row>
    <row r="74" spans="1:7">
      <c r="A74" s="3161">
        <v>73</v>
      </c>
      <c r="B74" s="3161" t="s">
        <v>3453</v>
      </c>
      <c r="C74" s="3161" t="s">
        <v>3387</v>
      </c>
      <c r="D74" s="3161">
        <v>2</v>
      </c>
      <c r="E74" s="3161">
        <v>125.44</v>
      </c>
      <c r="F74" s="3162" t="s">
        <v>2806</v>
      </c>
      <c r="G74" s="3162">
        <f ca="1">典型户型修正!S97</f>
        <v>646</v>
      </c>
    </row>
    <row r="75" spans="1:7">
      <c r="A75" s="3161">
        <v>74</v>
      </c>
      <c r="B75" s="3161" t="s">
        <v>3454</v>
      </c>
      <c r="C75" s="3161" t="s">
        <v>3387</v>
      </c>
      <c r="D75" s="3161">
        <v>2</v>
      </c>
      <c r="E75" s="3161">
        <v>164.06</v>
      </c>
      <c r="F75" s="3162" t="s">
        <v>2806</v>
      </c>
      <c r="G75" s="3162">
        <f ca="1">典型户型修正!S98</f>
        <v>845</v>
      </c>
    </row>
    <row r="76" spans="1:7">
      <c r="A76" s="3161">
        <v>75</v>
      </c>
      <c r="B76" s="3161" t="s">
        <v>3455</v>
      </c>
      <c r="C76" s="3161" t="s">
        <v>3387</v>
      </c>
      <c r="D76" s="3161">
        <v>2</v>
      </c>
      <c r="E76" s="3161">
        <v>169.88</v>
      </c>
      <c r="F76" s="3162" t="s">
        <v>2806</v>
      </c>
      <c r="G76" s="3162">
        <f ca="1">典型户型修正!S99</f>
        <v>875</v>
      </c>
    </row>
    <row r="77" spans="1:7">
      <c r="A77" s="3161">
        <v>76</v>
      </c>
      <c r="B77" s="3161" t="s">
        <v>3456</v>
      </c>
      <c r="C77" s="3161" t="s">
        <v>3387</v>
      </c>
      <c r="D77" s="3161">
        <v>2</v>
      </c>
      <c r="E77" s="3161">
        <v>125.44</v>
      </c>
      <c r="F77" s="3162" t="s">
        <v>2806</v>
      </c>
      <c r="G77" s="3162">
        <f ca="1">典型户型修正!S100</f>
        <v>646</v>
      </c>
    </row>
    <row r="78" spans="1:7">
      <c r="A78" s="3161">
        <v>77</v>
      </c>
      <c r="B78" s="3161" t="s">
        <v>3457</v>
      </c>
      <c r="C78" s="3161" t="s">
        <v>3387</v>
      </c>
      <c r="D78" s="3161">
        <v>7</v>
      </c>
      <c r="E78" s="3161">
        <v>234.74</v>
      </c>
      <c r="F78" s="3162" t="s">
        <v>2806</v>
      </c>
      <c r="G78" s="3162">
        <f ca="1">典型户型修正!S101</f>
        <v>1233</v>
      </c>
    </row>
    <row r="79" spans="1:7">
      <c r="A79" s="3161">
        <v>78</v>
      </c>
      <c r="B79" s="3161" t="s">
        <v>3458</v>
      </c>
      <c r="C79" s="3161" t="s">
        <v>3387</v>
      </c>
      <c r="D79" s="3161">
        <v>10</v>
      </c>
      <c r="E79" s="3161">
        <v>125.44</v>
      </c>
      <c r="F79" s="3162" t="s">
        <v>2806</v>
      </c>
      <c r="G79" s="3162">
        <f ca="1">典型户型修正!S102</f>
        <v>659</v>
      </c>
    </row>
    <row r="80" spans="1:7">
      <c r="A80" s="3161">
        <v>79</v>
      </c>
      <c r="B80" s="3161" t="s">
        <v>3459</v>
      </c>
      <c r="C80" s="3161" t="s">
        <v>3387</v>
      </c>
      <c r="D80" s="3161">
        <v>10</v>
      </c>
      <c r="E80" s="3161">
        <v>211.49</v>
      </c>
      <c r="F80" s="3162" t="s">
        <v>2806</v>
      </c>
      <c r="G80" s="3162">
        <f ca="1">典型户型修正!S103</f>
        <v>1111</v>
      </c>
    </row>
    <row r="81" spans="1:7">
      <c r="A81" s="3161">
        <v>80</v>
      </c>
      <c r="B81" s="3161" t="s">
        <v>3460</v>
      </c>
      <c r="C81" s="3161" t="s">
        <v>3387</v>
      </c>
      <c r="D81" s="3161">
        <v>10</v>
      </c>
      <c r="E81" s="3161">
        <v>211.49</v>
      </c>
      <c r="F81" s="3162" t="s">
        <v>2806</v>
      </c>
      <c r="G81" s="3162">
        <f ca="1">典型户型修正!S104</f>
        <v>1089</v>
      </c>
    </row>
    <row r="82" spans="1:7">
      <c r="A82" s="3161">
        <v>81</v>
      </c>
      <c r="B82" s="3161" t="s">
        <v>3461</v>
      </c>
      <c r="C82" s="3161" t="s">
        <v>3387</v>
      </c>
      <c r="D82" s="3161">
        <v>10</v>
      </c>
      <c r="E82" s="3161">
        <v>125.44</v>
      </c>
      <c r="F82" s="3162" t="s">
        <v>2806</v>
      </c>
      <c r="G82" s="3162">
        <f ca="1">典型户型修正!S105</f>
        <v>646</v>
      </c>
    </row>
    <row r="83" spans="1:7">
      <c r="A83" s="3161">
        <v>82</v>
      </c>
      <c r="B83" s="3161" t="s">
        <v>3462</v>
      </c>
      <c r="C83" s="3161" t="s">
        <v>3387</v>
      </c>
      <c r="D83" s="3161">
        <v>10</v>
      </c>
      <c r="E83" s="3161">
        <v>125.44</v>
      </c>
      <c r="F83" s="3162" t="s">
        <v>2806</v>
      </c>
      <c r="G83" s="3162">
        <f ca="1">典型户型修正!S106</f>
        <v>646</v>
      </c>
    </row>
    <row r="84" spans="1:7">
      <c r="A84" s="3161">
        <v>83</v>
      </c>
      <c r="B84" s="3161" t="s">
        <v>3463</v>
      </c>
      <c r="C84" s="3161" t="s">
        <v>3387</v>
      </c>
      <c r="D84" s="3161">
        <v>10</v>
      </c>
      <c r="E84" s="3161">
        <v>234.73</v>
      </c>
      <c r="F84" s="3162" t="s">
        <v>2806</v>
      </c>
      <c r="G84" s="3162">
        <f ca="1">典型户型修正!S107</f>
        <v>1208</v>
      </c>
    </row>
    <row r="85" spans="1:7">
      <c r="A85" s="3161">
        <v>84</v>
      </c>
      <c r="B85" s="3161" t="s">
        <v>3464</v>
      </c>
      <c r="C85" s="3161" t="s">
        <v>3387</v>
      </c>
      <c r="D85" s="3161">
        <v>10</v>
      </c>
      <c r="E85" s="3161">
        <v>234.74</v>
      </c>
      <c r="F85" s="3162" t="s">
        <v>2806</v>
      </c>
      <c r="G85" s="3162">
        <f ca="1">典型户型修正!S108</f>
        <v>1208</v>
      </c>
    </row>
    <row r="86" spans="1:7">
      <c r="A86" s="3161">
        <v>85</v>
      </c>
      <c r="B86" s="3161" t="s">
        <v>3465</v>
      </c>
      <c r="C86" s="3161" t="s">
        <v>3387</v>
      </c>
      <c r="D86" s="3161">
        <v>10</v>
      </c>
      <c r="E86" s="3161">
        <v>125.44</v>
      </c>
      <c r="F86" s="3162" t="s">
        <v>2806</v>
      </c>
      <c r="G86" s="3162">
        <f ca="1">典型户型修正!S109</f>
        <v>659</v>
      </c>
    </row>
    <row r="87" spans="1:7">
      <c r="A87" s="3161">
        <v>86</v>
      </c>
      <c r="B87" s="3161" t="s">
        <v>3466</v>
      </c>
      <c r="C87" s="3161" t="s">
        <v>3387</v>
      </c>
      <c r="D87" s="3161">
        <v>11</v>
      </c>
      <c r="E87" s="3161">
        <v>125.44</v>
      </c>
      <c r="F87" s="3162" t="s">
        <v>2806</v>
      </c>
      <c r="G87" s="3162">
        <f ca="1">典型户型修正!S110</f>
        <v>659</v>
      </c>
    </row>
    <row r="88" spans="1:7">
      <c r="A88" s="3161">
        <v>87</v>
      </c>
      <c r="B88" s="3161" t="s">
        <v>3467</v>
      </c>
      <c r="C88" s="3161" t="s">
        <v>3387</v>
      </c>
      <c r="D88" s="3161">
        <v>11</v>
      </c>
      <c r="E88" s="3161">
        <v>211.49</v>
      </c>
      <c r="F88" s="3162" t="s">
        <v>2806</v>
      </c>
      <c r="G88" s="3162">
        <f ca="1">典型户型修正!S111</f>
        <v>1111</v>
      </c>
    </row>
    <row r="89" spans="1:7">
      <c r="A89" s="3161">
        <v>88</v>
      </c>
      <c r="B89" s="3161" t="s">
        <v>3468</v>
      </c>
      <c r="C89" s="3161" t="s">
        <v>3387</v>
      </c>
      <c r="D89" s="3161">
        <v>11</v>
      </c>
      <c r="E89" s="3161">
        <v>211.49</v>
      </c>
      <c r="F89" s="3162" t="s">
        <v>2806</v>
      </c>
      <c r="G89" s="3162">
        <f ca="1">典型户型修正!S112</f>
        <v>1111</v>
      </c>
    </row>
    <row r="90" spans="1:7">
      <c r="A90" s="3161">
        <v>89</v>
      </c>
      <c r="B90" s="3161" t="s">
        <v>3469</v>
      </c>
      <c r="C90" s="3161" t="s">
        <v>3387</v>
      </c>
      <c r="D90" s="3161">
        <v>11</v>
      </c>
      <c r="E90" s="3161">
        <v>125.44</v>
      </c>
      <c r="F90" s="3162" t="s">
        <v>2806</v>
      </c>
      <c r="G90" s="3162">
        <f ca="1">典型户型修正!S113</f>
        <v>659</v>
      </c>
    </row>
    <row r="91" spans="1:7">
      <c r="A91" s="3161">
        <v>90</v>
      </c>
      <c r="B91" s="3161" t="s">
        <v>3470</v>
      </c>
      <c r="C91" s="3161" t="s">
        <v>3387</v>
      </c>
      <c r="D91" s="3161">
        <v>11</v>
      </c>
      <c r="E91" s="3161">
        <v>125.44</v>
      </c>
      <c r="F91" s="3162" t="s">
        <v>2806</v>
      </c>
      <c r="G91" s="3162">
        <f ca="1">典型户型修正!S114</f>
        <v>659</v>
      </c>
    </row>
    <row r="92" spans="1:7">
      <c r="A92" s="3161">
        <v>91</v>
      </c>
      <c r="B92" s="3161" t="s">
        <v>3471</v>
      </c>
      <c r="C92" s="3161" t="s">
        <v>3387</v>
      </c>
      <c r="D92" s="3161">
        <v>11</v>
      </c>
      <c r="E92" s="3161">
        <v>234.73</v>
      </c>
      <c r="F92" s="3162" t="s">
        <v>2806</v>
      </c>
      <c r="G92" s="3162">
        <f ca="1">典型户型修正!S115</f>
        <v>1233</v>
      </c>
    </row>
    <row r="93" spans="1:7">
      <c r="A93" s="3161">
        <v>92</v>
      </c>
      <c r="B93" s="3161" t="s">
        <v>3472</v>
      </c>
      <c r="C93" s="3161" t="s">
        <v>3387</v>
      </c>
      <c r="D93" s="3161">
        <v>11</v>
      </c>
      <c r="E93" s="3161">
        <v>234.74</v>
      </c>
      <c r="F93" s="3162" t="s">
        <v>2806</v>
      </c>
      <c r="G93" s="3162">
        <f ca="1">典型户型修正!S116</f>
        <v>1233</v>
      </c>
    </row>
    <row r="94" spans="1:7">
      <c r="A94" s="3161">
        <v>93</v>
      </c>
      <c r="B94" s="3161" t="s">
        <v>3473</v>
      </c>
      <c r="C94" s="3161" t="s">
        <v>3387</v>
      </c>
      <c r="D94" s="3161">
        <v>11</v>
      </c>
      <c r="E94" s="3161">
        <v>125.44</v>
      </c>
      <c r="F94" s="3162" t="s">
        <v>2806</v>
      </c>
      <c r="G94" s="3162">
        <f ca="1">典型户型修正!S117</f>
        <v>659</v>
      </c>
    </row>
    <row r="95" spans="1:7">
      <c r="A95" s="3161">
        <v>94</v>
      </c>
      <c r="B95" s="3161" t="s">
        <v>3474</v>
      </c>
      <c r="C95" s="3161" t="s">
        <v>3387</v>
      </c>
      <c r="D95" s="3161">
        <v>18</v>
      </c>
      <c r="E95" s="3161">
        <v>125.44</v>
      </c>
      <c r="F95" s="3162" t="s">
        <v>2806</v>
      </c>
      <c r="G95" s="3162">
        <f ca="1">典型户型修正!S118</f>
        <v>646</v>
      </c>
    </row>
    <row r="96" spans="1:7">
      <c r="A96" s="3161">
        <v>95</v>
      </c>
      <c r="B96" s="3161" t="s">
        <v>3475</v>
      </c>
      <c r="C96" s="3161" t="s">
        <v>3387</v>
      </c>
      <c r="D96" s="3161">
        <v>18</v>
      </c>
      <c r="E96" s="3161">
        <v>211.49</v>
      </c>
      <c r="F96" s="3162" t="s">
        <v>2806</v>
      </c>
      <c r="G96" s="3162">
        <f ca="1">典型户型修正!S119</f>
        <v>1089</v>
      </c>
    </row>
    <row r="97" spans="1:7">
      <c r="A97" s="3161">
        <v>96</v>
      </c>
      <c r="B97" s="3161" t="s">
        <v>3476</v>
      </c>
      <c r="C97" s="3161" t="s">
        <v>3387</v>
      </c>
      <c r="D97" s="3161">
        <v>18</v>
      </c>
      <c r="E97" s="3161">
        <v>211.49</v>
      </c>
      <c r="F97" s="3162" t="s">
        <v>2806</v>
      </c>
      <c r="G97" s="3162">
        <f ca="1">典型户型修正!S120</f>
        <v>1089</v>
      </c>
    </row>
    <row r="98" spans="1:7">
      <c r="A98" s="3161">
        <v>97</v>
      </c>
      <c r="B98" s="3161" t="s">
        <v>3477</v>
      </c>
      <c r="C98" s="3161" t="s">
        <v>3387</v>
      </c>
      <c r="D98" s="3161">
        <v>18</v>
      </c>
      <c r="E98" s="3161">
        <v>125.44</v>
      </c>
      <c r="F98" s="3162" t="s">
        <v>2806</v>
      </c>
      <c r="G98" s="3162">
        <f ca="1">典型户型修正!S121</f>
        <v>646</v>
      </c>
    </row>
    <row r="99" spans="1:7">
      <c r="A99" s="3161">
        <v>98</v>
      </c>
      <c r="B99" s="3161" t="s">
        <v>3478</v>
      </c>
      <c r="C99" s="3161" t="s">
        <v>3387</v>
      </c>
      <c r="D99" s="3161">
        <v>18</v>
      </c>
      <c r="E99" s="3161">
        <v>125.44</v>
      </c>
      <c r="F99" s="3162" t="s">
        <v>2806</v>
      </c>
      <c r="G99" s="3162">
        <f ca="1">典型户型修正!S122</f>
        <v>646</v>
      </c>
    </row>
    <row r="100" spans="1:7">
      <c r="A100" s="3161">
        <v>99</v>
      </c>
      <c r="B100" s="3161" t="s">
        <v>3479</v>
      </c>
      <c r="C100" s="3161" t="s">
        <v>3387</v>
      </c>
      <c r="D100" s="3161">
        <v>18</v>
      </c>
      <c r="E100" s="3161">
        <v>234.73</v>
      </c>
      <c r="F100" s="3162" t="s">
        <v>2806</v>
      </c>
      <c r="G100" s="3162">
        <f ca="1">典型户型修正!S123</f>
        <v>1209</v>
      </c>
    </row>
    <row r="101" spans="1:7">
      <c r="A101" s="3161">
        <v>100</v>
      </c>
      <c r="B101" s="3161" t="s">
        <v>3480</v>
      </c>
      <c r="C101" s="3161" t="s">
        <v>3387</v>
      </c>
      <c r="D101" s="3161">
        <v>18</v>
      </c>
      <c r="E101" s="3161">
        <v>234.74</v>
      </c>
      <c r="F101" s="3162" t="s">
        <v>2806</v>
      </c>
      <c r="G101" s="3162">
        <f ca="1">典型户型修正!S124</f>
        <v>1209</v>
      </c>
    </row>
    <row r="102" spans="1:7">
      <c r="A102" s="3161">
        <v>101</v>
      </c>
      <c r="B102" s="3161" t="s">
        <v>3481</v>
      </c>
      <c r="C102" s="3161" t="s">
        <v>3387</v>
      </c>
      <c r="D102" s="3161">
        <v>18</v>
      </c>
      <c r="E102" s="3161">
        <v>125.44</v>
      </c>
      <c r="F102" s="3162" t="s">
        <v>2806</v>
      </c>
      <c r="G102" s="3162">
        <f ca="1">典型户型修正!S125</f>
        <v>646</v>
      </c>
    </row>
    <row r="103" spans="1:7">
      <c r="A103" s="3161">
        <v>102</v>
      </c>
      <c r="B103" s="3161" t="s">
        <v>3482</v>
      </c>
      <c r="C103" s="3161" t="s">
        <v>3387</v>
      </c>
      <c r="D103" s="3161">
        <v>19</v>
      </c>
      <c r="E103" s="3161">
        <v>125.44</v>
      </c>
      <c r="F103" s="3162" t="s">
        <v>2806</v>
      </c>
      <c r="G103" s="3162">
        <f ca="1">典型户型修正!S126</f>
        <v>646</v>
      </c>
    </row>
    <row r="104" spans="1:7">
      <c r="A104" s="3161">
        <v>103</v>
      </c>
      <c r="B104" s="3161" t="s">
        <v>3483</v>
      </c>
      <c r="C104" s="3161" t="s">
        <v>3387</v>
      </c>
      <c r="D104" s="3161">
        <v>19</v>
      </c>
      <c r="E104" s="3161">
        <v>211.49</v>
      </c>
      <c r="F104" s="3162" t="s">
        <v>2806</v>
      </c>
      <c r="G104" s="3162">
        <f ca="1">典型户型修正!S127</f>
        <v>1089</v>
      </c>
    </row>
    <row r="105" spans="1:7">
      <c r="A105" s="3161">
        <v>104</v>
      </c>
      <c r="B105" s="3161" t="s">
        <v>3484</v>
      </c>
      <c r="C105" s="3161" t="s">
        <v>3387</v>
      </c>
      <c r="D105" s="3161">
        <v>19</v>
      </c>
      <c r="E105" s="3161">
        <v>211.49</v>
      </c>
      <c r="F105" s="3162" t="s">
        <v>2806</v>
      </c>
      <c r="G105" s="3162">
        <f ca="1">典型户型修正!S128</f>
        <v>1089</v>
      </c>
    </row>
    <row r="106" spans="1:7">
      <c r="A106" s="3161">
        <v>105</v>
      </c>
      <c r="B106" s="3161" t="s">
        <v>3485</v>
      </c>
      <c r="C106" s="3161" t="s">
        <v>3387</v>
      </c>
      <c r="D106" s="3161">
        <v>19</v>
      </c>
      <c r="E106" s="3161">
        <v>125.44</v>
      </c>
      <c r="F106" s="3162" t="s">
        <v>2806</v>
      </c>
      <c r="G106" s="3162">
        <f ca="1">典型户型修正!S129</f>
        <v>646</v>
      </c>
    </row>
    <row r="107" spans="1:7">
      <c r="A107" s="3161">
        <v>106</v>
      </c>
      <c r="B107" s="3161" t="s">
        <v>3486</v>
      </c>
      <c r="C107" s="3161" t="s">
        <v>3387</v>
      </c>
      <c r="D107" s="3161">
        <v>19</v>
      </c>
      <c r="E107" s="3161">
        <v>125.44</v>
      </c>
      <c r="F107" s="3162" t="s">
        <v>2806</v>
      </c>
      <c r="G107" s="3162">
        <f ca="1">典型户型修正!S130</f>
        <v>646</v>
      </c>
    </row>
    <row r="108" spans="1:7">
      <c r="A108" s="3161">
        <v>107</v>
      </c>
      <c r="B108" s="3161" t="s">
        <v>3487</v>
      </c>
      <c r="C108" s="3161" t="s">
        <v>3387</v>
      </c>
      <c r="D108" s="3161">
        <v>19</v>
      </c>
      <c r="E108" s="3161">
        <v>234.73</v>
      </c>
      <c r="F108" s="3162" t="s">
        <v>2806</v>
      </c>
      <c r="G108" s="3162">
        <f ca="1">典型户型修正!S131</f>
        <v>1209</v>
      </c>
    </row>
    <row r="109" spans="1:7">
      <c r="A109" s="3161">
        <v>108</v>
      </c>
      <c r="B109" s="3161" t="s">
        <v>3488</v>
      </c>
      <c r="C109" s="3161" t="s">
        <v>3387</v>
      </c>
      <c r="D109" s="3161">
        <v>19</v>
      </c>
      <c r="E109" s="3161">
        <v>234.74</v>
      </c>
      <c r="F109" s="3162" t="s">
        <v>2806</v>
      </c>
      <c r="G109" s="3162">
        <f ca="1">典型户型修正!S132</f>
        <v>1209</v>
      </c>
    </row>
    <row r="110" spans="1:7">
      <c r="A110" s="3161">
        <v>109</v>
      </c>
      <c r="B110" s="3161" t="s">
        <v>3489</v>
      </c>
      <c r="C110" s="3161" t="s">
        <v>3387</v>
      </c>
      <c r="D110" s="3161">
        <v>19</v>
      </c>
      <c r="E110" s="3161">
        <v>125.44</v>
      </c>
      <c r="F110" s="3162" t="s">
        <v>2806</v>
      </c>
      <c r="G110" s="3162">
        <f ca="1">典型户型修正!S133</f>
        <v>646</v>
      </c>
    </row>
    <row r="111" spans="1:7">
      <c r="A111" s="3236" t="s">
        <v>3491</v>
      </c>
      <c r="B111" s="3237"/>
      <c r="C111" s="3237"/>
      <c r="D111" s="3238"/>
      <c r="E111" s="3161">
        <f>SUM(E2:E110)</f>
        <v>16024.920000000006</v>
      </c>
      <c r="F111" s="3162" t="s">
        <v>3635</v>
      </c>
      <c r="G111" s="3161">
        <f ca="1">SUM(G2:G110)</f>
        <v>81811</v>
      </c>
    </row>
    <row r="112" spans="1:7">
      <c r="A112" s="3161">
        <v>110</v>
      </c>
      <c r="B112" s="3161" t="s">
        <v>3490</v>
      </c>
      <c r="C112" s="3161" t="s">
        <v>3387</v>
      </c>
      <c r="D112" s="3161">
        <v>1</v>
      </c>
      <c r="E112" s="3161">
        <v>282.85000000000002</v>
      </c>
      <c r="F112" s="3162" t="s">
        <v>3501</v>
      </c>
      <c r="G112" s="3162">
        <f ca="1">'典型户型修正 (2)'!S24</f>
        <v>2255</v>
      </c>
    </row>
    <row r="113" spans="1:7">
      <c r="A113" s="3161">
        <v>110</v>
      </c>
      <c r="B113" s="3161" t="s">
        <v>3492</v>
      </c>
      <c r="C113" s="3161" t="s">
        <v>3387</v>
      </c>
      <c r="D113" s="3161">
        <v>1</v>
      </c>
      <c r="E113" s="3161">
        <v>204.95</v>
      </c>
      <c r="F113" s="3162" t="s">
        <v>3501</v>
      </c>
      <c r="G113" s="3162">
        <f ca="1">'典型户型修正 (2)'!S25</f>
        <v>1634</v>
      </c>
    </row>
    <row r="114" spans="1:7">
      <c r="A114" s="3161">
        <v>110</v>
      </c>
      <c r="B114" s="3161" t="s">
        <v>3493</v>
      </c>
      <c r="C114" s="3161" t="s">
        <v>3387</v>
      </c>
      <c r="D114" s="3161">
        <v>1</v>
      </c>
      <c r="E114" s="3161">
        <v>256.02999999999997</v>
      </c>
      <c r="F114" s="3162" t="s">
        <v>3501</v>
      </c>
      <c r="G114" s="3162">
        <f ca="1">'典型户型修正 (2)'!S26</f>
        <v>2041</v>
      </c>
    </row>
    <row r="115" spans="1:7">
      <c r="A115" s="3161">
        <v>110</v>
      </c>
      <c r="B115" s="3161" t="s">
        <v>3494</v>
      </c>
      <c r="C115" s="3161" t="s">
        <v>3387</v>
      </c>
      <c r="D115" s="3161">
        <v>1</v>
      </c>
      <c r="E115" s="3161">
        <v>467.92</v>
      </c>
      <c r="F115" s="3162" t="s">
        <v>3501</v>
      </c>
      <c r="G115" s="3162">
        <f ca="1">'典型户型修正 (2)'!S27</f>
        <v>3693</v>
      </c>
    </row>
    <row r="116" spans="1:7">
      <c r="A116" s="3161">
        <v>110</v>
      </c>
      <c r="B116" s="3161" t="s">
        <v>3495</v>
      </c>
      <c r="C116" s="3161" t="s">
        <v>3387</v>
      </c>
      <c r="D116" s="3161">
        <v>1</v>
      </c>
      <c r="E116" s="3161">
        <v>396.96</v>
      </c>
      <c r="F116" s="3162" t="s">
        <v>3501</v>
      </c>
      <c r="G116" s="3162">
        <f ca="1">'典型户型修正 (2)'!S28</f>
        <v>2827</v>
      </c>
    </row>
    <row r="117" spans="1:7">
      <c r="A117" s="3161">
        <v>110</v>
      </c>
      <c r="B117" s="3161" t="s">
        <v>3496</v>
      </c>
      <c r="C117" s="3161" t="s">
        <v>3387</v>
      </c>
      <c r="D117" s="3161">
        <v>1</v>
      </c>
      <c r="E117" s="3161">
        <v>251.25</v>
      </c>
      <c r="F117" s="3162" t="s">
        <v>3501</v>
      </c>
      <c r="G117" s="3162">
        <f ca="1">'典型户型修正 (2)'!S29</f>
        <v>1807</v>
      </c>
    </row>
    <row r="118" spans="1:7">
      <c r="A118" s="3161">
        <v>110</v>
      </c>
      <c r="B118" s="3161" t="s">
        <v>3497</v>
      </c>
      <c r="C118" s="3161" t="s">
        <v>3387</v>
      </c>
      <c r="D118" s="3161">
        <v>1</v>
      </c>
      <c r="E118" s="3161">
        <v>195.05</v>
      </c>
      <c r="F118" s="3162" t="s">
        <v>3501</v>
      </c>
      <c r="G118" s="3162">
        <f ca="1">'典型户型修正 (2)'!S30</f>
        <v>1417</v>
      </c>
    </row>
    <row r="119" spans="1:7">
      <c r="A119" s="3161">
        <v>110</v>
      </c>
      <c r="B119" s="3161" t="s">
        <v>3498</v>
      </c>
      <c r="C119" s="3161" t="s">
        <v>3387</v>
      </c>
      <c r="D119" s="3161">
        <v>1</v>
      </c>
      <c r="E119" s="3161">
        <v>324.41000000000003</v>
      </c>
      <c r="F119" s="3162" t="s">
        <v>3501</v>
      </c>
      <c r="G119" s="3162">
        <f ca="1">'典型户型修正 (2)'!S31</f>
        <v>2310</v>
      </c>
    </row>
    <row r="120" spans="1:7">
      <c r="A120" s="3161">
        <v>110</v>
      </c>
      <c r="B120" s="3161" t="s">
        <v>3499</v>
      </c>
      <c r="C120" s="3161" t="s">
        <v>3387</v>
      </c>
      <c r="D120" s="3161">
        <v>1</v>
      </c>
      <c r="E120" s="3161">
        <v>480.71</v>
      </c>
      <c r="F120" s="3162" t="s">
        <v>3501</v>
      </c>
      <c r="G120" s="3162">
        <f ca="1">'典型户型修正 (2)'!S32</f>
        <v>3424</v>
      </c>
    </row>
    <row r="121" spans="1:7">
      <c r="A121" s="3161">
        <v>110</v>
      </c>
      <c r="B121" s="3161" t="s">
        <v>3500</v>
      </c>
      <c r="C121" s="3161" t="s">
        <v>3387</v>
      </c>
      <c r="D121" s="3161">
        <v>1</v>
      </c>
      <c r="E121" s="3161">
        <v>283.31</v>
      </c>
      <c r="F121" s="3162" t="s">
        <v>3501</v>
      </c>
      <c r="G121" s="3162">
        <f ca="1">'典型户型修正 (2)'!S33</f>
        <v>1829</v>
      </c>
    </row>
    <row r="122" spans="1:7">
      <c r="A122" s="3236" t="s">
        <v>3581</v>
      </c>
      <c r="B122" s="3237"/>
      <c r="C122" s="3237"/>
      <c r="D122" s="3238"/>
      <c r="E122" s="3161">
        <f>SUM(E112:E121)</f>
        <v>3143.44</v>
      </c>
      <c r="F122" s="3162" t="s">
        <v>3635</v>
      </c>
      <c r="G122" s="3161">
        <f ca="1">SUM(G112:G121)</f>
        <v>23237</v>
      </c>
    </row>
    <row r="123" spans="1:7">
      <c r="A123" s="3236" t="s">
        <v>2586</v>
      </c>
      <c r="B123" s="3237"/>
      <c r="C123" s="3237"/>
      <c r="D123" s="3238"/>
      <c r="E123" s="3161">
        <f>SUM(E122,E111)</f>
        <v>19168.360000000004</v>
      </c>
      <c r="F123" s="3162" t="s">
        <v>3635</v>
      </c>
      <c r="G123" s="3161">
        <f ca="1">SUM(G122,G111)</f>
        <v>105048</v>
      </c>
    </row>
  </sheetData>
  <mergeCells count="3">
    <mergeCell ref="A111:D111"/>
    <mergeCell ref="A122:D122"/>
    <mergeCell ref="A123:D123"/>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5" sqref="A15"/>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391.32000000000005</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f>A15</f>
        <v>2389.9</v>
      </c>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1070</v>
      </c>
      <c r="B5" s="1257"/>
      <c r="C5" s="1257"/>
      <c r="D5" s="1258"/>
      <c r="E5" s="13" t="s">
        <v>0</v>
      </c>
      <c r="F5" s="13">
        <f>SUM(F13:F587)</f>
        <v>0</v>
      </c>
      <c r="G5" s="13">
        <f>SUM(G13:G587)</f>
        <v>391.32000000000005</v>
      </c>
      <c r="H5" s="13">
        <f t="shared" ref="H5:AT5" si="0">SUM(H13:H656)</f>
        <v>391.32000000000005</v>
      </c>
      <c r="I5" s="13">
        <f t="shared" si="0"/>
        <v>108.47</v>
      </c>
      <c r="J5" s="13">
        <f t="shared" si="0"/>
        <v>0</v>
      </c>
      <c r="K5" s="13">
        <f t="shared" si="0"/>
        <v>282.85000000000002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391.32000000000005</v>
      </c>
      <c r="BA5" s="15">
        <f t="shared" si="1"/>
        <v>391.32000000000005</v>
      </c>
      <c r="BB5" s="15">
        <f t="shared" si="1"/>
        <v>108.47</v>
      </c>
      <c r="BC5" s="15">
        <f t="shared" si="1"/>
        <v>282.85000000000002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2389.9</v>
      </c>
      <c r="AZ6" s="13" t="s">
        <v>2</v>
      </c>
      <c r="BA6" s="13">
        <f>ROUND($AY$6*BA5/$AZ$5,2)</f>
        <v>2389.9</v>
      </c>
      <c r="BB6" s="13">
        <f>ROUND($AY$6*BB5/$AZ$5,2)</f>
        <v>662.46</v>
      </c>
      <c r="BC6" s="13">
        <f t="shared" ref="BC6:BH6" si="4">ROUND($AY$6*BC5/$AZ$5,2)</f>
        <v>1727.44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1090</v>
      </c>
      <c r="I9" s="1489" t="s">
        <v>3504</v>
      </c>
      <c r="J9" s="760"/>
      <c r="K9" s="1489" t="s">
        <v>3504</v>
      </c>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4"/>
      <c r="BD9" s="1024"/>
      <c r="BE9" s="1024"/>
      <c r="BF9" s="1024"/>
      <c r="BG9" s="1024"/>
      <c r="BH9" s="1024"/>
      <c r="BI9" s="1024"/>
      <c r="BJ9" s="1024"/>
      <c r="BK9" s="1494"/>
      <c r="BL9" s="12" t="s">
        <v>1095</v>
      </c>
      <c r="BM9" s="1267"/>
      <c r="BN9" s="1483"/>
      <c r="BO9" s="1267"/>
      <c r="BP9" s="1267"/>
      <c r="BQ9" s="1267"/>
      <c r="BR9" s="1267"/>
      <c r="BS9" s="1267"/>
      <c r="BT9" s="23"/>
    </row>
    <row r="10" spans="1:72" s="1487" customFormat="1" ht="12.75">
      <c r="A10" s="1480"/>
      <c r="B10" s="1480"/>
      <c r="C10" s="1480"/>
      <c r="D10" s="1480"/>
      <c r="E10" s="1480"/>
      <c r="F10" s="1480"/>
      <c r="G10" s="1006"/>
      <c r="H10" s="25"/>
      <c r="I10" s="1489" t="s">
        <v>21</v>
      </c>
      <c r="J10" s="760"/>
      <c r="K10" s="1495" t="s">
        <v>673</v>
      </c>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t="str">
        <f>K9</f>
        <v>地上</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办公</v>
      </c>
      <c r="BC11" s="1485" t="str">
        <f>K10</f>
        <v>商业</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v>177422.53</v>
      </c>
      <c r="B13" s="627">
        <f>ROUND(I13/A13*A14,2)</f>
        <v>13.52</v>
      </c>
      <c r="C13" s="3143" t="str">
        <f>明细表!B4</f>
        <v>2单元621</v>
      </c>
      <c r="D13" s="1511" t="s">
        <v>3505</v>
      </c>
      <c r="E13" s="13">
        <f>IF($C$3="是",ROUND($A$3*G13/$B$3,2),ROUND($A$3*(G13-AT13)/$B$3,2))</f>
        <v>0</v>
      </c>
      <c r="F13" s="29"/>
      <c r="G13" s="30">
        <f>H13+AC13+AT13</f>
        <v>108.47</v>
      </c>
      <c r="H13" s="17">
        <f>SUMIF(I$12:AB$12,"总值",I13:AB13)</f>
        <v>108.47</v>
      </c>
      <c r="I13" s="1512">
        <f>明细表!E4</f>
        <v>108.47</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177422.53</v>
      </c>
      <c r="AW13" s="8">
        <f t="shared" si="6"/>
        <v>13.52</v>
      </c>
      <c r="AX13" s="8" t="str">
        <f t="shared" si="6"/>
        <v>2单元621</v>
      </c>
      <c r="AY13" s="1258">
        <f>ROUND($AY$6*AZ13/$AZ$5,2)</f>
        <v>662.46</v>
      </c>
      <c r="AZ13" s="13">
        <f>BA13+BL13</f>
        <v>108.47</v>
      </c>
      <c r="BA13" s="13">
        <f>SUM(BB13:BK13)</f>
        <v>108.47</v>
      </c>
      <c r="BB13" s="13">
        <f>IF($D13="是",I13-J13,0)</f>
        <v>108.47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v>22120.93</v>
      </c>
      <c r="B14" s="627">
        <f>ROUND(K14/A13*A14,2)</f>
        <v>35.270000000000003</v>
      </c>
      <c r="C14" s="3143" t="str">
        <f>明细表!B112</f>
        <v>3单元103</v>
      </c>
      <c r="D14" s="1511" t="s">
        <v>3505</v>
      </c>
      <c r="E14" s="13">
        <f>IF($C$3="是",ROUND($A$3*G14/$B$3,2),ROUND($A$3*(G14-AT14)/$B$3,2))</f>
        <v>0</v>
      </c>
      <c r="F14" s="29"/>
      <c r="G14" s="30">
        <f>H14+AC14+AT14</f>
        <v>282.85000000000002</v>
      </c>
      <c r="H14" s="17">
        <f>SUMIF(I$12:AB$12,"总值",I14:AB14)</f>
        <v>282.85000000000002</v>
      </c>
      <c r="I14" s="1512"/>
      <c r="J14" s="1512"/>
      <c r="K14" s="1512">
        <f>明细表!E112</f>
        <v>282.85000000000002</v>
      </c>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22120.93</v>
      </c>
      <c r="AW14" s="8">
        <f t="shared" si="6"/>
        <v>35.270000000000003</v>
      </c>
      <c r="AX14" s="8" t="str">
        <f t="shared" si="6"/>
        <v>3单元103</v>
      </c>
      <c r="AY14" s="1258">
        <f>ROUND($AY$6*AZ14/$AZ$5,2)</f>
        <v>1727.44</v>
      </c>
      <c r="AZ14" s="13">
        <f>BA14+BL14</f>
        <v>282.85000000000002</v>
      </c>
      <c r="BA14" s="13">
        <f>SUM(BB14:BK14)</f>
        <v>282.85000000000002</v>
      </c>
      <c r="BB14" s="13">
        <f>IF($D14="是",I14-J14,0)</f>
        <v>0</v>
      </c>
      <c r="BC14" s="13">
        <f>IF($D14="是",K14-L14,0)</f>
        <v>282.85000000000002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f>ROUND(明细表!E123/'数据-基础表'!A13*'数据-基础表'!A14,2)</f>
        <v>2389.9</v>
      </c>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2389.9</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R21" sqref="R21"/>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1129</v>
      </c>
      <c r="B1" s="1070"/>
      <c r="C1" s="1070"/>
      <c r="D1" s="1070"/>
      <c r="E1" s="1070"/>
      <c r="F1" s="1070"/>
      <c r="G1" s="1070"/>
      <c r="H1" s="1070"/>
      <c r="I1" s="1070"/>
      <c r="J1" s="1070"/>
      <c r="K1" s="1070"/>
      <c r="L1" s="1070"/>
      <c r="M1" s="1070"/>
      <c r="N1" s="1070"/>
      <c r="O1" s="1070"/>
      <c r="P1" s="1070"/>
    </row>
    <row r="2" spans="1:16" ht="15">
      <c r="A2" s="3248" t="s">
        <v>1130</v>
      </c>
      <c r="B2" s="3248"/>
      <c r="C2" s="3248"/>
      <c r="D2" s="747" t="s">
        <v>1106</v>
      </c>
      <c r="E2" s="1521" t="s">
        <v>1107</v>
      </c>
      <c r="F2" s="2437"/>
      <c r="G2" s="2430"/>
      <c r="H2" s="2431"/>
      <c r="I2" s="2144" t="s">
        <v>1131</v>
      </c>
      <c r="J2" s="2437"/>
      <c r="K2" s="2437"/>
      <c r="L2" s="2437"/>
      <c r="M2" s="2437"/>
      <c r="N2" s="2438"/>
      <c r="O2" s="2437"/>
      <c r="P2" s="2437"/>
    </row>
    <row r="3" spans="1:16" ht="15.75" thickBot="1">
      <c r="A3" s="3249" t="s">
        <v>1104</v>
      </c>
      <c r="B3" s="3249"/>
      <c r="C3" s="3249"/>
      <c r="D3" s="41">
        <f>'数据-基础表'!AY6</f>
        <v>2389.9</v>
      </c>
      <c r="E3" s="41">
        <f>'数据-基础表'!AZ5</f>
        <v>391.32000000000005</v>
      </c>
      <c r="F3" s="2437"/>
      <c r="G3" s="42"/>
      <c r="H3" s="43" t="s">
        <v>1105</v>
      </c>
      <c r="I3" s="801" t="e">
        <f>ROUND('数据-基础表'!B3/'数据-基础表'!A3,2)</f>
        <v>#DIV/0!</v>
      </c>
      <c r="J3" s="2437"/>
      <c r="K3" s="2437"/>
      <c r="L3" s="2437"/>
      <c r="M3" s="2437"/>
      <c r="N3" s="2438"/>
      <c r="O3" s="2437"/>
      <c r="P3" s="2437"/>
    </row>
    <row r="4" spans="1:16" ht="15">
      <c r="A4" s="3250"/>
      <c r="B4" s="3251"/>
      <c r="C4" s="3252"/>
      <c r="D4" s="1522" t="s">
        <v>1106</v>
      </c>
      <c r="E4" s="1523" t="s">
        <v>1107</v>
      </c>
      <c r="F4" s="2437"/>
      <c r="G4" s="2432" t="s">
        <v>1132</v>
      </c>
      <c r="H4" s="43" t="s">
        <v>1112</v>
      </c>
      <c r="I4" s="801" t="e">
        <f>ROUND(SUMIF('数据-基础表'!I9:AS9,"地上",'数据-基础表'!I5:AS5)/'数据-基础表'!A3,2)</f>
        <v>#DIV/0!</v>
      </c>
      <c r="J4" s="2437"/>
      <c r="K4" s="2437"/>
      <c r="L4" s="2437"/>
      <c r="M4" s="2437"/>
      <c r="N4" s="2438"/>
      <c r="O4" s="2437"/>
      <c r="P4" s="2437"/>
    </row>
    <row r="5" spans="1:16">
      <c r="A5" s="42" t="s">
        <v>1108</v>
      </c>
      <c r="B5" s="3253" t="s">
        <v>1109</v>
      </c>
      <c r="C5" s="3253"/>
      <c r="D5" s="43">
        <f>ROUND($D$3*E5/$E$3,2)</f>
        <v>0</v>
      </c>
      <c r="E5" s="44">
        <f>SUMIF('数据-基础表'!$11:$11,"住宅",'数据-基础表'!$5:$5)</f>
        <v>0</v>
      </c>
      <c r="F5" s="2437"/>
      <c r="G5" s="42"/>
      <c r="H5" s="43" t="s">
        <v>1105</v>
      </c>
      <c r="I5" s="801">
        <f>ROUND(E31/D31,2)</f>
        <v>0.16</v>
      </c>
      <c r="J5" s="2437"/>
      <c r="K5" s="2437"/>
      <c r="L5" s="2437"/>
      <c r="M5" s="2437"/>
      <c r="N5" s="2437"/>
      <c r="O5" s="2437"/>
      <c r="P5" s="2437"/>
    </row>
    <row r="6" spans="1:16" ht="15" thickBot="1">
      <c r="A6" s="1525"/>
      <c r="B6" s="3253" t="s">
        <v>1110</v>
      </c>
      <c r="C6" s="3253"/>
      <c r="D6" s="43">
        <f>ROUND($D$3*E6/$E$3,2)</f>
        <v>2389.9</v>
      </c>
      <c r="E6" s="44">
        <f>E3-E5</f>
        <v>391.32000000000005</v>
      </c>
      <c r="F6" s="2437"/>
      <c r="G6" s="1527" t="s">
        <v>1111</v>
      </c>
      <c r="H6" s="45" t="s">
        <v>1112</v>
      </c>
      <c r="I6" s="2433">
        <f>ROUND(F31/D31,2)</f>
        <v>0.16</v>
      </c>
      <c r="J6" s="2437"/>
      <c r="K6" s="2437"/>
      <c r="L6" s="2437"/>
      <c r="M6" s="2437"/>
      <c r="N6" s="2437"/>
      <c r="O6" s="2437"/>
      <c r="P6" s="2437"/>
    </row>
    <row r="7" spans="1:16" ht="15.75" thickBot="1">
      <c r="A7" s="3245"/>
      <c r="B7" s="3246"/>
      <c r="C7" s="3247"/>
      <c r="D7" s="1522" t="s">
        <v>1106</v>
      </c>
      <c r="E7" s="1526" t="s">
        <v>1113</v>
      </c>
      <c r="F7" s="2437"/>
      <c r="G7" s="2434" t="s">
        <v>1114</v>
      </c>
      <c r="H7" s="95"/>
      <c r="I7" s="2435"/>
      <c r="J7" s="2437"/>
      <c r="K7" s="2437"/>
      <c r="L7" s="2437"/>
      <c r="M7" s="2437"/>
      <c r="N7" s="2437"/>
      <c r="O7" s="2437"/>
      <c r="P7" s="2437"/>
    </row>
    <row r="8" spans="1:16">
      <c r="A8" s="42" t="s">
        <v>1115</v>
      </c>
      <c r="B8" s="45" t="s">
        <v>1116</v>
      </c>
      <c r="C8" s="43" t="s">
        <v>1117</v>
      </c>
      <c r="D8" s="43">
        <f t="shared" ref="D8:D15" si="0">ROUND($D$3*E8/$E$3,2)</f>
        <v>2389.9</v>
      </c>
      <c r="E8" s="46">
        <f>SUMIF('数据-基础表'!BB10:BK10,"地上",'数据-基础表'!BB5:BK5)</f>
        <v>391.32000000000005</v>
      </c>
      <c r="F8" s="2437"/>
      <c r="G8" s="2437"/>
      <c r="H8" s="2437"/>
      <c r="I8" s="2437"/>
      <c r="J8" s="2437"/>
      <c r="K8" s="2437"/>
      <c r="L8" s="2437"/>
      <c r="M8" s="2437"/>
      <c r="N8" s="2437"/>
      <c r="O8" s="2437"/>
      <c r="P8" s="2437"/>
    </row>
    <row r="9" spans="1:16">
      <c r="A9" s="1527"/>
      <c r="B9" s="1528"/>
      <c r="C9" s="43" t="s">
        <v>1118</v>
      </c>
      <c r="D9" s="43">
        <f t="shared" si="0"/>
        <v>0</v>
      </c>
      <c r="E9" s="47">
        <v>0</v>
      </c>
      <c r="F9" s="2437"/>
      <c r="G9" s="2437"/>
      <c r="H9" s="2437"/>
      <c r="I9" s="2437"/>
      <c r="J9" s="2437"/>
      <c r="K9" s="2437"/>
      <c r="L9" s="2437"/>
      <c r="M9" s="2437"/>
      <c r="N9" s="2437"/>
      <c r="O9" s="2437"/>
      <c r="P9" s="2437"/>
    </row>
    <row r="10" spans="1:16">
      <c r="A10" s="1527"/>
      <c r="B10" s="1528"/>
      <c r="C10" s="43" t="s">
        <v>1127</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1119</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1120</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1121</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1133</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1128</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1122</v>
      </c>
      <c r="D16" s="45">
        <f>SUM(D8:D15)</f>
        <v>2389.9</v>
      </c>
      <c r="E16" s="48">
        <f>SUM(E8:E15)</f>
        <v>391.32000000000005</v>
      </c>
      <c r="F16" s="2437"/>
      <c r="G16" s="2437"/>
      <c r="H16" s="1529" t="s">
        <v>1134</v>
      </c>
      <c r="I16" s="1530"/>
      <c r="J16" s="1070"/>
      <c r="K16" s="3242" t="s">
        <v>1134</v>
      </c>
      <c r="L16" s="3243"/>
      <c r="M16" s="3243"/>
      <c r="N16" s="3243"/>
      <c r="O16" s="3243"/>
      <c r="P16" s="3244"/>
    </row>
    <row r="17" spans="1:19" ht="15">
      <c r="A17" s="1531" t="s">
        <v>1135</v>
      </c>
      <c r="B17" s="1532" t="s">
        <v>1136</v>
      </c>
      <c r="C17" s="1533" t="s">
        <v>1137</v>
      </c>
      <c r="D17" s="1534" t="s">
        <v>1125</v>
      </c>
      <c r="E17" s="1535" t="s">
        <v>1126</v>
      </c>
      <c r="F17" s="1536"/>
      <c r="G17" s="1537"/>
      <c r="H17" s="1538" t="s">
        <v>1138</v>
      </c>
      <c r="I17" s="1539" t="s">
        <v>1123</v>
      </c>
      <c r="J17" s="1070"/>
      <c r="K17" s="3239" t="s">
        <v>1139</v>
      </c>
      <c r="L17" s="3240"/>
      <c r="M17" s="3241"/>
      <c r="N17" s="3239" t="s">
        <v>1140</v>
      </c>
      <c r="O17" s="3240"/>
      <c r="P17" s="3241"/>
      <c r="R17" s="768" t="s">
        <v>1141</v>
      </c>
      <c r="S17" s="54"/>
    </row>
    <row r="18" spans="1:19" ht="15">
      <c r="A18" s="1527"/>
      <c r="B18" s="1524"/>
      <c r="C18" s="1540"/>
      <c r="D18" s="1541"/>
      <c r="E18" s="1542" t="s">
        <v>1142</v>
      </c>
      <c r="F18" s="1543" t="s">
        <v>1143</v>
      </c>
      <c r="G18" s="1544" t="s">
        <v>1144</v>
      </c>
      <c r="H18" s="979" t="s">
        <v>1145</v>
      </c>
      <c r="I18" s="1545" t="s">
        <v>1146</v>
      </c>
      <c r="J18" s="1070"/>
      <c r="K18" s="979" t="s">
        <v>1147</v>
      </c>
      <c r="L18" s="1546" t="s">
        <v>1148</v>
      </c>
      <c r="M18" s="801" t="s">
        <v>1149</v>
      </c>
      <c r="N18" s="979" t="s">
        <v>1147</v>
      </c>
      <c r="O18" s="1546" t="s">
        <v>1148</v>
      </c>
      <c r="P18" s="801" t="s">
        <v>1149</v>
      </c>
      <c r="R18" s="43" t="s">
        <v>1150</v>
      </c>
      <c r="S18" s="43" t="s">
        <v>1151</v>
      </c>
    </row>
    <row r="19" spans="1:19">
      <c r="A19" s="1547"/>
      <c r="B19" s="45" t="s">
        <v>1124</v>
      </c>
      <c r="C19" s="3114" t="s">
        <v>3583</v>
      </c>
      <c r="D19" s="43">
        <f>ROUND($D$3*E19/$E$3,2)</f>
        <v>662.46</v>
      </c>
      <c r="E19" s="51">
        <f t="shared" ref="E19:E26" si="1">SUM(F19:G19)</f>
        <v>108.47</v>
      </c>
      <c r="F19" s="2556">
        <f>'数据-基础表'!I13</f>
        <v>108.47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'数据-基础表'!B13</f>
        <v>13.52</v>
      </c>
      <c r="S19" s="51">
        <f t="shared" ref="R19:S26" si="5">E19+I19</f>
        <v>108.47</v>
      </c>
    </row>
    <row r="20" spans="1:19">
      <c r="A20" s="1547"/>
      <c r="B20" s="45" t="s">
        <v>1152</v>
      </c>
      <c r="C20" s="3114" t="s">
        <v>3584</v>
      </c>
      <c r="D20" s="43">
        <f t="shared" ref="D20:D26" si="6">ROUND($D$3*E20/$E$3,2)</f>
        <v>1727.44</v>
      </c>
      <c r="E20" s="51">
        <f t="shared" si="1"/>
        <v>282.85000000000002</v>
      </c>
      <c r="F20" s="2556">
        <f>'数据-基础表'!K14</f>
        <v>282.85000000000002</v>
      </c>
      <c r="G20" s="1242"/>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'数据-基础表'!B14</f>
        <v>35.270000000000003</v>
      </c>
      <c r="S20" s="51">
        <f t="shared" si="5"/>
        <v>282.85000000000002</v>
      </c>
    </row>
    <row r="21" spans="1:19">
      <c r="A21" s="1547"/>
      <c r="B21" s="45" t="s">
        <v>1152</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1152</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1152</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1152</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1152</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1152</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29.25" thickBot="1">
      <c r="A27" s="1547"/>
      <c r="B27" s="43"/>
      <c r="C27" s="1552" t="s">
        <v>1153</v>
      </c>
      <c r="D27" s="1071">
        <f>SUM(D19:D26)</f>
        <v>2389.9</v>
      </c>
      <c r="E27" s="1072">
        <f>IF(SUM(E19:E26)='数据-基础表'!BA5,SUM(E19:E26),IF(F27="地上面积有误","面积有误","地下面积有误"))</f>
        <v>391.32000000000005</v>
      </c>
      <c r="F27" s="1071">
        <f>IF(SUM(F19:F26)=E8,SUM(F19:F26),"地上面积有误")</f>
        <v>391.32000000000005</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t="str">
        <f>IF(SUM(R19:R26)=$D$3,SUM(R19:R26),SUM(R19:R26)&amp;"误差"&amp;ROUND(SUM(R19:R26)-$D$3,2))</f>
        <v>48.79误差-2341.11</v>
      </c>
      <c r="S27" s="43">
        <f>IF(SUM(S19:S26)=$E$3,SUM(S19:S26),SUM(S19:S26)&amp;"误差"&amp;ROUND(SUM(S19:S26)-E3,2))</f>
        <v>391.32000000000005</v>
      </c>
    </row>
    <row r="28" spans="1:19">
      <c r="A28" s="1547"/>
      <c r="B28" s="45" t="s">
        <v>1154</v>
      </c>
      <c r="C28" s="54" t="s">
        <v>1155</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1154</v>
      </c>
      <c r="C29" s="1553" t="s">
        <v>1156</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1153</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5"/>
      <c r="B31" s="96"/>
      <c r="C31" s="784" t="s">
        <v>1157</v>
      </c>
      <c r="D31" s="642">
        <f>D27+D30</f>
        <v>2389.9</v>
      </c>
      <c r="E31" s="642">
        <f>E27+E30</f>
        <v>391.32000000000005</v>
      </c>
      <c r="F31" s="643">
        <f>F27+F30</f>
        <v>391.32000000000005</v>
      </c>
      <c r="G31" s="644">
        <f>G27+G30</f>
        <v>0</v>
      </c>
      <c r="H31" s="2437"/>
      <c r="I31" s="2437"/>
      <c r="J31" s="2437"/>
      <c r="K31" s="2437"/>
      <c r="L31" s="2437"/>
      <c r="M31" s="2437"/>
      <c r="N31" s="2437"/>
      <c r="O31" s="2437"/>
      <c r="P31" s="2437"/>
    </row>
    <row r="32" spans="1:19">
      <c r="A32" s="1524"/>
      <c r="B32" s="1524" t="s">
        <v>1158</v>
      </c>
      <c r="C32" s="1524"/>
      <c r="D32" s="1524"/>
      <c r="E32" s="989">
        <f>SUMIF(C19:C26,"*住宅*",E19:E26)</f>
        <v>0</v>
      </c>
      <c r="F32" s="1524"/>
      <c r="G32" s="1524"/>
      <c r="H32" s="2437"/>
      <c r="I32" s="2437"/>
      <c r="J32" s="2437"/>
      <c r="K32" s="2437"/>
      <c r="L32" s="2437"/>
      <c r="M32" s="2437"/>
      <c r="N32" s="2437"/>
      <c r="O32" s="2437"/>
      <c r="P32" s="2437"/>
    </row>
    <row r="33" spans="4:4">
      <c r="D33" s="1556"/>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1159</v>
      </c>
      <c r="B1" s="645"/>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1160</v>
      </c>
      <c r="B2" s="983">
        <f>项目基本情况!D3</f>
        <v>45065</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6"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1167</v>
      </c>
      <c r="B5" s="1570" t="s">
        <v>1168</v>
      </c>
      <c r="C5" s="1571" t="s">
        <v>1169</v>
      </c>
      <c r="D5" s="1572" t="s">
        <v>1170</v>
      </c>
      <c r="E5" s="504" t="s">
        <v>1171</v>
      </c>
      <c r="F5" s="1573" t="s">
        <v>1172</v>
      </c>
      <c r="G5" s="504" t="s">
        <v>1173</v>
      </c>
      <c r="H5" s="504" t="s">
        <v>1174</v>
      </c>
      <c r="I5" s="504" t="s">
        <v>1175</v>
      </c>
      <c r="J5" s="1246" t="s">
        <v>1176</v>
      </c>
      <c r="K5" s="1574" t="s">
        <v>1177</v>
      </c>
      <c r="L5" s="1575" t="s">
        <v>1178</v>
      </c>
      <c r="M5" s="1576" t="s">
        <v>1179</v>
      </c>
      <c r="N5" s="1577" t="s">
        <v>3585</v>
      </c>
      <c r="O5" s="1575" t="s">
        <v>1180</v>
      </c>
      <c r="P5" s="1578" t="s">
        <v>1181</v>
      </c>
      <c r="Q5" s="58" t="s">
        <v>1182</v>
      </c>
      <c r="R5" s="1579" t="s">
        <v>1183</v>
      </c>
      <c r="S5" s="1580" t="s">
        <v>1184</v>
      </c>
      <c r="T5" s="1581"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2" t="s">
        <v>1199</v>
      </c>
      <c r="AO5" s="1452" t="s">
        <v>1200</v>
      </c>
      <c r="AP5" s="967" t="s">
        <v>1201</v>
      </c>
      <c r="AQ5" s="1583" t="s">
        <v>1202</v>
      </c>
      <c r="AR5" s="1583"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办公</v>
      </c>
      <c r="B6" s="1585" t="str">
        <f>IF(A6=0,"","经营性")</f>
        <v>经营性</v>
      </c>
      <c r="C6" s="1586" t="s">
        <v>21</v>
      </c>
      <c r="D6" s="804">
        <f>SUMIF(项目基本情况!C$12:I$12,C6,项目基本情况!C$14:I$14)</f>
        <v>50</v>
      </c>
      <c r="E6" s="803">
        <f>IF(B6="","",SUMIF(项目基本情况!C$12:I$12,C6,项目基本情况!C$13:I$13))</f>
        <v>56314</v>
      </c>
      <c r="F6" s="61">
        <f>SUMIF(项目基本情况!C$12:I$12,C6,项目基本情况!C$15:I$15)</f>
        <v>30.81</v>
      </c>
      <c r="G6" s="62">
        <f t="shared" ref="G6:G13" si="0">IF(ISERROR(ROUND(POWER(1+H6,D6-F6)*(POWER(1+H6,F6)-1)/(POWER(1+H6,D6)-1),3)),0,ROUND(POWER(1+H6,D6-F6)*(POWER(1+H6,F6)-1)/(POWER(1+H6,D6)-1),3))</f>
        <v>0.85199999999999998</v>
      </c>
      <c r="H6" s="690">
        <v>0.05</v>
      </c>
      <c r="I6" s="690">
        <v>5.5E-2</v>
      </c>
      <c r="J6" s="63">
        <v>7.4999999999999997E-2</v>
      </c>
      <c r="K6" s="969">
        <f>SUMIF('数据-汇总表'!C$19:C$33,A6,'数据-汇总表'!E$19:E$33)</f>
        <v>108.47</v>
      </c>
      <c r="L6" s="691">
        <v>3800</v>
      </c>
      <c r="M6" s="64">
        <f t="shared" ref="M6:M14" si="1">ROUND(K6*L6/10000,0)</f>
        <v>41</v>
      </c>
      <c r="N6" s="689">
        <f>N20</f>
        <v>0.82</v>
      </c>
      <c r="O6" s="64" t="str">
        <f>IF($N$5="成新度","——",ROUND(M6*N6,0))</f>
        <v>——</v>
      </c>
      <c r="P6" s="65" t="str">
        <f>IF($N$5="成新度","——",M6-O6)</f>
        <v>——</v>
      </c>
      <c r="Q6" s="692">
        <v>0.15</v>
      </c>
      <c r="R6" s="66">
        <f ca="1">SUMIF('数据-汇总表'!C$19:C$33,A6,'数据-汇总表'!R$19:R$27)</f>
        <v>13.52</v>
      </c>
      <c r="S6" s="49">
        <f>IF('数据-汇总表'!$I$17="按面积比例",SUMIF('数据-汇总表'!C$19:C$33,A6,'数据-汇总表'!K$19:K$33),SUMIF('数据-汇总表'!C$19:C$33,A6,'数据-汇总表'!N$19:N$33))</f>
        <v>0</v>
      </c>
      <c r="T6" s="1091">
        <f>ROUND($L$14*S6/10000,0)</f>
        <v>0</v>
      </c>
      <c r="U6" s="1548">
        <v>7</v>
      </c>
      <c r="V6" s="67">
        <v>0.03</v>
      </c>
      <c r="W6" s="67">
        <v>0.1</v>
      </c>
      <c r="X6" s="978"/>
      <c r="Y6" s="68">
        <f>N6</f>
        <v>0.82</v>
      </c>
      <c r="Z6" s="69"/>
      <c r="AA6" s="63"/>
      <c r="AB6" s="63"/>
      <c r="AC6" s="978"/>
      <c r="AD6" s="70"/>
      <c r="AE6" s="979">
        <f ca="1">IF(AN6="",0,SUMIF(INDIRECT("'"&amp;AN6&amp;"'"&amp;"!E:E"),$AE$5,INDIRECT("'"&amp;AN6&amp;"'"&amp;"!F:F")))</f>
        <v>30.81</v>
      </c>
      <c r="AF6" s="74"/>
      <c r="AG6" s="130">
        <f>IF(AF6="",0,AE6-AF6)</f>
        <v>0</v>
      </c>
      <c r="AH6" s="3125">
        <f>K6</f>
        <v>108.47</v>
      </c>
      <c r="AI6" s="73">
        <v>365</v>
      </c>
      <c r="AJ6" s="74"/>
      <c r="AK6" s="75">
        <v>1.4999999999999999E-2</v>
      </c>
      <c r="AL6" s="76">
        <v>1.5E-3</v>
      </c>
      <c r="AM6" s="77">
        <v>0.01</v>
      </c>
      <c r="AN6" s="1587" t="s">
        <v>3586</v>
      </c>
      <c r="AO6" s="50">
        <f ca="1">SUMIF(INDIRECT("'"&amp;AN6&amp;"'"&amp;"!A:A"),"总价",INDIRECT("'"&amp;AN6&amp;"'"&amp;"!B:B"))</f>
        <v>410.08359999999999</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商业</v>
      </c>
      <c r="B7" s="1585" t="str">
        <f t="shared" ref="B7:B13" si="2">IF(A7=0,"","经营性")</f>
        <v>经营性</v>
      </c>
      <c r="C7" s="1586" t="s">
        <v>673</v>
      </c>
      <c r="D7" s="804">
        <f>SUMIF(项目基本情况!C$12:I$12,C7,项目基本情况!C$14:I$14)</f>
        <v>40</v>
      </c>
      <c r="E7" s="803">
        <f>IF(B7="","",SUMIF(项目基本情况!C$12:I$12,C7,项目基本情况!C$13:I$13))</f>
        <v>52662</v>
      </c>
      <c r="F7" s="61">
        <f>SUMIF(项目基本情况!C$12:I$12,C7,项目基本情况!C$15:I$15)</f>
        <v>20.81</v>
      </c>
      <c r="G7" s="62">
        <f t="shared" si="0"/>
        <v>0.74299999999999999</v>
      </c>
      <c r="H7" s="690">
        <v>0.05</v>
      </c>
      <c r="I7" s="690">
        <v>0.06</v>
      </c>
      <c r="J7" s="63">
        <v>7.4999999999999997E-2</v>
      </c>
      <c r="K7" s="969">
        <f>SUMIF('数据-汇总表'!C$19:C$33,A7,'数据-汇总表'!E$19:E$33)</f>
        <v>282.85000000000002</v>
      </c>
      <c r="L7" s="691">
        <v>4800</v>
      </c>
      <c r="M7" s="64">
        <f t="shared" si="1"/>
        <v>136</v>
      </c>
      <c r="N7" s="689">
        <f>N6</f>
        <v>0.82</v>
      </c>
      <c r="O7" s="64" t="str">
        <f t="shared" ref="O7:O14" si="3">IF($N$5="成新度","——",ROUND(M7*N7,0))</f>
        <v>——</v>
      </c>
      <c r="P7" s="65" t="str">
        <f t="shared" ref="P7:P14" si="4">IF($N$5="成新度","——",M7-O7)</f>
        <v>——</v>
      </c>
      <c r="Q7" s="692">
        <v>0.2</v>
      </c>
      <c r="R7" s="66">
        <f ca="1">SUMIF('数据-汇总表'!C$19:C$33,A7,'数据-汇总表'!R$19:R$27)</f>
        <v>35.270000000000003</v>
      </c>
      <c r="S7" s="49">
        <f>IF('数据-汇总表'!$I$17="按面积比例",SUMIF('数据-汇总表'!C$19:C$33,A7,'数据-汇总表'!K$19:K$33),SUMIF('数据-汇总表'!C$19:C$33,A7,'数据-汇总表'!N$19:N$33))</f>
        <v>0</v>
      </c>
      <c r="T7" s="1091">
        <f t="shared" ref="T7:T13" si="5">ROUND($L$14*S7/10000,0)</f>
        <v>0</v>
      </c>
      <c r="U7" s="1548">
        <v>15</v>
      </c>
      <c r="V7" s="67">
        <v>0.03</v>
      </c>
      <c r="W7" s="67">
        <v>0.1</v>
      </c>
      <c r="X7" s="978"/>
      <c r="Y7" s="68">
        <f>Y6</f>
        <v>0.82</v>
      </c>
      <c r="Z7" s="69"/>
      <c r="AA7" s="63"/>
      <c r="AB7" s="63"/>
      <c r="AC7" s="978"/>
      <c r="AD7" s="70"/>
      <c r="AE7" s="979">
        <f t="shared" ref="AE7:AE13" ca="1" si="6">IF(AN7="",0,SUMIF(INDIRECT("'"&amp;AN7&amp;"'"&amp;"!E:E"),$AE$5,INDIRECT("'"&amp;AN7&amp;"'"&amp;"!F:F")))</f>
        <v>20.81</v>
      </c>
      <c r="AF7" s="74"/>
      <c r="AG7" s="130">
        <f t="shared" ref="AG7:AG13" si="7">IF(AF7="",0,AE7-AF7)</f>
        <v>0</v>
      </c>
      <c r="AH7" s="3125">
        <f>K7</f>
        <v>282.85000000000002</v>
      </c>
      <c r="AI7" s="73">
        <v>365</v>
      </c>
      <c r="AJ7" s="74"/>
      <c r="AK7" s="75">
        <f>AK6</f>
        <v>1.4999999999999999E-2</v>
      </c>
      <c r="AL7" s="76">
        <f>AL6</f>
        <v>1.5E-3</v>
      </c>
      <c r="AM7" s="77">
        <v>0.01</v>
      </c>
      <c r="AN7" s="1587" t="s">
        <v>3587</v>
      </c>
      <c r="AO7" s="50">
        <f t="shared" ref="AO7:AO13" ca="1" si="8">SUMIF(INDIRECT("'"&amp;AN7&amp;"'"&amp;"!A:A"),"总价",INDIRECT("'"&amp;AN7&amp;"'"&amp;"!B:B"))</f>
        <v>1688.8629000000001</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1204</v>
      </c>
      <c r="B14" s="1585" t="s">
        <v>1205</v>
      </c>
      <c r="C14" s="1590" t="s">
        <v>1204</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4"/>
      <c r="AJ14" s="50"/>
      <c r="AK14" s="980"/>
      <c r="AL14" s="981"/>
      <c r="AM14" s="982"/>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4"/>
      <c r="AJ15" s="50"/>
      <c r="AK15" s="980"/>
      <c r="AL15" s="981"/>
      <c r="AM15" s="982"/>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1208</v>
      </c>
      <c r="B16" s="82"/>
      <c r="C16" s="782"/>
      <c r="D16" s="1592"/>
      <c r="E16" s="82"/>
      <c r="F16" s="82"/>
      <c r="G16" s="83">
        <f>ROUND(SUMPRODUCT(G6:G13,K6:K13)/SUMPRODUCT((G6:G13&gt;0)*(K6:K13)),3)</f>
        <v>0.77300000000000002</v>
      </c>
      <c r="H16" s="84">
        <f>ROUND(SUMPRODUCT(H6:H13,K6:K13)/SUMPRODUCT((H6:H13&gt;0)*(K6:K13)),3)</f>
        <v>0.05</v>
      </c>
      <c r="I16" s="85"/>
      <c r="J16" s="85"/>
      <c r="K16" s="86">
        <f>SUM(K6:K15)</f>
        <v>391.32000000000005</v>
      </c>
      <c r="L16" s="87">
        <f>ROUND(M16*10000/SUM(K6:K14),0)</f>
        <v>4523</v>
      </c>
      <c r="M16" s="87">
        <f>SUM(M6:M14)</f>
        <v>177</v>
      </c>
      <c r="N16" s="88">
        <f>ROUND(SUMPRODUCT(M6:M14,N6:N14)/M16,3)</f>
        <v>0.82</v>
      </c>
      <c r="O16" s="87">
        <f>SUM(O6:O14)</f>
        <v>0</v>
      </c>
      <c r="P16" s="87">
        <f>SUM(P6:P14)</f>
        <v>0</v>
      </c>
      <c r="Q16" s="89">
        <f>ROUND(SUMPRODUCT(Q6:Q13,K6:K13)/SUMPRODUCT((Q6:Q13&gt;0)*(K6:K13)),2)</f>
        <v>0.19</v>
      </c>
      <c r="R16" s="973">
        <f ca="1">SUM(R6:R13)</f>
        <v>48.790000000000006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1209</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1210</v>
      </c>
      <c r="B19" s="97">
        <v>0</v>
      </c>
      <c r="C19" s="2559" t="s">
        <v>2296</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1211</v>
      </c>
      <c r="B20" s="98">
        <v>2.5</v>
      </c>
      <c r="C20" s="2560" t="s">
        <v>2294</v>
      </c>
      <c r="D20" s="2450"/>
      <c r="E20" s="2437"/>
      <c r="F20" s="2437"/>
      <c r="G20" s="2437"/>
      <c r="H20" s="2437"/>
      <c r="I20" s="2437"/>
      <c r="J20" s="2437"/>
      <c r="K20" s="2448"/>
      <c r="L20" s="2448"/>
      <c r="M20" s="2447"/>
      <c r="N20" s="689">
        <f>ROUND(1-(2023-2012)/60,2)</f>
        <v>0.82</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1212</v>
      </c>
      <c r="B21" s="98">
        <f>B20</f>
        <v>2.5</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1213</v>
      </c>
      <c r="B22" s="99">
        <f>B19+B20</f>
        <v>2.5</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1214</v>
      </c>
      <c r="B23" s="99">
        <f>B19+B21</f>
        <v>2.5</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1215</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1216</v>
      </c>
      <c r="B26" s="1598" t="s">
        <v>1217</v>
      </c>
      <c r="C26" s="2451" t="s">
        <v>1218</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1219</v>
      </c>
      <c r="B27" s="101"/>
      <c r="C27" s="2561" t="s">
        <v>2298</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1220</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1221</v>
      </c>
      <c r="B29" s="105"/>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1222</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1223</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1224</v>
      </c>
      <c r="B32" s="638">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1225</v>
      </c>
      <c r="B33" s="639">
        <v>0.05</v>
      </c>
      <c r="C33" s="2563" t="s">
        <v>2286</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1226</v>
      </c>
      <c r="B34" s="106">
        <v>0</v>
      </c>
      <c r="C34" s="2563" t="s">
        <v>2287</v>
      </c>
      <c r="D34" s="2458" t="s">
        <v>2295</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1227</v>
      </c>
      <c r="B35" s="103">
        <v>200</v>
      </c>
      <c r="C35" s="2563" t="s">
        <v>2288</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1228</v>
      </c>
      <c r="B36" s="107">
        <v>1.4999999999999999E-2</v>
      </c>
      <c r="C36" s="2563" t="s">
        <v>2289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1229</v>
      </c>
      <c r="B37" s="108">
        <v>0.02</v>
      </c>
      <c r="C37" s="2563" t="s">
        <v>2290</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1230</v>
      </c>
      <c r="B38" s="108">
        <f>B37</f>
        <v>0.02</v>
      </c>
      <c r="C38" s="2563" t="s">
        <v>2290</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1231</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3634</v>
      </c>
      <c r="B40" s="1014">
        <f ca="1">IF(A40="利息：取LPR",存贷款利率!G1,存贷款利率!G1+C40)</f>
        <v>4.1499999999999995E-2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1232</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1233</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1234</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1235</v>
      </c>
      <c r="B44" s="112">
        <v>7.0000000000000007E-2</v>
      </c>
      <c r="C44" s="2563" t="s">
        <v>2299</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1236</v>
      </c>
      <c r="B45" s="110">
        <v>0.03</v>
      </c>
      <c r="C45" s="2562" t="s">
        <v>2291</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1237</v>
      </c>
      <c r="B46" s="110">
        <v>0.02</v>
      </c>
      <c r="C46" s="2562" t="s">
        <v>2292</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1238</v>
      </c>
      <c r="B47" s="113">
        <v>0</v>
      </c>
      <c r="C47" s="2565" t="s">
        <v>2300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1239</v>
      </c>
      <c r="B48" s="114">
        <v>0.03</v>
      </c>
      <c r="C48" s="2562" t="s">
        <v>2291</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1240</v>
      </c>
      <c r="B49" s="110">
        <v>5.0000000000000001E-4</v>
      </c>
      <c r="C49" s="2562" t="s">
        <v>2293</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1241</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1242</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1243</v>
      </c>
      <c r="B52" s="117">
        <f>SUMIF(A54:A63,B53,B54:B63)</f>
        <v>24</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1244</v>
      </c>
      <c r="B53" s="1609" t="s">
        <v>184</v>
      </c>
      <c r="C53" s="2438" t="s">
        <v>1245</v>
      </c>
      <c r="D53" s="2564" t="s">
        <v>2297</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1246</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1247</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1248</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1249</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1250</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1251</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1252</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1253</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1254</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1255</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254" t="s">
        <v>2277</v>
      </c>
      <c r="B1" s="3255"/>
      <c r="C1" s="3255"/>
      <c r="D1" s="3255"/>
      <c r="E1" s="3255"/>
      <c r="F1" s="3255"/>
      <c r="G1" s="325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2273</v>
      </c>
      <c r="D2" s="1593"/>
      <c r="E2" s="2258"/>
      <c r="F2" s="2261"/>
      <c r="G2" s="2260" t="s">
        <v>2274</v>
      </c>
      <c r="H2" s="750"/>
      <c r="I2" s="750"/>
      <c r="J2" s="750"/>
      <c r="K2" s="750"/>
      <c r="L2" s="750"/>
      <c r="M2" s="750"/>
      <c r="N2" s="750"/>
      <c r="O2" s="750"/>
      <c r="P2" s="750"/>
      <c r="Q2" s="750"/>
    </row>
    <row r="3" spans="1:29" ht="25.5">
      <c r="A3" s="2245" t="s">
        <v>2275</v>
      </c>
      <c r="B3" s="2262" t="s">
        <v>2247</v>
      </c>
      <c r="C3" s="2263"/>
      <c r="D3" s="2264"/>
      <c r="E3" s="2246" t="s">
        <v>2275</v>
      </c>
      <c r="F3" s="2265" t="s">
        <v>2248</v>
      </c>
      <c r="G3" s="2266" t="s">
        <v>2276</v>
      </c>
      <c r="H3" s="750"/>
      <c r="I3" s="750"/>
      <c r="J3" s="750"/>
      <c r="K3" s="750"/>
      <c r="L3" s="750"/>
      <c r="M3" s="750"/>
      <c r="N3" s="750"/>
      <c r="O3" s="750"/>
      <c r="P3" s="750"/>
      <c r="Q3" s="750"/>
    </row>
    <row r="4" spans="1:29" ht="51">
      <c r="A4" s="2246"/>
      <c r="B4" s="315" t="s">
        <v>2249</v>
      </c>
      <c r="C4" s="2267" t="s">
        <v>3506</v>
      </c>
      <c r="D4" s="2264"/>
      <c r="E4" s="2268"/>
      <c r="F4" s="1279" t="s">
        <v>2250</v>
      </c>
      <c r="G4" s="2269" t="s">
        <v>2251</v>
      </c>
      <c r="H4" s="750"/>
      <c r="I4" s="750"/>
      <c r="J4" s="750"/>
      <c r="K4" s="750"/>
      <c r="L4" s="750"/>
      <c r="M4" s="750"/>
      <c r="N4" s="750"/>
      <c r="O4" s="750"/>
      <c r="P4" s="750"/>
      <c r="Q4" s="750"/>
    </row>
    <row r="5" spans="1:29" ht="51">
      <c r="A5" s="2246"/>
      <c r="B5" s="315" t="s">
        <v>2252</v>
      </c>
      <c r="C5" s="2267" t="s">
        <v>3507</v>
      </c>
      <c r="D5" s="2264"/>
      <c r="E5" s="2268"/>
      <c r="F5" s="315" t="s">
        <v>2253</v>
      </c>
      <c r="G5" s="2269" t="s">
        <v>2254</v>
      </c>
      <c r="H5" s="750"/>
      <c r="I5" s="750"/>
      <c r="J5" s="750"/>
      <c r="K5" s="750"/>
      <c r="L5" s="750"/>
      <c r="M5" s="750"/>
      <c r="N5" s="750"/>
      <c r="O5" s="750"/>
      <c r="P5" s="750"/>
      <c r="Q5" s="750"/>
    </row>
    <row r="6" spans="1:29" ht="63.75">
      <c r="A6" s="2246"/>
      <c r="B6" s="315" t="s">
        <v>2255</v>
      </c>
      <c r="C6" s="2269" t="s">
        <v>3508</v>
      </c>
      <c r="D6" s="2264"/>
      <c r="E6" s="2268"/>
      <c r="F6" s="315" t="s">
        <v>2256</v>
      </c>
      <c r="G6" s="2269" t="s">
        <v>2257</v>
      </c>
      <c r="H6" s="750"/>
      <c r="I6" s="750"/>
      <c r="J6" s="750"/>
      <c r="K6" s="750"/>
      <c r="L6" s="750"/>
      <c r="M6" s="750"/>
      <c r="N6" s="750"/>
      <c r="O6" s="750"/>
      <c r="P6" s="750"/>
      <c r="Q6" s="750"/>
    </row>
    <row r="7" spans="1:29" ht="26.25" thickBot="1">
      <c r="A7" s="2246"/>
      <c r="B7" s="315" t="s">
        <v>2253</v>
      </c>
      <c r="C7" s="2269" t="s">
        <v>3509</v>
      </c>
      <c r="D7" s="2243"/>
      <c r="E7" s="2270"/>
      <c r="F7" s="2271" t="s">
        <v>2258</v>
      </c>
      <c r="G7" s="2272" t="s">
        <v>2259</v>
      </c>
      <c r="H7" s="750"/>
      <c r="I7" s="750"/>
      <c r="J7" s="750"/>
      <c r="K7" s="750"/>
      <c r="L7" s="750"/>
      <c r="M7" s="750"/>
      <c r="N7" s="750"/>
      <c r="O7" s="750"/>
      <c r="P7" s="750"/>
      <c r="Q7" s="750"/>
    </row>
    <row r="8" spans="1:29" ht="25.5">
      <c r="A8" s="2246"/>
      <c r="B8" s="315" t="s">
        <v>2256</v>
      </c>
      <c r="C8" s="2269" t="s">
        <v>3510</v>
      </c>
      <c r="D8" s="2243"/>
      <c r="E8" s="2243"/>
      <c r="F8" s="121"/>
      <c r="G8" s="121"/>
      <c r="H8" s="750"/>
      <c r="I8" s="750"/>
      <c r="J8" s="750"/>
      <c r="K8" s="750"/>
      <c r="L8" s="750"/>
      <c r="M8" s="750"/>
      <c r="N8" s="750"/>
      <c r="O8" s="750"/>
      <c r="P8" s="750"/>
      <c r="Q8" s="750"/>
    </row>
    <row r="9" spans="1:29" ht="51">
      <c r="A9" s="2246"/>
      <c r="B9" s="315" t="s">
        <v>2260</v>
      </c>
      <c r="C9" s="2267" t="s">
        <v>3511</v>
      </c>
      <c r="D9" s="2264"/>
      <c r="E9" s="2243"/>
      <c r="F9" s="121"/>
      <c r="G9" s="121"/>
      <c r="H9" s="750"/>
      <c r="I9" s="750"/>
      <c r="J9" s="750"/>
      <c r="K9" s="750"/>
      <c r="L9" s="750"/>
      <c r="M9" s="750"/>
      <c r="N9" s="750"/>
      <c r="O9" s="750"/>
      <c r="P9" s="750"/>
      <c r="Q9" s="750"/>
    </row>
    <row r="10" spans="1:29" ht="15" thickBot="1">
      <c r="A10" s="2247"/>
      <c r="B10" s="2273" t="s">
        <v>2261</v>
      </c>
      <c r="C10" s="2274" t="s">
        <v>3512</v>
      </c>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2262</v>
      </c>
      <c r="D14" s="2264"/>
      <c r="E14" s="2285"/>
      <c r="F14" s="2285"/>
      <c r="G14" s="2260" t="s">
        <v>2263</v>
      </c>
    </row>
    <row r="15" spans="1:29" ht="25.5">
      <c r="A15" s="2248" t="s">
        <v>2264</v>
      </c>
      <c r="B15" s="2286" t="s">
        <v>2247</v>
      </c>
      <c r="C15" s="2287">
        <f>C3</f>
        <v>0</v>
      </c>
      <c r="D15" s="2264"/>
      <c r="E15" s="2249" t="s">
        <v>2265</v>
      </c>
      <c r="F15" s="2286" t="s">
        <v>2266</v>
      </c>
      <c r="G15" s="2288" t="str">
        <f>G3</f>
        <v>估价对象位于XX开发区，园区建设成熟度XX，产业集聚程度XX</v>
      </c>
    </row>
    <row r="16" spans="1:29" ht="51">
      <c r="A16" s="2250"/>
      <c r="B16" s="2289" t="s">
        <v>2249</v>
      </c>
      <c r="C16" s="2290" t="str">
        <f>C4</f>
        <v>估价对象位于西直门商圈，周边商业氛围成熟，有凯德MALL、华联购物中心等，人流量较大，商业繁华度较好</v>
      </c>
      <c r="D16" s="2264"/>
      <c r="E16" s="2251"/>
      <c r="F16" s="2291" t="s">
        <v>2250</v>
      </c>
      <c r="G16" s="2292" t="str">
        <f>G4</f>
        <v>估价对象周边道路状况、公共交通通达情况、停车便捷程度，综合评价交通便捷度较好</v>
      </c>
    </row>
    <row r="17" spans="1:17" ht="51">
      <c r="A17" s="2250"/>
      <c r="B17" s="2289" t="s">
        <v>2252</v>
      </c>
      <c r="C17" s="2290" t="str">
        <f>C5</f>
        <v>估价对象周边办公楼项目较多，有金泰鑫侨大厦、阳光大厦、德宝大厦，入驻率较高，办公集聚程度较好</v>
      </c>
      <c r="D17" s="2243"/>
      <c r="E17" s="2251"/>
      <c r="F17" s="2291" t="s">
        <v>2267</v>
      </c>
      <c r="G17" s="2293"/>
    </row>
    <row r="18" spans="1:17" ht="63.75">
      <c r="A18" s="2250"/>
      <c r="B18" s="2291" t="s">
        <v>2255</v>
      </c>
      <c r="C18" s="2292" t="str">
        <f>C6</f>
        <v>估价对象周边道路状况较好、有7、16、105等公交线路及地铁2、4号线经过，公共交通通达情况较好、停车便捷程度一般，综合评价交通便捷度较好</v>
      </c>
      <c r="D18" s="2243"/>
      <c r="E18" s="2251"/>
      <c r="F18" s="2291" t="s">
        <v>2258</v>
      </c>
      <c r="G18" s="2292" t="str">
        <f>G7</f>
        <v>该园区内是否有污染型企业，绿化情况，卫生条件，整体环境状况判断</v>
      </c>
    </row>
    <row r="19" spans="1:17" ht="25.5">
      <c r="A19" s="2250"/>
      <c r="B19" s="2291" t="s">
        <v>2268</v>
      </c>
      <c r="C19" s="2293"/>
      <c r="D19" s="2264"/>
      <c r="E19" s="2251"/>
      <c r="F19" s="315" t="s">
        <v>2253</v>
      </c>
      <c r="G19" s="2292" t="str">
        <f>G5</f>
        <v>估价对象所在区域公共配套设施齐备情况</v>
      </c>
    </row>
    <row r="20" spans="1:17" ht="51">
      <c r="A20" s="2250"/>
      <c r="B20" s="2291" t="s">
        <v>2269</v>
      </c>
      <c r="C20" s="2290" t="str">
        <f>C9</f>
        <v>区域自然环境：北京动物园、官园公园；人文环境：北京天文馆、北京建筑大学；综合评价环境状况较好</v>
      </c>
      <c r="D20" s="2243"/>
      <c r="E20" s="2251"/>
      <c r="F20" s="315" t="s">
        <v>2256</v>
      </c>
      <c r="G20" s="2292" t="str">
        <f>G6</f>
        <v>估价对象所在区域基础设施水平</v>
      </c>
    </row>
    <row r="21" spans="1:17" ht="25.5">
      <c r="A21" s="2250"/>
      <c r="B21" s="315" t="s">
        <v>2253</v>
      </c>
      <c r="C21" s="2292" t="str">
        <f>C7</f>
        <v>估价对象所在区域公共配套设施齐备情况较好</v>
      </c>
      <c r="D21" s="2264"/>
      <c r="E21" s="2251"/>
      <c r="F21" s="2291" t="s">
        <v>2270</v>
      </c>
      <c r="G21" s="2294"/>
    </row>
    <row r="22" spans="1:17" ht="13.5" customHeight="1">
      <c r="A22" s="2250"/>
      <c r="B22" s="315" t="s">
        <v>2256</v>
      </c>
      <c r="C22" s="2292" t="str">
        <f>C8</f>
        <v>估价对象所在区域基础设施水平七通</v>
      </c>
      <c r="D22" s="2264"/>
      <c r="E22" s="2251"/>
      <c r="F22" s="2291" t="s">
        <v>2261</v>
      </c>
      <c r="G22" s="2293"/>
    </row>
    <row r="23" spans="1:17" s="750" customFormat="1" ht="15" thickBot="1">
      <c r="A23" s="2250"/>
      <c r="B23" s="2291" t="s">
        <v>2270</v>
      </c>
      <c r="C23" s="2294"/>
      <c r="D23" s="1612"/>
      <c r="E23" s="2252"/>
      <c r="F23" s="2295" t="s">
        <v>2271</v>
      </c>
      <c r="G23" s="2296"/>
      <c r="H23" s="2275"/>
      <c r="I23" s="2275"/>
      <c r="J23" s="2275"/>
      <c r="K23" s="2275"/>
      <c r="L23" s="2275"/>
      <c r="M23" s="2275"/>
      <c r="N23" s="2275"/>
      <c r="O23" s="2275"/>
      <c r="P23" s="2275"/>
      <c r="Q23" s="2275"/>
    </row>
    <row r="24" spans="1:17" s="750" customFormat="1" ht="15" thickBot="1">
      <c r="A24" s="2253"/>
      <c r="B24" s="2295" t="s">
        <v>2272</v>
      </c>
      <c r="C24" s="2297" t="str">
        <f>C10</f>
        <v>主干道-西直门外大街</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D14" sqref="D14"/>
    </sheetView>
  </sheetViews>
  <sheetFormatPr defaultColWidth="9" defaultRowHeight="13.5"/>
  <cols>
    <col min="1" max="1" width="25" style="2299" customWidth="1"/>
    <col min="2" max="9" width="15.75" style="2299" customWidth="1"/>
    <col min="10" max="10" width="9" style="2299"/>
    <col min="11" max="11" width="9.625" style="2299" customWidth="1"/>
    <col min="12" max="16384" width="9" style="2299"/>
  </cols>
  <sheetData>
    <row r="1" spans="1:12" ht="16.5">
      <c r="A1" s="2298" t="s">
        <v>665</v>
      </c>
      <c r="B1" s="2298">
        <f>SUM(B14:B23)</f>
        <v>19168.360000000004</v>
      </c>
      <c r="C1" s="2460"/>
      <c r="D1" s="2460"/>
      <c r="E1" s="2460"/>
      <c r="F1" s="2460"/>
      <c r="G1" s="2461"/>
      <c r="H1" s="2461"/>
      <c r="I1" s="2461"/>
      <c r="J1" s="2461"/>
      <c r="K1" s="2461"/>
    </row>
    <row r="2" spans="1:12" ht="16.5">
      <c r="A2" s="2298" t="s">
        <v>653</v>
      </c>
      <c r="B2" s="2298">
        <f>SUM(C14:C23)</f>
        <v>0</v>
      </c>
      <c r="C2" s="2460"/>
      <c r="D2" s="2460"/>
      <c r="E2" s="2460"/>
      <c r="F2" s="2460"/>
      <c r="G2" s="2461"/>
      <c r="H2" s="2461"/>
      <c r="I2" s="2461"/>
      <c r="J2" s="2461"/>
      <c r="K2" s="2461"/>
    </row>
    <row r="3" spans="1:12" ht="16.5">
      <c r="A3" s="2298" t="s">
        <v>662</v>
      </c>
      <c r="B3" s="2300">
        <f>项目基本情况!D3</f>
        <v>45065</v>
      </c>
      <c r="C3" s="2460"/>
      <c r="D3" s="2460"/>
      <c r="E3" s="2460"/>
      <c r="F3" s="2460"/>
      <c r="G3" s="2461"/>
      <c r="H3" s="2461"/>
      <c r="I3" s="2461"/>
      <c r="J3" s="2461"/>
      <c r="K3" s="2461"/>
    </row>
    <row r="4" spans="1:12" ht="33">
      <c r="A4" s="2298" t="s">
        <v>661</v>
      </c>
      <c r="B4" s="2298" t="s">
        <v>660</v>
      </c>
      <c r="C4" s="2298" t="s">
        <v>659</v>
      </c>
      <c r="D4" s="2298" t="s">
        <v>658</v>
      </c>
      <c r="E4" s="2460"/>
      <c r="F4" s="2461"/>
      <c r="G4" s="2461"/>
      <c r="H4" s="2461"/>
      <c r="I4" s="2461"/>
      <c r="J4" s="2461"/>
      <c r="K4" s="2461">
        <v>103175</v>
      </c>
      <c r="L4" s="2299">
        <f ca="1">K4-B5</f>
        <v>-1873</v>
      </c>
    </row>
    <row r="5" spans="1:12" ht="16.5">
      <c r="A5" s="2298" t="s">
        <v>657</v>
      </c>
      <c r="B5" s="2298">
        <f ca="1">SUM(D14:D23)</f>
        <v>105048</v>
      </c>
      <c r="C5" s="2298">
        <f ca="1">IF(B5=D14,结果表!H102,ROUND(B5*10000/$B$1,0))</f>
        <v>54803</v>
      </c>
      <c r="D5" s="2298" t="e">
        <f ca="1">ROUND(B5*10000/$B$2,0)</f>
        <v>#DIV/0!</v>
      </c>
      <c r="E5" s="2460"/>
      <c r="F5" s="2461"/>
      <c r="G5" s="2461"/>
      <c r="H5" s="2461"/>
      <c r="I5" s="2461"/>
      <c r="J5" s="2461"/>
      <c r="K5" s="2461"/>
    </row>
    <row r="6" spans="1:12" ht="16.5">
      <c r="A6" s="2298" t="s">
        <v>656</v>
      </c>
      <c r="B6" s="2298">
        <f ca="1">SUM(G14:G23)</f>
        <v>105048</v>
      </c>
      <c r="C6" s="2298">
        <f ca="1">IF(B6=G14,结果表!H108,ROUND(B6*10000/$B$1,0))</f>
        <v>54803</v>
      </c>
      <c r="D6" s="2298" t="e">
        <f ca="1">ROUND(B6*10000/$B$2,0)</f>
        <v>#DIV/0!</v>
      </c>
      <c r="E6" s="2460"/>
      <c r="F6" s="2461"/>
      <c r="G6" s="2461"/>
      <c r="H6" s="2461"/>
      <c r="I6" s="2461"/>
      <c r="J6" s="2461"/>
      <c r="K6" s="2461">
        <v>105000</v>
      </c>
      <c r="L6" s="2299">
        <f>K6/B1*10000</f>
        <v>54777.769198825554</v>
      </c>
    </row>
    <row r="7" spans="1:12" ht="16.5">
      <c r="A7" s="2298" t="s">
        <v>664</v>
      </c>
      <c r="B7" s="2298">
        <f>SUM(H14:H23)</f>
        <v>0</v>
      </c>
      <c r="C7" s="2298" t="str">
        <f>IF(B7=H14,结果表!H110,ROUND(B7*10000/$B$1,0))</f>
        <v>——</v>
      </c>
      <c r="D7" s="2298" t="e">
        <f>ROUND(B7*10000/$B$2,0)</f>
        <v>#DIV/0!</v>
      </c>
      <c r="E7" s="2460"/>
      <c r="F7" s="2461"/>
      <c r="G7" s="2461"/>
      <c r="H7" s="2461"/>
      <c r="I7" s="2461"/>
      <c r="J7" s="2461"/>
      <c r="K7" s="2461"/>
      <c r="L7" s="2299">
        <f ca="1">L6-C5</f>
        <v>-25.230801174446242</v>
      </c>
    </row>
    <row r="8" spans="1:12" ht="16.5">
      <c r="A8" s="2298" t="s">
        <v>587</v>
      </c>
      <c r="B8" s="2298">
        <f>SUM(I14:I23)</f>
        <v>0</v>
      </c>
      <c r="C8" s="2298" t="str">
        <f>IF(B8=I14,结果表!H112,ROUND(B8*10000/$B$1,0))</f>
        <v>——</v>
      </c>
      <c r="D8" s="2298" t="e">
        <f>ROUND(B8*10000/$B$2,0)</f>
        <v>#DIV/0!</v>
      </c>
      <c r="E8" s="2460"/>
      <c r="F8" s="2461"/>
      <c r="G8" s="2461"/>
      <c r="H8" s="2461"/>
      <c r="I8" s="2461"/>
      <c r="J8" s="2461"/>
      <c r="K8" s="2461"/>
    </row>
    <row r="9" spans="1:12" ht="16.5">
      <c r="A9" s="2298" t="s">
        <v>655</v>
      </c>
      <c r="B9" s="1243"/>
      <c r="C9" s="2460"/>
      <c r="D9" s="2460"/>
      <c r="E9" s="2460"/>
      <c r="F9" s="2461"/>
      <c r="G9" s="2461"/>
      <c r="H9" s="2461"/>
      <c r="I9" s="2461"/>
      <c r="J9" s="2461"/>
      <c r="K9" s="2461"/>
    </row>
    <row r="10" spans="1:12" ht="16.5">
      <c r="A10" s="2298" t="s">
        <v>654</v>
      </c>
      <c r="B10" s="2298">
        <f>IF(E10="",0,ROUND(B1*(E10*365/G10)/10000,0))</f>
        <v>0</v>
      </c>
      <c r="C10" s="2298" t="s">
        <v>3352</v>
      </c>
      <c r="D10" s="2298" t="s">
        <v>3353</v>
      </c>
      <c r="E10" s="3135"/>
      <c r="F10" s="3139" t="s">
        <v>3354</v>
      </c>
      <c r="G10" s="3136"/>
      <c r="H10" s="2461"/>
      <c r="I10" s="2461"/>
      <c r="J10" s="2461"/>
      <c r="K10" s="2461"/>
    </row>
    <row r="11" spans="1:12" ht="16.5">
      <c r="A11" s="2298" t="s">
        <v>670</v>
      </c>
      <c r="B11" s="1243"/>
      <c r="C11" s="2460"/>
      <c r="D11" s="2460"/>
      <c r="E11" s="2460"/>
      <c r="F11" s="2461"/>
      <c r="G11" s="2461"/>
      <c r="H11" s="2461"/>
      <c r="I11" s="2461"/>
      <c r="J11" s="2461"/>
      <c r="K11" s="2461"/>
    </row>
    <row r="12" spans="1:12" ht="16.5">
      <c r="A12" s="2460"/>
      <c r="B12" s="2460"/>
      <c r="C12" s="2460"/>
      <c r="D12" s="2460"/>
      <c r="E12" s="2460"/>
      <c r="F12" s="2461"/>
      <c r="G12" s="2461"/>
      <c r="H12" s="2461"/>
      <c r="I12" s="2461"/>
      <c r="J12" s="2461"/>
      <c r="K12" s="2461"/>
    </row>
    <row r="13" spans="1:12" ht="33">
      <c r="A13" s="2301" t="s">
        <v>669</v>
      </c>
      <c r="B13" s="2302" t="s">
        <v>666</v>
      </c>
      <c r="C13" s="2302" t="s">
        <v>668</v>
      </c>
      <c r="D13" s="2302" t="s">
        <v>667</v>
      </c>
      <c r="E13" s="2298" t="s">
        <v>659</v>
      </c>
      <c r="F13" s="2298" t="s">
        <v>658</v>
      </c>
      <c r="G13" s="2302" t="s">
        <v>652</v>
      </c>
      <c r="H13" s="2302" t="s">
        <v>663</v>
      </c>
      <c r="I13" s="2302" t="s">
        <v>651</v>
      </c>
      <c r="J13" s="2461"/>
      <c r="K13" s="2461"/>
    </row>
    <row r="14" spans="1:12" ht="16.5">
      <c r="A14" s="2303" t="s">
        <v>650</v>
      </c>
      <c r="B14" s="2304">
        <f>典型户型修正!B22</f>
        <v>16024.920000000006</v>
      </c>
      <c r="C14" s="2304"/>
      <c r="D14" s="2304">
        <f ca="1">典型户型修正!B20</f>
        <v>81811</v>
      </c>
      <c r="E14" s="2304">
        <f ca="1">ROUND(D14*10000/B14,0)</f>
        <v>51052</v>
      </c>
      <c r="F14" s="2304" t="e">
        <f ca="1">ROUND(D14*10000/C14,0)</f>
        <v>#DIV/0!</v>
      </c>
      <c r="G14" s="2304">
        <f ca="1">D14</f>
        <v>81811</v>
      </c>
      <c r="H14" s="2304"/>
      <c r="I14" s="2304"/>
      <c r="J14" s="2461"/>
      <c r="K14" s="2461"/>
    </row>
    <row r="15" spans="1:12" ht="16.5">
      <c r="A15" s="2303" t="s">
        <v>649</v>
      </c>
      <c r="B15" s="2304">
        <f>'典型户型修正 (2)'!B22</f>
        <v>3143.44</v>
      </c>
      <c r="C15" s="2304"/>
      <c r="D15" s="2304">
        <f ca="1">'典型户型修正 (2)'!S22</f>
        <v>23237</v>
      </c>
      <c r="E15" s="2304">
        <f t="shared" ref="E15:E23" ca="1" si="0">ROUND(D15*10000/B15,0)</f>
        <v>73922</v>
      </c>
      <c r="F15" s="2304" t="e">
        <f t="shared" ref="F15:F23" ca="1" si="1">ROUND(D15*10000/C15,0)</f>
        <v>#DIV/0!</v>
      </c>
      <c r="G15" s="1243">
        <f ca="1">D15</f>
        <v>23237</v>
      </c>
      <c r="H15" s="1243"/>
      <c r="I15" s="2305"/>
      <c r="J15" s="2461"/>
      <c r="K15" s="2461"/>
    </row>
    <row r="16" spans="1:12"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5" t="str">
        <f>项目基本情况!B1</f>
        <v>北京市房地产抵押价值预评估</v>
      </c>
      <c r="C37" s="3165"/>
      <c r="D37" s="3165"/>
      <c r="E37" s="3165"/>
      <c r="F37" s="3165"/>
      <c r="G37" s="3165"/>
      <c r="H37" s="3165"/>
      <c r="I37" s="3165"/>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 ca="1">项目基本情况!K4</f>
        <v>崔锴（注册号：1120100036)、郑燚（注册号：1120070131)</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G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1261</v>
      </c>
      <c r="B1" s="645"/>
      <c r="C1" s="1618" t="s">
        <v>21</v>
      </c>
      <c r="D1" s="645"/>
      <c r="E1" s="645"/>
      <c r="F1" s="1619" t="s">
        <v>1262</v>
      </c>
      <c r="G1" s="1451" t="s">
        <v>3592</v>
      </c>
      <c r="H1" s="1619" t="str">
        <f>IF(G1="现房","——","估价对象范围")</f>
        <v>——</v>
      </c>
      <c r="I1" s="1620" t="s">
        <v>3593</v>
      </c>
    </row>
    <row r="2" spans="1:12" ht="21.75" customHeight="1" thickBot="1">
      <c r="A2" s="3290" t="str">
        <f>项目基本情况!S2</f>
        <v>北京市房地产</v>
      </c>
      <c r="B2" s="3291"/>
      <c r="C2" s="3291"/>
      <c r="D2" s="3291"/>
      <c r="E2" s="3291"/>
      <c r="F2" s="3291"/>
      <c r="G2" s="3291"/>
      <c r="H2" s="3291"/>
      <c r="I2" s="3292"/>
    </row>
    <row r="3" spans="1:12" ht="12.75">
      <c r="A3" s="3294" t="s">
        <v>1263</v>
      </c>
      <c r="B3" s="3295"/>
      <c r="C3" s="3295"/>
      <c r="D3" s="3295"/>
      <c r="E3" s="3295"/>
      <c r="F3" s="3295"/>
      <c r="G3" s="3295"/>
      <c r="H3" s="3295"/>
      <c r="I3" s="3295"/>
    </row>
    <row r="4" spans="1:12" ht="14.25">
      <c r="A4" s="1622" t="s">
        <v>1264</v>
      </c>
      <c r="B4" s="1623" t="s">
        <v>1265</v>
      </c>
      <c r="C4" s="1624" t="s">
        <v>3594</v>
      </c>
      <c r="D4" s="1624" t="s">
        <v>3586</v>
      </c>
      <c r="E4" s="3296" t="s">
        <v>1266</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0" t="s">
        <v>1267</v>
      </c>
      <c r="B5" s="3257">
        <v>25</v>
      </c>
      <c r="C5" s="3273"/>
      <c r="D5" s="3293"/>
      <c r="E5" s="123" t="s">
        <v>1268</v>
      </c>
      <c r="F5" s="1625"/>
      <c r="G5" s="1625"/>
      <c r="H5" s="1625"/>
      <c r="I5" s="1279"/>
    </row>
    <row r="6" spans="1:12" ht="12.75">
      <c r="A6" s="3270"/>
      <c r="B6" s="3257"/>
      <c r="C6" s="3274"/>
      <c r="D6" s="3293"/>
      <c r="E6" s="123" t="s">
        <v>1269</v>
      </c>
      <c r="F6" s="1625"/>
      <c r="G6" s="1625"/>
      <c r="H6" s="1625"/>
      <c r="I6" s="1279"/>
    </row>
    <row r="7" spans="1:12" ht="12.75">
      <c r="A7" s="3270"/>
      <c r="B7" s="3257"/>
      <c r="C7" s="3275"/>
      <c r="D7" s="3293"/>
      <c r="E7" s="123" t="s">
        <v>1270</v>
      </c>
      <c r="F7" s="1625"/>
      <c r="G7" s="1625"/>
      <c r="H7" s="1625"/>
      <c r="I7" s="1279"/>
    </row>
    <row r="8" spans="1:12" ht="12.75">
      <c r="A8" s="3270" t="s">
        <v>1271</v>
      </c>
      <c r="B8" s="3257">
        <v>15</v>
      </c>
      <c r="C8" s="3273"/>
      <c r="D8" s="3293"/>
      <c r="E8" s="123" t="s">
        <v>1272</v>
      </c>
      <c r="F8" s="1625"/>
      <c r="G8" s="1625"/>
      <c r="H8" s="1625"/>
      <c r="I8" s="1279"/>
    </row>
    <row r="9" spans="1:12" ht="12.75">
      <c r="A9" s="3270"/>
      <c r="B9" s="3257"/>
      <c r="C9" s="3275"/>
      <c r="D9" s="3293"/>
      <c r="E9" s="123" t="s">
        <v>1273</v>
      </c>
      <c r="F9" s="1625"/>
      <c r="G9" s="1625"/>
      <c r="H9" s="1625"/>
      <c r="I9" s="1279"/>
    </row>
    <row r="10" spans="1:12" ht="12.75">
      <c r="A10" s="3270" t="s">
        <v>1274</v>
      </c>
      <c r="B10" s="3257">
        <v>15</v>
      </c>
      <c r="C10" s="3273"/>
      <c r="D10" s="3293"/>
      <c r="E10" s="123" t="s">
        <v>1275</v>
      </c>
      <c r="F10" s="1625"/>
      <c r="G10" s="1625"/>
      <c r="H10" s="1625"/>
      <c r="I10" s="1279"/>
    </row>
    <row r="11" spans="1:12" ht="12.75">
      <c r="A11" s="3270"/>
      <c r="B11" s="3257"/>
      <c r="C11" s="3275"/>
      <c r="D11" s="3293"/>
      <c r="E11" s="123" t="s">
        <v>1276</v>
      </c>
      <c r="F11" s="1625"/>
      <c r="G11" s="1625"/>
      <c r="H11" s="1625"/>
      <c r="I11" s="1279"/>
    </row>
    <row r="12" spans="1:12" ht="12.75">
      <c r="A12" s="3270" t="s">
        <v>1277</v>
      </c>
      <c r="B12" s="3257">
        <v>15</v>
      </c>
      <c r="C12" s="3273"/>
      <c r="D12" s="3293"/>
      <c r="E12" s="123" t="s">
        <v>1278</v>
      </c>
      <c r="F12" s="1625"/>
      <c r="G12" s="1625"/>
      <c r="H12" s="1625"/>
      <c r="I12" s="1279"/>
    </row>
    <row r="13" spans="1:12" ht="12.75">
      <c r="A13" s="3270"/>
      <c r="B13" s="3257"/>
      <c r="C13" s="3275"/>
      <c r="D13" s="3293"/>
      <c r="E13" s="123" t="s">
        <v>1279</v>
      </c>
      <c r="F13" s="1625"/>
      <c r="G13" s="1625"/>
      <c r="H13" s="1625"/>
      <c r="I13" s="1279"/>
    </row>
    <row r="14" spans="1:12" ht="12.75">
      <c r="A14" s="3270" t="s">
        <v>1280</v>
      </c>
      <c r="B14" s="3257">
        <v>30</v>
      </c>
      <c r="C14" s="3273">
        <v>6</v>
      </c>
      <c r="D14" s="3293">
        <v>4</v>
      </c>
      <c r="E14" s="123" t="s">
        <v>1281</v>
      </c>
      <c r="F14" s="1625"/>
      <c r="G14" s="1625"/>
      <c r="H14" s="1625"/>
      <c r="I14" s="1279"/>
    </row>
    <row r="15" spans="1:12" ht="12.75">
      <c r="A15" s="3270"/>
      <c r="B15" s="3257"/>
      <c r="C15" s="3274"/>
      <c r="D15" s="3293"/>
      <c r="E15" s="123" t="s">
        <v>1282</v>
      </c>
      <c r="F15" s="1625"/>
      <c r="G15" s="1625"/>
      <c r="H15" s="1625"/>
      <c r="I15" s="1279"/>
    </row>
    <row r="16" spans="1:12" ht="12.75">
      <c r="A16" s="3270"/>
      <c r="B16" s="3257"/>
      <c r="C16" s="3275"/>
      <c r="D16" s="3293"/>
      <c r="E16" s="123" t="s">
        <v>1283</v>
      </c>
      <c r="F16" s="1625"/>
      <c r="G16" s="1625"/>
      <c r="H16" s="1625"/>
      <c r="I16" s="1279"/>
    </row>
    <row r="17" spans="1:36" ht="15">
      <c r="A17" s="1626" t="s">
        <v>1284</v>
      </c>
      <c r="B17" s="54"/>
      <c r="C17" s="124">
        <f>SUM(C5:C16)</f>
        <v>6</v>
      </c>
      <c r="D17" s="124">
        <f>SUM(D5:D16)</f>
        <v>4</v>
      </c>
      <c r="E17" s="121"/>
      <c r="F17" s="121"/>
      <c r="G17" s="121"/>
      <c r="H17" s="121"/>
      <c r="I17" s="121"/>
      <c r="K17" s="294"/>
      <c r="L17" s="294" t="s">
        <v>1285</v>
      </c>
      <c r="M17" s="294" t="s">
        <v>1286</v>
      </c>
    </row>
    <row r="18" spans="1:36" ht="31.9" customHeight="1" thickBot="1">
      <c r="A18" s="1627" t="s">
        <v>1287</v>
      </c>
      <c r="B18" s="1540"/>
      <c r="C18" s="125">
        <f>ROUND(C17/SUM(C17:D17),2)</f>
        <v>0.6</v>
      </c>
      <c r="D18" s="125">
        <f>1-C18</f>
        <v>0.4</v>
      </c>
      <c r="E18" s="3280" t="s">
        <v>2126</v>
      </c>
      <c r="F18" s="3281"/>
      <c r="G18" s="3281"/>
      <c r="H18" s="3281"/>
      <c r="I18" s="3281"/>
      <c r="K18" s="294" t="s">
        <v>1288</v>
      </c>
      <c r="L18" s="294">
        <f>IF(C1="",'数据-汇总表'!E3,SUMIF(项目类型,C1,'数据-汇总表'!E17:E26)+SUMIF(项目类型,C1,'数据-汇总表'!I17:I26))</f>
        <v>108.47</v>
      </c>
      <c r="M18" s="294">
        <f>IF(C1="",'数据-汇总表'!E3,SUMIF(项目类型,C1,'数据-汇总表'!E17:E26))</f>
        <v>108.47</v>
      </c>
    </row>
    <row r="19" spans="1:36" ht="15">
      <c r="A19" s="1628" t="s">
        <v>1289</v>
      </c>
      <c r="B19" s="1629" t="s">
        <v>1290</v>
      </c>
      <c r="C19" s="126">
        <f ca="1">SUMIF(INDIRECT("'"&amp;C4&amp;"'"&amp;"!A:A"),结果表!B19,INDIRECT("'"&amp;C4&amp;"'"&amp;"!B:B"))</f>
        <v>604.78530000000001</v>
      </c>
      <c r="D19" s="127">
        <f ca="1">SUMIF(INDIRECT("'"&amp;D4&amp;"'"&amp;"!A:A"),结果表!B19,INDIRECT("'"&amp;D4&amp;"'"&amp;"!B:B"))</f>
        <v>410.08359999999999</v>
      </c>
      <c r="E19" s="1628" t="s">
        <v>1291</v>
      </c>
      <c r="F19" s="1629" t="s">
        <v>1290</v>
      </c>
      <c r="G19" s="128">
        <f ca="1">ROUND(C19*$C$18+D19*$D$18,0)</f>
        <v>527</v>
      </c>
      <c r="H19" s="1630" t="s">
        <v>1292</v>
      </c>
      <c r="I19" s="121"/>
      <c r="K19" s="294" t="s">
        <v>1293</v>
      </c>
      <c r="L19" s="294">
        <f>IF(C1="",'数据-汇总表'!D3,SUMIF(项目类型,C1,'数据-汇总表'!D17:D26)+SUMIF(项目类型,C1,'数据-汇总表'!H17:H27))</f>
        <v>662.46</v>
      </c>
      <c r="M19" s="294">
        <f>IF(C1="",'数据-汇总表'!D3,SUMIF(项目类型,C1,'数据-汇总表'!D17:D26))</f>
        <v>662.46</v>
      </c>
    </row>
    <row r="20" spans="1:36" ht="15">
      <c r="A20" s="1631"/>
      <c r="B20" s="43" t="s">
        <v>1294</v>
      </c>
      <c r="C20" s="129">
        <f ca="1">SUMIF(INDIRECT("'"&amp;C4&amp;"'"&amp;"!A:A"),结果表!B20,INDIRECT("'"&amp;C4&amp;"'"&amp;"!B:B"))</f>
        <v>55756</v>
      </c>
      <c r="D20" s="130">
        <f ca="1">SUMIF(INDIRECT("'"&amp;D4&amp;"'"&amp;"!A:A"),结果表!B20,INDIRECT("'"&amp;D4&amp;"'"&amp;"!B:B"))</f>
        <v>37806</v>
      </c>
      <c r="E20" s="1631"/>
      <c r="F20" s="43" t="s">
        <v>1294</v>
      </c>
      <c r="G20" s="131">
        <f ca="1">ROUND(C20*$C$18+D20*$D$18,0)</f>
        <v>48576</v>
      </c>
      <c r="H20" s="759" t="s">
        <v>1295</v>
      </c>
      <c r="I20" s="121"/>
    </row>
    <row r="21" spans="1:36" ht="15" customHeight="1" thickBot="1">
      <c r="A21" s="449"/>
      <c r="B21" s="93" t="s">
        <v>1296</v>
      </c>
      <c r="C21" s="677">
        <f ca="1">ROUND(C19*10000/L19,0)</f>
        <v>9129</v>
      </c>
      <c r="D21" s="678">
        <f ca="1">ROUND(D19*10000/L19,0)</f>
        <v>6190</v>
      </c>
      <c r="E21" s="449"/>
      <c r="F21" s="93" t="s">
        <v>1296</v>
      </c>
      <c r="G21" s="132">
        <f ca="1">ROUND(G19*10000/L19,0)</f>
        <v>7955</v>
      </c>
      <c r="H21" s="1632" t="s">
        <v>1295</v>
      </c>
      <c r="I21" s="121"/>
    </row>
    <row r="22" spans="1:36" ht="15.75" thickBot="1">
      <c r="A22" s="1562" t="s">
        <v>1297</v>
      </c>
      <c r="B22" s="1633"/>
      <c r="C22" s="1634"/>
      <c r="D22" s="679">
        <f ca="1">IF(C19&lt;D19,D19/C19-1,C19/D19-1)</f>
        <v>0.47478538522389102</v>
      </c>
      <c r="E22" s="121"/>
      <c r="F22" s="121"/>
      <c r="G22" s="121"/>
      <c r="H22" s="121"/>
      <c r="I22" s="121"/>
      <c r="K22" s="738">
        <v>103175</v>
      </c>
    </row>
    <row r="23" spans="1:36" ht="13.5" thickBot="1">
      <c r="A23" s="645"/>
      <c r="B23" s="645"/>
      <c r="C23" s="645"/>
      <c r="D23" s="645"/>
      <c r="E23" s="121"/>
      <c r="F23" s="121"/>
      <c r="G23" s="121"/>
      <c r="H23" s="121"/>
      <c r="I23" s="121"/>
    </row>
    <row r="24" spans="1:36" ht="14.25">
      <c r="A24" s="3264" t="s">
        <v>1298</v>
      </c>
      <c r="B24" s="1629" t="s">
        <v>1290</v>
      </c>
      <c r="C24" s="128">
        <f>IF(B30=0,0,D30)</f>
        <v>0</v>
      </c>
      <c r="D24" s="1635"/>
      <c r="E24" s="121"/>
      <c r="F24" s="121"/>
      <c r="G24" s="121"/>
      <c r="H24" s="121"/>
      <c r="I24" s="121"/>
    </row>
    <row r="25" spans="1:36" ht="14.25">
      <c r="A25" s="3265"/>
      <c r="B25" s="43" t="s">
        <v>1294</v>
      </c>
      <c r="C25" s="133">
        <f>IF(B30=0,0,C30)</f>
        <v>0</v>
      </c>
      <c r="D25" s="1636"/>
      <c r="E25" s="121"/>
      <c r="F25" s="121"/>
      <c r="G25" s="121"/>
      <c r="H25" s="121"/>
      <c r="I25" s="121"/>
    </row>
    <row r="26" spans="1:36" ht="13.5" customHeight="1">
      <c r="A26" s="1637" t="s">
        <v>1299</v>
      </c>
      <c r="B26" s="134" t="s">
        <v>1300</v>
      </c>
      <c r="C26" s="134" t="s">
        <v>1301</v>
      </c>
      <c r="D26" s="135" t="s">
        <v>1302</v>
      </c>
      <c r="E26" s="121"/>
      <c r="F26" s="121"/>
      <c r="G26" s="121"/>
      <c r="H26" s="121"/>
      <c r="I26" s="121"/>
    </row>
    <row r="27" spans="1:36" ht="14.25">
      <c r="A27" s="1637"/>
      <c r="B27" s="134">
        <v>0</v>
      </c>
      <c r="C27" s="134">
        <v>0</v>
      </c>
      <c r="D27" s="135">
        <f>ROUND(C27*B27/10000,0)</f>
        <v>0</v>
      </c>
      <c r="E27" s="121"/>
      <c r="F27" s="121"/>
      <c r="G27" s="121"/>
      <c r="H27" s="121"/>
      <c r="I27" s="121"/>
      <c r="K27" s="683">
        <v>48662</v>
      </c>
    </row>
    <row r="28" spans="1:36" ht="14.25">
      <c r="A28" s="1637"/>
      <c r="B28" s="134"/>
      <c r="C28" s="134"/>
      <c r="D28" s="135"/>
      <c r="E28" s="121"/>
      <c r="F28" s="121"/>
      <c r="G28" s="121"/>
      <c r="H28" s="121"/>
      <c r="I28" s="121"/>
      <c r="K28" s="683">
        <v>53742</v>
      </c>
      <c r="L28" s="683">
        <f>(K27-K28)/K28</f>
        <v>-9.4525696847902949E-2</v>
      </c>
    </row>
    <row r="29" spans="1:36" ht="14.25">
      <c r="A29" s="1637"/>
      <c r="B29" s="134"/>
      <c r="C29" s="134"/>
      <c r="D29" s="135"/>
      <c r="E29" s="121"/>
      <c r="F29" s="121"/>
      <c r="G29" s="121"/>
      <c r="H29" s="121"/>
      <c r="I29" s="121"/>
    </row>
    <row r="30" spans="1:36" ht="15" thickBot="1">
      <c r="A30" s="134" t="s">
        <v>1303</v>
      </c>
      <c r="B30" s="134"/>
      <c r="C30" s="134"/>
      <c r="D30" s="134"/>
      <c r="E30" s="2125" t="s">
        <v>2127</v>
      </c>
      <c r="F30" s="121"/>
      <c r="G30" s="121"/>
      <c r="H30" s="121"/>
      <c r="I30" s="121"/>
    </row>
    <row r="31" spans="1:36" s="2131" customFormat="1" ht="26.45" customHeight="1" thickTop="1" thickBot="1">
      <c r="A31" s="2126"/>
      <c r="B31" s="2127"/>
      <c r="C31" s="2127"/>
      <c r="D31" s="2127"/>
      <c r="E31" s="2127"/>
      <c r="F31" s="2127"/>
      <c r="G31" s="2127"/>
      <c r="H31" s="2127"/>
      <c r="I31" s="2128" t="s">
        <v>2128</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1304</v>
      </c>
      <c r="B32" s="1533"/>
      <c r="C32" s="136">
        <f ca="1">IF(D32="总价",G19-C24,G20-C25)</f>
        <v>527</v>
      </c>
      <c r="D32" s="1639" t="s">
        <v>3610</v>
      </c>
      <c r="E32" s="121"/>
      <c r="F32" s="121"/>
      <c r="G32" s="121"/>
      <c r="H32" s="121"/>
      <c r="I32" s="121"/>
    </row>
    <row r="33" spans="1:15" ht="15">
      <c r="A33" s="739" t="s">
        <v>1305</v>
      </c>
      <c r="B33" s="123"/>
      <c r="C33" s="1640" t="s">
        <v>3608</v>
      </c>
      <c r="D33" s="1641"/>
      <c r="E33" s="1642" t="s">
        <v>1306</v>
      </c>
      <c r="F33" s="1643" t="str">
        <f>IF(D32="楼面单价","取值（单价）","取值（总价）")</f>
        <v>取值（总价）</v>
      </c>
      <c r="G33" s="121"/>
      <c r="H33" s="121"/>
      <c r="I33" s="121"/>
    </row>
    <row r="34" spans="1:15" ht="15">
      <c r="A34" s="1644"/>
      <c r="B34" s="1645" t="s">
        <v>1307</v>
      </c>
      <c r="C34" s="140"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2"/>
      <c r="G34" s="121"/>
      <c r="H34" s="121"/>
      <c r="I34" s="121"/>
    </row>
    <row r="35" spans="1:15" ht="15.75" thickBot="1">
      <c r="A35" s="1647"/>
      <c r="B35" s="1648" t="s">
        <v>1309</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1310</v>
      </c>
      <c r="F35" s="146"/>
      <c r="G35" s="121"/>
      <c r="H35" s="121"/>
      <c r="I35" s="121"/>
    </row>
    <row r="36" spans="1:15" ht="15.75" thickBot="1">
      <c r="A36" s="3284" t="s">
        <v>1311</v>
      </c>
      <c r="B36" s="1650" t="s">
        <v>1312</v>
      </c>
      <c r="C36" s="137"/>
      <c r="D36" s="1651"/>
      <c r="E36" s="1565"/>
      <c r="F36" s="1652"/>
      <c r="G36" s="121"/>
      <c r="H36" s="121"/>
      <c r="I36" s="121"/>
    </row>
    <row r="37" spans="1:15" ht="15.75" thickBot="1">
      <c r="A37" s="3285"/>
      <c r="B37" s="1553" t="s">
        <v>1313</v>
      </c>
      <c r="C37" s="139"/>
      <c r="D37" s="1070"/>
      <c r="E37" s="1070"/>
      <c r="F37" s="1652"/>
      <c r="G37" s="121"/>
      <c r="H37" s="121"/>
      <c r="I37" s="121"/>
    </row>
    <row r="38" spans="1:15" ht="15.75" thickBot="1">
      <c r="A38" s="3286"/>
      <c r="B38" s="1653" t="s">
        <v>1314</v>
      </c>
      <c r="C38" s="640"/>
      <c r="D38" s="1654" t="s">
        <v>1315</v>
      </c>
      <c r="E38" s="1070"/>
      <c r="F38" s="1652"/>
      <c r="G38" s="121"/>
      <c r="H38" s="121"/>
      <c r="I38" s="121"/>
    </row>
    <row r="39" spans="1:15" ht="15">
      <c r="A39" s="1631" t="s">
        <v>1316</v>
      </c>
      <c r="B39" s="1655" t="s">
        <v>1317</v>
      </c>
      <c r="C39" s="1656" t="s">
        <v>1318</v>
      </c>
      <c r="D39" s="1656" t="s">
        <v>1319</v>
      </c>
      <c r="E39" s="1657" t="s">
        <v>1320</v>
      </c>
      <c r="F39" s="1652"/>
      <c r="G39" s="121"/>
      <c r="H39" s="121"/>
      <c r="I39" s="121"/>
    </row>
    <row r="40" spans="1:15" ht="14.25">
      <c r="A40" s="1658" t="s">
        <v>1321</v>
      </c>
      <c r="B40" s="141"/>
      <c r="C40" s="142"/>
      <c r="D40" s="142"/>
      <c r="E40" s="143"/>
      <c r="F40" s="1652"/>
      <c r="G40" s="121"/>
      <c r="H40" s="121"/>
      <c r="I40" s="121"/>
    </row>
    <row r="41" spans="1:15" ht="14.25">
      <c r="A41" s="1658" t="s">
        <v>1322</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1323</v>
      </c>
      <c r="B44" s="1662"/>
      <c r="C44" s="1662"/>
      <c r="D44" s="1663"/>
      <c r="E44" s="1663"/>
      <c r="F44" s="1664"/>
      <c r="G44" s="1664"/>
      <c r="H44" s="1664"/>
      <c r="I44" s="1664"/>
      <c r="J44" s="1665" t="s">
        <v>1324</v>
      </c>
      <c r="K44" s="4"/>
      <c r="L44" s="4"/>
      <c r="M44" s="4"/>
      <c r="N44" s="4"/>
      <c r="O44" s="4"/>
    </row>
    <row r="45" spans="1:15" ht="14.25" customHeight="1" thickBot="1">
      <c r="A45" s="3261" t="s">
        <v>1325</v>
      </c>
      <c r="B45" s="3262"/>
      <c r="C45" s="3263"/>
      <c r="D45" s="147">
        <f ca="1">ROUND(H101*F45,0)</f>
        <v>527</v>
      </c>
      <c r="E45" s="148" t="s">
        <v>1326</v>
      </c>
      <c r="F45" s="149">
        <v>1</v>
      </c>
      <c r="G45" s="150" t="s">
        <v>1327</v>
      </c>
      <c r="H45" s="121"/>
      <c r="I45" s="121"/>
      <c r="J45" s="3339" t="s">
        <v>1328</v>
      </c>
      <c r="K45" s="3339"/>
      <c r="L45" s="3339"/>
      <c r="M45" s="3339"/>
      <c r="N45" s="3339"/>
      <c r="O45" s="3339"/>
    </row>
    <row r="46" spans="1:15" ht="14.25" customHeight="1">
      <c r="A46" s="3258" t="s">
        <v>1329</v>
      </c>
      <c r="B46" s="3259"/>
      <c r="C46" s="3259"/>
      <c r="D46" s="3259"/>
      <c r="E46" s="3259"/>
      <c r="F46" s="3259"/>
      <c r="G46" s="3260"/>
      <c r="H46" s="1666"/>
      <c r="I46" s="151"/>
      <c r="J46" s="2308">
        <v>1</v>
      </c>
      <c r="K46" s="3320" t="s">
        <v>1330</v>
      </c>
      <c r="L46" s="3320"/>
      <c r="M46" s="3340"/>
      <c r="N46" s="3340"/>
      <c r="O46" s="3340"/>
    </row>
    <row r="47" spans="1:15" ht="12" customHeight="1">
      <c r="A47" s="152" t="s">
        <v>1331</v>
      </c>
      <c r="B47" s="153"/>
      <c r="C47" s="154"/>
      <c r="D47" s="1023" t="s">
        <v>1332</v>
      </c>
      <c r="E47" s="294" t="s">
        <v>1333</v>
      </c>
      <c r="F47" s="155" t="s">
        <v>1334</v>
      </c>
      <c r="G47" s="2331" t="s">
        <v>1335</v>
      </c>
      <c r="H47" s="2332"/>
      <c r="I47" s="151"/>
      <c r="J47" s="2308">
        <v>2</v>
      </c>
      <c r="K47" s="3320" t="s">
        <v>1336</v>
      </c>
      <c r="L47" s="3320"/>
      <c r="M47" s="3341">
        <f>'数据-取费表'!B2</f>
        <v>45065</v>
      </c>
      <c r="N47" s="3341"/>
      <c r="O47" s="3341"/>
    </row>
    <row r="48" spans="1:15" ht="25.5">
      <c r="A48" s="3289" t="s">
        <v>1337</v>
      </c>
      <c r="B48" s="3272"/>
      <c r="C48" s="3272"/>
      <c r="D48" s="12" t="b">
        <f>IF(H48="情况1",0,IF(H48="情况2",D52,IF(H48="情况3",D53,IF(H48="情况4",D54))))</f>
        <v>0</v>
      </c>
      <c r="E48" s="1254" t="str">
        <f>IF(H48="情况4","(销售额-原购置价)×税（费）率","销售额×税（费）率")</f>
        <v>销售额×税（费）率</v>
      </c>
      <c r="F48" s="2333">
        <f>IF(H48="情况1","免征",'数据-取费表'!B41)</f>
        <v>5.6000000000000001E-2</v>
      </c>
      <c r="G48" s="2334" t="s">
        <v>1338</v>
      </c>
      <c r="H48" s="2335"/>
      <c r="I48" s="1666"/>
      <c r="J48" s="2308">
        <v>3</v>
      </c>
      <c r="K48" s="3320" t="s">
        <v>1339</v>
      </c>
      <c r="L48" s="3320"/>
      <c r="M48" s="3342">
        <f ca="1">H101</f>
        <v>527</v>
      </c>
      <c r="N48" s="3342"/>
      <c r="O48" s="3342"/>
    </row>
    <row r="49" spans="1:35" ht="25.5" customHeight="1">
      <c r="A49" s="2150" t="s">
        <v>1340</v>
      </c>
      <c r="B49" s="3256" t="s">
        <v>1341</v>
      </c>
      <c r="C49" s="3256"/>
      <c r="D49" s="1476">
        <v>0</v>
      </c>
      <c r="E49" s="316" t="s">
        <v>1342</v>
      </c>
      <c r="F49" s="2231" t="s">
        <v>28</v>
      </c>
      <c r="G49" s="3326"/>
      <c r="H49" s="2132" t="s">
        <v>2129</v>
      </c>
      <c r="I49" s="2133"/>
      <c r="J49" s="2308">
        <v>4</v>
      </c>
      <c r="K49" s="3320" t="str">
        <f>IF(项目基本情况!E8="房地产抵押价值","房地产抵押价值","抵押担保权已注销时的房地产抵押价值")</f>
        <v>抵押担保权已注销时的房地产抵押价值</v>
      </c>
      <c r="L49" s="3320"/>
      <c r="M49" s="3342" t="str">
        <f>IF(项目基本情况!E8="房地产抵押价值",H107,H109)</f>
        <v>——</v>
      </c>
      <c r="N49" s="3342"/>
      <c r="O49" s="3342"/>
    </row>
    <row r="50" spans="1:35" ht="25.5" customHeight="1">
      <c r="A50" s="2336"/>
      <c r="B50" s="3256" t="s">
        <v>1343</v>
      </c>
      <c r="C50" s="3256"/>
      <c r="D50" s="2187"/>
      <c r="E50" s="323"/>
      <c r="F50" s="2231"/>
      <c r="G50" s="3327"/>
      <c r="H50" s="2134" t="s">
        <v>2130</v>
      </c>
      <c r="I50" s="2133"/>
      <c r="J50" s="3339" t="s">
        <v>1344</v>
      </c>
      <c r="K50" s="3339"/>
      <c r="L50" s="3339"/>
      <c r="M50" s="3339"/>
      <c r="N50" s="3339"/>
      <c r="O50" s="3339"/>
    </row>
    <row r="51" spans="1:35" ht="20.45" customHeight="1">
      <c r="A51" s="2337"/>
      <c r="B51" s="3256" t="s">
        <v>1345</v>
      </c>
      <c r="C51" s="3256"/>
      <c r="D51" s="1023"/>
      <c r="E51" s="319"/>
      <c r="F51" s="2231"/>
      <c r="G51" s="3328"/>
      <c r="H51" s="2134" t="s">
        <v>2131</v>
      </c>
      <c r="I51" s="2133"/>
      <c r="J51" s="2309" t="s">
        <v>1346</v>
      </c>
      <c r="K51" s="3320" t="s">
        <v>1347</v>
      </c>
      <c r="L51" s="3320"/>
      <c r="M51" s="2309" t="s">
        <v>1348</v>
      </c>
      <c r="N51" s="2309" t="s">
        <v>1349</v>
      </c>
      <c r="O51" s="2309" t="s">
        <v>1350</v>
      </c>
    </row>
    <row r="52" spans="1:35" ht="24" customHeight="1">
      <c r="A52" s="2151" t="s">
        <v>1351</v>
      </c>
      <c r="B52" s="3256" t="s">
        <v>1352</v>
      </c>
      <c r="C52" s="3256"/>
      <c r="D52" s="1023">
        <f ca="1">ROUND(D45*'数据-取费表'!B41/(1+'数据-取费表'!C42),0)</f>
        <v>28</v>
      </c>
      <c r="E52" s="1254" t="s">
        <v>1353</v>
      </c>
      <c r="F52" s="2338">
        <f>'数据-取费表'!B41</f>
        <v>5.6000000000000001E-2</v>
      </c>
      <c r="G52" s="2339"/>
      <c r="H52" s="2329"/>
      <c r="I52" s="1667"/>
      <c r="J52" s="2308">
        <v>1</v>
      </c>
      <c r="K52" s="3321" t="s">
        <v>1354</v>
      </c>
      <c r="L52" s="3321"/>
      <c r="M52" s="2310" t="b">
        <f>D48</f>
        <v>0</v>
      </c>
      <c r="N52" s="2308" t="str">
        <f>E48</f>
        <v>销售额×税（费）率</v>
      </c>
      <c r="O52" s="2311">
        <f>F48</f>
        <v>5.6000000000000001E-2</v>
      </c>
    </row>
    <row r="53" spans="1:35" ht="12" customHeight="1">
      <c r="A53" s="2151" t="s">
        <v>1355</v>
      </c>
      <c r="B53" s="3282" t="s">
        <v>2282</v>
      </c>
      <c r="C53" s="3283"/>
      <c r="D53" s="1023">
        <f ca="1">ROUND(D45*'数据-取费表'!B41/(1+'数据-取费表'!C42),0)</f>
        <v>28</v>
      </c>
      <c r="E53" s="1254" t="s">
        <v>1353</v>
      </c>
      <c r="F53" s="2338">
        <f>'数据-取费表'!B41</f>
        <v>5.6000000000000001E-2</v>
      </c>
      <c r="G53" s="2339"/>
      <c r="H53" s="2329"/>
      <c r="I53" s="1667"/>
      <c r="J53" s="2308">
        <v>2</v>
      </c>
      <c r="K53" s="3321" t="s">
        <v>1356</v>
      </c>
      <c r="L53" s="3321"/>
      <c r="M53" s="2310">
        <f t="shared" ref="M53:O54" ca="1" si="0">D55</f>
        <v>0</v>
      </c>
      <c r="N53" s="2308" t="str">
        <f t="shared" si="0"/>
        <v>销售额×税（费）率</v>
      </c>
      <c r="O53" s="2311" t="str">
        <f t="shared" si="0"/>
        <v>免征</v>
      </c>
    </row>
    <row r="54" spans="1:35" ht="12" customHeight="1">
      <c r="A54" s="2151" t="s">
        <v>1357</v>
      </c>
      <c r="B54" s="3282" t="s">
        <v>2283</v>
      </c>
      <c r="C54" s="3283"/>
      <c r="D54" s="1023">
        <f ca="1">C68</f>
        <v>28</v>
      </c>
      <c r="E54" s="319" t="s">
        <v>1358</v>
      </c>
      <c r="F54" s="2338">
        <f>'数据-取费表'!B41</f>
        <v>5.6000000000000001E-2</v>
      </c>
      <c r="G54" s="2339"/>
      <c r="H54" s="2340"/>
      <c r="I54" s="1667"/>
      <c r="J54" s="2308">
        <v>3</v>
      </c>
      <c r="K54" s="3321" t="s">
        <v>1359</v>
      </c>
      <c r="L54" s="3321"/>
      <c r="M54" s="2310">
        <f t="shared" ca="1" si="0"/>
        <v>298</v>
      </c>
      <c r="N54" s="2308" t="str">
        <f t="shared" si="0"/>
        <v>增值额×税（费）率</v>
      </c>
      <c r="O54" s="2312" t="str">
        <f t="shared" si="0"/>
        <v>免征</v>
      </c>
    </row>
    <row r="55" spans="1:35" ht="24" customHeight="1">
      <c r="A55" s="3271" t="s">
        <v>1360</v>
      </c>
      <c r="B55" s="3272"/>
      <c r="C55" s="3272"/>
      <c r="D55" s="12">
        <f ca="1">IF(H55="个人住宅",0,ROUND(D45*I55,0))</f>
        <v>0</v>
      </c>
      <c r="E55" s="1254" t="s">
        <v>1361</v>
      </c>
      <c r="F55" s="2338" t="str">
        <f>IF(H55="正常",I55,"免征")</f>
        <v>免征</v>
      </c>
      <c r="G55" s="2339"/>
      <c r="H55" s="2335"/>
      <c r="I55" s="157">
        <f>'数据-取费表'!B49</f>
        <v>5.0000000000000001E-4</v>
      </c>
      <c r="J55" s="2308">
        <f>IF(H59="非个人房产","",4)</f>
        <v>4</v>
      </c>
      <c r="K55" s="3321" t="str">
        <f>IF(H59="非个人房产","——","个人所得税")</f>
        <v>个人所得税</v>
      </c>
      <c r="L55" s="3321"/>
      <c r="M55" s="2313">
        <f ca="1">D59</f>
        <v>5</v>
      </c>
      <c r="N55" s="1881" t="str">
        <f>E59</f>
        <v>差额计税</v>
      </c>
      <c r="O55" s="2314">
        <f>F59</f>
        <v>0.01</v>
      </c>
    </row>
    <row r="56" spans="1:35" ht="24.75">
      <c r="A56" s="3271" t="s">
        <v>1362</v>
      </c>
      <c r="B56" s="3272"/>
      <c r="C56" s="3272"/>
      <c r="D56" s="12">
        <f ca="1">IF(H56="个人住宅",D57,D58)</f>
        <v>298</v>
      </c>
      <c r="E56" s="1254" t="s">
        <v>1363</v>
      </c>
      <c r="F56" s="2338" t="str">
        <f>IF(H56="正常",F58,"免征")</f>
        <v>免征</v>
      </c>
      <c r="G56" s="2341" t="s">
        <v>1364</v>
      </c>
      <c r="H56" s="2342"/>
      <c r="I56" s="1668"/>
      <c r="J56" s="2308" t="str">
        <f>IF(项目基本情况!K6="上海银行",IF(J55="",4,J55+1),"")</f>
        <v/>
      </c>
      <c r="K56" s="3344" t="str">
        <f>IF(项目基本情况!K6="上海银行","其他处置费用","")</f>
        <v/>
      </c>
      <c r="L56" s="3345"/>
      <c r="M56" s="2310" t="str">
        <f>IF(项目基本情况!K6="上海银行",M69,"")</f>
        <v/>
      </c>
      <c r="N56" s="3344" t="str">
        <f>IF(项目基本情况!K6="上海银行","包含处置中涉及的律师、诉讼、拍卖、评估等费用","")</f>
        <v/>
      </c>
      <c r="O56" s="3347"/>
    </row>
    <row r="57" spans="1:35" ht="12.75">
      <c r="A57" s="2151" t="s">
        <v>1340</v>
      </c>
      <c r="B57" s="3282" t="s">
        <v>1365</v>
      </c>
      <c r="C57" s="3283"/>
      <c r="D57" s="1476">
        <v>0</v>
      </c>
      <c r="E57" s="316" t="s">
        <v>1342</v>
      </c>
      <c r="F57" s="294"/>
      <c r="G57" s="2339"/>
      <c r="H57" s="2343"/>
      <c r="I57" s="1668"/>
      <c r="J57" s="3321">
        <f>IF(AND(J55="",J56=""),4,IF(项目基本情况!K6="上海银行",结果表!J56+1,结果表!J55+1))</f>
        <v>5</v>
      </c>
      <c r="K57" s="3321" t="s">
        <v>1366</v>
      </c>
      <c r="L57" s="2315" t="s">
        <v>1367</v>
      </c>
      <c r="M57" s="2316"/>
      <c r="N57" s="2317">
        <f ca="1">SUMIF(M52:M56,"&lt;9e307")</f>
        <v>303</v>
      </c>
      <c r="O57" s="2318"/>
      <c r="P57" s="2463" t="e">
        <f ca="1">N57/M49</f>
        <v>#VALUE!</v>
      </c>
    </row>
    <row r="58" spans="1:35" ht="24.75">
      <c r="A58" s="2151" t="s">
        <v>1351</v>
      </c>
      <c r="B58" s="3282" t="s">
        <v>1368</v>
      </c>
      <c r="C58" s="3256"/>
      <c r="D58" s="12">
        <f ca="1">IF(H58="转让取得",C81,C97)</f>
        <v>298</v>
      </c>
      <c r="E58" s="1254" t="s">
        <v>1363</v>
      </c>
      <c r="F58" s="294" t="s">
        <v>28</v>
      </c>
      <c r="G58" s="2339"/>
      <c r="H58" s="2342"/>
      <c r="I58" s="1668"/>
      <c r="J58" s="3321"/>
      <c r="K58" s="3321"/>
      <c r="L58" s="2315" t="s">
        <v>1369</v>
      </c>
      <c r="M58" s="2319"/>
      <c r="N58" s="2320" t="str">
        <f ca="1">NUMBERSTRING(INT(N57*10000),2)&amp;"元整"</f>
        <v>叁佰零叁万元整</v>
      </c>
      <c r="O58" s="2321"/>
    </row>
    <row r="59" spans="1:35" ht="24.75" thickBot="1">
      <c r="A59" s="3324" t="s">
        <v>1370</v>
      </c>
      <c r="B59" s="3325"/>
      <c r="C59" s="3325"/>
      <c r="D59" s="2344">
        <f ca="1">IF(H59="非个人房产","——",IF(H59="个人住宅（满五唯一有凭证）",0,IF(H59="个人其他（无凭证）",ROUND(D45*F59,0),ROUND(C67*F59,0))))</f>
        <v>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1364</v>
      </c>
      <c r="H59" s="2136"/>
      <c r="I59" s="2135" t="s">
        <v>2132</v>
      </c>
      <c r="J59" s="3322">
        <f>J57+1</f>
        <v>6</v>
      </c>
      <c r="K59" s="3321" t="s">
        <v>1371</v>
      </c>
      <c r="L59" s="2308" t="s">
        <v>1367</v>
      </c>
      <c r="M59" s="2322"/>
      <c r="N59" s="2323" t="e">
        <f ca="1">M49-N57</f>
        <v>#VALUE!</v>
      </c>
      <c r="O59" s="2324"/>
    </row>
    <row r="60" spans="1:35" ht="12" customHeight="1">
      <c r="A60" s="1669"/>
      <c r="B60" s="645"/>
      <c r="C60" s="645"/>
      <c r="D60" s="645"/>
      <c r="E60" s="1464"/>
      <c r="F60" s="1668"/>
      <c r="G60" s="1668"/>
      <c r="H60" s="151"/>
      <c r="I60" s="121"/>
      <c r="J60" s="3323"/>
      <c r="K60" s="3321"/>
      <c r="L60" s="2315" t="s">
        <v>1369</v>
      </c>
      <c r="M60" s="2319"/>
      <c r="N60" s="2320" t="e">
        <f ca="1">NUMBERSTRING(INT(N59*10000),2)&amp;"元整"</f>
        <v>#VALUE!</v>
      </c>
      <c r="O60" s="2321"/>
    </row>
    <row r="61" spans="1:35" ht="13.5" thickBot="1">
      <c r="A61" s="3269" t="s">
        <v>1372</v>
      </c>
      <c r="B61" s="3269"/>
      <c r="C61" s="3269"/>
      <c r="D61" s="3269"/>
      <c r="E61" s="3269"/>
      <c r="F61" s="1668"/>
      <c r="G61" s="1668"/>
      <c r="H61" s="151"/>
      <c r="I61" s="121"/>
      <c r="J61" s="2308">
        <f>J59+1</f>
        <v>7</v>
      </c>
      <c r="K61" s="3321" t="s">
        <v>1373</v>
      </c>
      <c r="L61" s="3321"/>
      <c r="M61" s="2325"/>
      <c r="N61" s="2326" t="e">
        <f ca="1">ROUND(N59*10000/'数据-汇总表'!E3,0)</f>
        <v>#VALUE!</v>
      </c>
      <c r="O61" s="2327"/>
    </row>
    <row r="62" spans="1:35" ht="12.75">
      <c r="A62" s="3287" t="s">
        <v>1374</v>
      </c>
      <c r="B62" s="3288"/>
      <c r="C62" s="1863"/>
      <c r="D62" s="1863" t="s">
        <v>1375</v>
      </c>
      <c r="E62" s="158" t="s">
        <v>1376</v>
      </c>
      <c r="F62" s="1668"/>
      <c r="G62" s="1668"/>
      <c r="H62" s="151"/>
      <c r="I62" s="121"/>
    </row>
    <row r="63" spans="1:35" ht="12.75">
      <c r="A63" s="165" t="s">
        <v>330</v>
      </c>
      <c r="B63" s="159" t="s">
        <v>1377</v>
      </c>
      <c r="C63" s="2348">
        <f ca="1">ROUND((C64+C65)/(1+'数据-取费表'!C42),0)</f>
        <v>502</v>
      </c>
      <c r="D63" s="159"/>
      <c r="E63" s="160"/>
      <c r="F63" s="1668"/>
      <c r="G63" s="1668"/>
      <c r="H63" s="151"/>
      <c r="I63" s="121"/>
      <c r="J63" s="3346" t="s">
        <v>1378</v>
      </c>
      <c r="K63" s="1244" t="s">
        <v>1379</v>
      </c>
      <c r="L63" s="1244" t="e">
        <f>IF(M49&gt;10000,M49*0.5%,IF(AND(M49&gt;1000,M49&lt;=10000),M49*1%,IF(AND(M49&gt;100,M49&lt;=1000),M49*3%,IF(AND(M49&gt;10,M49&lt;=100),M49*5%,M49*8%))))</f>
        <v>#VALUE!</v>
      </c>
      <c r="M63" s="294" t="e">
        <f>ROUND(L63,1)</f>
        <v>#VALUE!</v>
      </c>
      <c r="N63" s="2328"/>
      <c r="Z63" s="1621"/>
      <c r="AI63" s="1559"/>
    </row>
    <row r="64" spans="1:35" ht="14.25" customHeight="1">
      <c r="A64" s="161" t="s">
        <v>325</v>
      </c>
      <c r="B64" s="162" t="s">
        <v>1380</v>
      </c>
      <c r="C64" s="2349">
        <f ca="1">D45</f>
        <v>527</v>
      </c>
      <c r="D64" s="162" t="s">
        <v>26</v>
      </c>
      <c r="E64" s="164"/>
      <c r="F64" s="1668"/>
      <c r="G64" s="1668"/>
      <c r="H64" s="151"/>
      <c r="I64" s="121"/>
      <c r="J64" s="3346"/>
      <c r="K64" s="1244" t="s">
        <v>1381</v>
      </c>
      <c r="L64" s="1244"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9" t="s">
        <v>1382</v>
      </c>
      <c r="Z64" s="1621"/>
      <c r="AI64" s="1559"/>
    </row>
    <row r="65" spans="1:35" ht="14.25" customHeight="1">
      <c r="A65" s="161" t="s">
        <v>326</v>
      </c>
      <c r="B65" s="162" t="s">
        <v>1383</v>
      </c>
      <c r="C65" s="2350"/>
      <c r="D65" s="162"/>
      <c r="E65" s="164"/>
      <c r="F65" s="1668"/>
      <c r="G65" s="1668"/>
      <c r="H65" s="151"/>
      <c r="I65" s="121"/>
      <c r="J65" s="3346"/>
      <c r="K65" s="1244" t="s">
        <v>1384</v>
      </c>
      <c r="L65" s="1244" t="e">
        <f>IF(M49&gt;1000,M49*0.1%,IF(AND(M49&gt;500,M49&lt;=1000),M49*0.5%,IF(AND(M49&gt;50,M49&lt;=500),M49*1%,IF(AND(M49&gt;1,M49&lt;=50),M49*1.5%))))</f>
        <v>#VALUE!</v>
      </c>
      <c r="M65" s="294" t="e">
        <f>ROUND(L65,1)</f>
        <v>#VALUE!</v>
      </c>
      <c r="N65" s="2329" t="s">
        <v>1382</v>
      </c>
      <c r="Z65" s="1621"/>
      <c r="AI65" s="1559"/>
    </row>
    <row r="66" spans="1:35" ht="14.25" customHeight="1">
      <c r="A66" s="165" t="s">
        <v>327</v>
      </c>
      <c r="B66" s="166" t="s">
        <v>1385</v>
      </c>
      <c r="C66" s="2351"/>
      <c r="D66" s="166" t="s">
        <v>26</v>
      </c>
      <c r="E66" s="1249" t="s">
        <v>671</v>
      </c>
      <c r="F66" s="1668"/>
      <c r="G66" s="1668"/>
      <c r="H66" s="151"/>
      <c r="I66" s="121"/>
      <c r="J66" s="3346"/>
      <c r="K66" s="1244" t="s">
        <v>1386</v>
      </c>
      <c r="L66" s="1244" t="e">
        <f>M49*0.5%</f>
        <v>#VALUE!</v>
      </c>
      <c r="M66" s="294" t="e">
        <f>IF(L66&gt;0.5,0.5,ROUND(L66,0))</f>
        <v>#VALUE!</v>
      </c>
      <c r="N66" s="2329" t="s">
        <v>1387</v>
      </c>
      <c r="Z66" s="1621"/>
      <c r="AI66" s="1559"/>
    </row>
    <row r="67" spans="1:35" ht="14.25" customHeight="1">
      <c r="A67" s="165" t="s">
        <v>328</v>
      </c>
      <c r="B67" s="166" t="s">
        <v>1388</v>
      </c>
      <c r="C67" s="2352">
        <f ca="1">C63-C66</f>
        <v>502</v>
      </c>
      <c r="D67" s="162" t="s">
        <v>26</v>
      </c>
      <c r="E67" s="164"/>
      <c r="F67" s="1668"/>
      <c r="G67" s="1668"/>
      <c r="H67" s="151"/>
      <c r="I67" s="121"/>
      <c r="J67" s="3346"/>
      <c r="K67" s="1244" t="s">
        <v>1389</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1"/>
      <c r="AI67" s="1559"/>
    </row>
    <row r="68" spans="1:35" ht="14.25" customHeight="1" thickBot="1">
      <c r="A68" s="168" t="s">
        <v>329</v>
      </c>
      <c r="B68" s="169" t="s">
        <v>1390</v>
      </c>
      <c r="C68" s="2353">
        <f ca="1">IF(C67&lt;=0,0,ROUND(C67*D68,0))</f>
        <v>28</v>
      </c>
      <c r="D68" s="2354">
        <f>'数据-取费表'!B41</f>
        <v>5.6000000000000001E-2</v>
      </c>
      <c r="E68" s="170"/>
      <c r="F68" s="1668"/>
      <c r="G68" s="1668"/>
      <c r="H68" s="151"/>
      <c r="I68" s="121"/>
      <c r="J68" s="3346"/>
      <c r="K68" s="1244" t="s">
        <v>1391</v>
      </c>
      <c r="L68" s="1244" t="e">
        <f>IF(M49&gt;10000,M49*0.5%,IF(AND(M49&gt;5000,M49&lt;=10000),M49*1%,IF(AND(M49&gt;1000,M49&lt;=5000),M49*2%,IF(AND(M49&gt;200,M49&lt;=1000),M49*3%,M49*5%))))</f>
        <v>#VALUE!</v>
      </c>
      <c r="M68" s="294" t="e">
        <f>ROUND(L68,1)</f>
        <v>#VALUE!</v>
      </c>
      <c r="N68" s="2328"/>
      <c r="Z68" s="1621"/>
      <c r="AI68" s="1559"/>
    </row>
    <row r="69" spans="1:35" ht="16.5" customHeight="1">
      <c r="A69" s="1670"/>
      <c r="B69" s="1671"/>
      <c r="C69" s="1672"/>
      <c r="D69" s="1673"/>
      <c r="E69" s="1674"/>
      <c r="F69" s="1464"/>
      <c r="G69" s="1464"/>
      <c r="H69" s="1465"/>
      <c r="I69" s="645"/>
      <c r="J69" s="3346"/>
      <c r="K69" s="1244" t="s">
        <v>1392</v>
      </c>
      <c r="L69" s="1244"/>
      <c r="M69" s="294" t="e">
        <f>ROUND(SUM(M63:M68),0)</f>
        <v>#VALUE!</v>
      </c>
      <c r="N69" s="2330" t="e">
        <f>M69/M49</f>
        <v>#VALUE!</v>
      </c>
      <c r="Z69" s="1621"/>
      <c r="AI69" s="1559"/>
    </row>
    <row r="70" spans="1:35" s="641" customFormat="1" ht="15" thickBot="1">
      <c r="A70" s="3308" t="s">
        <v>1393</v>
      </c>
      <c r="B70" s="3309"/>
      <c r="C70" s="3309"/>
      <c r="D70" s="3309"/>
      <c r="E70" s="3309"/>
      <c r="F70" s="3309"/>
      <c r="G70" s="3309"/>
      <c r="H70" s="3309"/>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87" t="s">
        <v>1374</v>
      </c>
      <c r="B71" s="3288"/>
      <c r="C71" s="1863"/>
      <c r="D71" s="1863" t="s">
        <v>1375</v>
      </c>
      <c r="E71" s="171" t="s">
        <v>1376</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1394</v>
      </c>
      <c r="C72" s="2352">
        <f ca="1">ROUND(D45/(1+'数据-取费表'!C42),0)</f>
        <v>502</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1395</v>
      </c>
      <c r="C73" s="2352">
        <f ca="1">C74+C78</f>
        <v>3</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1396</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1397</v>
      </c>
      <c r="C75" s="2355"/>
      <c r="D75" s="162" t="s">
        <v>26</v>
      </c>
      <c r="E75" s="176" t="s">
        <v>1398</v>
      </c>
      <c r="F75" s="2356"/>
      <c r="G75" s="176" t="s">
        <v>1399</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1400</v>
      </c>
      <c r="C76" s="162">
        <f>IF(F75="购房发票",ROUND(C75*H75*D76,0),0)</f>
        <v>0</v>
      </c>
      <c r="D76" s="2358">
        <v>0.05</v>
      </c>
      <c r="E76" s="3282" t="s">
        <v>1401</v>
      </c>
      <c r="F76" s="3256"/>
      <c r="G76" s="3256"/>
      <c r="H76" s="3307"/>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1402</v>
      </c>
      <c r="C77" s="162">
        <f>ROUND(IF(G77="个人住宅",0,IF(G77="2016年5月1日前购买",C75*D77,C75*D77/(1+'数据-取费表'!C42))),0)</f>
        <v>0</v>
      </c>
      <c r="D77" s="2359">
        <f>'数据-取费表'!B48+'数据-取费表'!B49</f>
        <v>3.0499999999999999E-2</v>
      </c>
      <c r="E77" s="12" t="s">
        <v>1403</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1404</v>
      </c>
      <c r="C78" s="2360">
        <f ca="1">ROUND(D45*D78/(1+'数据-取费表'!C42),0)</f>
        <v>3</v>
      </c>
      <c r="D78" s="2361">
        <f>'数据-取费表'!B43</f>
        <v>6.000000000000001E-3</v>
      </c>
      <c r="E78" s="3266" t="s">
        <v>1405</v>
      </c>
      <c r="F78" s="3267"/>
      <c r="G78" s="3267"/>
      <c r="H78" s="3276"/>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1406</v>
      </c>
      <c r="C79" s="2352">
        <f ca="1">C72-C73</f>
        <v>499</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1407</v>
      </c>
      <c r="C80" s="2362">
        <f ca="1">IF(C79&lt;=0,0,C79/C73)</f>
        <v>166.33333333333334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1408</v>
      </c>
      <c r="C81" s="2363">
        <f ca="1">ROUND(IF(C79&lt;=0,0,IF(C80&gt;=200%,C79*60%-C73*35%,IF(C80&gt;=100%,C79*50%-C73*15%,IF(C80&gt;=50%,C79*40%-C73*5%,IF(C80&lt;50%,C79*30%,0))))),0)</f>
        <v>298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08" t="s">
        <v>1409</v>
      </c>
      <c r="B83" s="3309"/>
      <c r="C83" s="3309"/>
      <c r="D83" s="3309"/>
      <c r="E83" s="3309"/>
      <c r="F83" s="3309"/>
      <c r="G83" s="3309"/>
      <c r="H83" s="3309"/>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87" t="s">
        <v>1374</v>
      </c>
      <c r="B84" s="3288"/>
      <c r="C84" s="1863"/>
      <c r="D84" s="1863" t="s">
        <v>1375</v>
      </c>
      <c r="E84" s="171" t="s">
        <v>1376</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1394</v>
      </c>
      <c r="C85" s="2352">
        <f ca="1">ROUND(D45/(1+'数据-取费表'!C42),0)</f>
        <v>502</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1395</v>
      </c>
      <c r="C86" s="2352">
        <f ca="1">IF(H88="仅含出让金",C87+C90+C91+C92+C93+C94,C87+C91+C92+C93+C94)</f>
        <v>3</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1410</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1411</v>
      </c>
      <c r="C88" s="2366"/>
      <c r="D88" s="2361"/>
      <c r="E88" s="185" t="s">
        <v>1412</v>
      </c>
      <c r="F88" s="2146"/>
      <c r="G88" s="186" t="s">
        <v>1413</v>
      </c>
      <c r="H88" s="1682"/>
      <c r="I88" s="1679"/>
      <c r="J88" s="2306"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1402</v>
      </c>
      <c r="C89" s="2360">
        <f>ROUND(C88*D89,0)</f>
        <v>0</v>
      </c>
      <c r="D89" s="2361">
        <f>'数据-取费表'!B48+'数据-取费表'!B49</f>
        <v>3.0499999999999999E-2</v>
      </c>
      <c r="E89" s="185" t="s">
        <v>1414</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1415</v>
      </c>
      <c r="C90" s="2366"/>
      <c r="D90" s="2361"/>
      <c r="E90" s="185" t="str">
        <f>IF(H88="-","土地取得成本中已包含该笔费用"," ")</f>
        <v xml:space="preserve"> </v>
      </c>
      <c r="F90" s="2146"/>
      <c r="G90" s="3348" t="s">
        <v>2124</v>
      </c>
      <c r="H90" s="3349"/>
      <c r="I90" s="1679"/>
      <c r="J90" s="2306"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1416</v>
      </c>
      <c r="B91" s="162" t="s">
        <v>1417</v>
      </c>
      <c r="C91" s="2360">
        <f>IF(H91="——",成本法!C33,I91)</f>
        <v>0</v>
      </c>
      <c r="D91" s="2361"/>
      <c r="E91" s="3266" t="s">
        <v>1418</v>
      </c>
      <c r="F91" s="3267"/>
      <c r="G91" s="3267"/>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1419</v>
      </c>
      <c r="B92" s="162" t="s">
        <v>1420</v>
      </c>
      <c r="C92" s="2360">
        <f>ROUND((C87+C90+C91)*D92,0)</f>
        <v>0</v>
      </c>
      <c r="D92" s="2367"/>
      <c r="E92" s="3266" t="s">
        <v>1421</v>
      </c>
      <c r="F92" s="3267"/>
      <c r="G92" s="3267"/>
      <c r="H92" s="3276"/>
      <c r="I92" s="1679"/>
      <c r="J92" s="2307"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1422</v>
      </c>
      <c r="B93" s="162" t="s">
        <v>1404</v>
      </c>
      <c r="C93" s="2360">
        <f ca="1">ROUND(D45*D93/(1+'数据-取费表'!C42),0)</f>
        <v>3</v>
      </c>
      <c r="D93" s="2361">
        <f>'数据-取费表'!B43</f>
        <v>6.000000000000001E-3</v>
      </c>
      <c r="E93" s="3266" t="s">
        <v>1405</v>
      </c>
      <c r="F93" s="3267"/>
      <c r="G93" s="3267"/>
      <c r="H93" s="3276"/>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1423</v>
      </c>
      <c r="B94" s="162" t="s">
        <v>1424</v>
      </c>
      <c r="C94" s="2366">
        <f>ROUND((C87+C90+C91)*D94,0)</f>
        <v>0</v>
      </c>
      <c r="D94" s="2361">
        <v>0.2</v>
      </c>
      <c r="E94" s="3277" t="s">
        <v>1425</v>
      </c>
      <c r="F94" s="3278"/>
      <c r="G94" s="3278"/>
      <c r="H94" s="3279"/>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1406</v>
      </c>
      <c r="C95" s="2352">
        <f ca="1">ROUND(C85-C86,0)</f>
        <v>499</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1407</v>
      </c>
      <c r="C96" s="2362">
        <f ca="1">IF(C95&lt;=0,0,C95/C86)</f>
        <v>166.33333333333334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1408</v>
      </c>
      <c r="C97" s="2363">
        <f ca="1">ROUND(IF(C95&lt;=0,0,IF(C96&gt;=200%,C95*60%-C86*35%,IF(C96&gt;=100%,C95*50%-C86*15%,IF(C96&gt;=50%,C95*40%-C86*5%,IF(C96&lt;50%,C95*30%,0))))),0)</f>
        <v>298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1426</v>
      </c>
      <c r="B99" s="645"/>
      <c r="C99" s="645"/>
      <c r="D99" s="645"/>
      <c r="E99" s="1464"/>
      <c r="F99" s="1464"/>
      <c r="G99" s="1464"/>
      <c r="H99" s="1465"/>
      <c r="I99" s="121"/>
    </row>
    <row r="100" spans="1:35" ht="18.75" customHeight="1">
      <c r="A100" s="3250" t="s">
        <v>1427</v>
      </c>
      <c r="B100" s="3251"/>
      <c r="C100" s="3251"/>
      <c r="D100" s="3268"/>
      <c r="E100" s="3251" t="s">
        <v>1428</v>
      </c>
      <c r="F100" s="3251"/>
      <c r="G100" s="3251"/>
      <c r="H100" s="3268"/>
      <c r="I100" s="121"/>
    </row>
    <row r="101" spans="1:35" ht="18.75" customHeight="1">
      <c r="A101" s="3329" t="s">
        <v>1429</v>
      </c>
      <c r="B101" s="3330"/>
      <c r="C101" s="2369" t="str">
        <f>C4</f>
        <v>比较法-办公</v>
      </c>
      <c r="D101" s="2370" t="str">
        <f>D4</f>
        <v>收益法 (元)</v>
      </c>
      <c r="E101" s="3343" t="s">
        <v>1430</v>
      </c>
      <c r="F101" s="3300"/>
      <c r="G101" s="1685" t="s">
        <v>1431</v>
      </c>
      <c r="H101" s="2379">
        <f ca="1">H118</f>
        <v>527</v>
      </c>
      <c r="I101" s="121"/>
    </row>
    <row r="102" spans="1:35" ht="18.75" customHeight="1">
      <c r="A102" s="3302" t="s">
        <v>1432</v>
      </c>
      <c r="B102" s="2368" t="s">
        <v>1431</v>
      </c>
      <c r="C102" s="2369">
        <f ca="1">IF(D32="楼面单价",ROUND(C19,0),C19)</f>
        <v>604.78530000000001</v>
      </c>
      <c r="D102" s="2370">
        <f ca="1">IF(D32="楼面单价",ROUND(D19,0),D19)</f>
        <v>410.08359999999999</v>
      </c>
      <c r="E102" s="3343"/>
      <c r="F102" s="3300"/>
      <c r="G102" s="1685" t="s">
        <v>1433</v>
      </c>
      <c r="H102" s="2339">
        <f ca="1">I118</f>
        <v>48585</v>
      </c>
      <c r="I102" s="121"/>
    </row>
    <row r="103" spans="1:35" ht="42.75" customHeight="1">
      <c r="A103" s="3302"/>
      <c r="B103" s="2368" t="s">
        <v>1433</v>
      </c>
      <c r="C103" s="2371">
        <f ca="1">C20</f>
        <v>55756</v>
      </c>
      <c r="D103" s="2372">
        <f ca="1">D20</f>
        <v>37806</v>
      </c>
      <c r="E103" s="3337" t="s">
        <v>1434</v>
      </c>
      <c r="F103" s="3338"/>
      <c r="G103" s="1686" t="s">
        <v>1435</v>
      </c>
      <c r="H103" s="2379">
        <f>IF(D36="正常操作",H104+H105+H106,H105+H106)</f>
        <v>0</v>
      </c>
      <c r="I103" s="121"/>
    </row>
    <row r="104" spans="1:35" ht="18.75" customHeight="1">
      <c r="A104" s="3302" t="s">
        <v>1436</v>
      </c>
      <c r="B104" s="2373" t="s">
        <v>1431</v>
      </c>
      <c r="C104" s="2374">
        <f ca="1">H118</f>
        <v>527</v>
      </c>
      <c r="D104" s="2375"/>
      <c r="E104" s="1553" t="s">
        <v>1437</v>
      </c>
      <c r="F104" s="1546"/>
      <c r="G104" s="1686" t="s">
        <v>1435</v>
      </c>
      <c r="H104" s="2380">
        <f>IF(D36="同一抵押权人同一抵押物续贷",C36&amp;"（续贷，未扣减，详见特别提示）",C36)</f>
        <v>0</v>
      </c>
      <c r="I104" s="121"/>
    </row>
    <row r="105" spans="1:35" ht="18.75" customHeight="1" thickBot="1">
      <c r="A105" s="3303"/>
      <c r="B105" s="2376" t="s">
        <v>1433</v>
      </c>
      <c r="C105" s="2377">
        <f ca="1">I118</f>
        <v>48585</v>
      </c>
      <c r="D105" s="2378"/>
      <c r="E105" s="1553" t="s">
        <v>1438</v>
      </c>
      <c r="F105" s="1546"/>
      <c r="G105" s="1686" t="s">
        <v>1435</v>
      </c>
      <c r="H105" s="2381">
        <f>C37</f>
        <v>0</v>
      </c>
      <c r="I105" s="121"/>
    </row>
    <row r="106" spans="1:35" ht="18.75" customHeight="1">
      <c r="A106" s="645" t="s">
        <v>1439</v>
      </c>
      <c r="B106" s="645"/>
      <c r="C106" s="645"/>
      <c r="D106" s="645"/>
      <c r="E106" s="1687" t="s">
        <v>1440</v>
      </c>
      <c r="F106" s="1546"/>
      <c r="G106" s="1686" t="s">
        <v>1435</v>
      </c>
      <c r="H106" s="2381">
        <f>C38</f>
        <v>0</v>
      </c>
      <c r="I106" s="121"/>
    </row>
    <row r="107" spans="1:35" ht="18.75" customHeight="1">
      <c r="A107" s="121"/>
      <c r="B107" s="121"/>
      <c r="C107" s="121"/>
      <c r="D107" s="121"/>
      <c r="E107" s="3299" t="str">
        <f>IF(项目基本情况!E8="已注销","——","3.房地产抵押价值")</f>
        <v>3.房地产抵押价值</v>
      </c>
      <c r="F107" s="3300"/>
      <c r="G107" s="1685" t="s">
        <v>1431</v>
      </c>
      <c r="H107" s="2379">
        <f ca="1">IF(E107="——","——",H101-H103)</f>
        <v>527</v>
      </c>
      <c r="I107" s="121"/>
    </row>
    <row r="108" spans="1:35" ht="18.75" customHeight="1">
      <c r="A108" s="121"/>
      <c r="B108" s="121"/>
      <c r="C108" s="121"/>
      <c r="D108" s="121"/>
      <c r="E108" s="3299"/>
      <c r="F108" s="3300"/>
      <c r="G108" s="1685" t="s">
        <v>1433</v>
      </c>
      <c r="H108" s="2339">
        <f ca="1">IF(H107=H101,H102,ROUND(H107*10000/'数据-汇总表'!E3,0))</f>
        <v>48585</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5" t="s">
        <v>1431</v>
      </c>
      <c r="H109" s="2382" t="str">
        <f>IF(E109="——","——",H101-H105-H106)</f>
        <v>——</v>
      </c>
      <c r="I109" s="121"/>
    </row>
    <row r="110" spans="1:35" ht="18.75" customHeight="1">
      <c r="A110" s="121"/>
      <c r="B110" s="121"/>
      <c r="C110" s="121"/>
      <c r="D110" s="121"/>
      <c r="E110" s="3299"/>
      <c r="F110" s="3300"/>
      <c r="G110" s="1685" t="s">
        <v>1433</v>
      </c>
      <c r="H110" s="2339"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5" t="s">
        <v>1431</v>
      </c>
      <c r="H111" s="2379" t="str">
        <f>IF(E111="——","——",N59)</f>
        <v>——</v>
      </c>
      <c r="I111" s="121"/>
    </row>
    <row r="112" spans="1:35" ht="18.75" customHeight="1" thickBot="1">
      <c r="A112" s="121"/>
      <c r="B112" s="121"/>
      <c r="C112" s="121"/>
      <c r="D112" s="121"/>
      <c r="E112" s="3332"/>
      <c r="F112" s="3333"/>
      <c r="G112" s="1688" t="s">
        <v>1433</v>
      </c>
      <c r="H112" s="2383" t="str">
        <f>IF(E111="——","——",N61)</f>
        <v>——</v>
      </c>
      <c r="I112" s="121"/>
    </row>
    <row r="113" spans="1:27" ht="18.75" customHeight="1">
      <c r="A113" s="121"/>
      <c r="B113" s="121"/>
      <c r="C113" s="121"/>
      <c r="D113" s="121"/>
      <c r="E113" s="3304" t="s">
        <v>1439</v>
      </c>
      <c r="F113" s="3304"/>
      <c r="G113" s="3304"/>
      <c r="H113" s="3304"/>
      <c r="I113" s="121"/>
    </row>
    <row r="114" spans="1:27" ht="3.75" customHeight="1">
      <c r="A114" s="645"/>
      <c r="B114" s="645"/>
      <c r="C114" s="645"/>
      <c r="D114" s="645"/>
      <c r="E114" s="1669"/>
      <c r="F114" s="1669"/>
      <c r="G114" s="1669"/>
      <c r="H114" s="1669"/>
      <c r="I114" s="645"/>
    </row>
    <row r="115" spans="1:27" ht="18.75" customHeight="1">
      <c r="A115" s="3314" t="s">
        <v>1441</v>
      </c>
      <c r="B115" s="3315"/>
      <c r="C115" s="3315"/>
      <c r="D115" s="3315"/>
      <c r="E115" s="3315"/>
      <c r="F115" s="3315"/>
      <c r="G115" s="3315"/>
      <c r="H115" s="3315"/>
      <c r="I115" s="3316"/>
    </row>
    <row r="116" spans="1:27" ht="27" customHeight="1">
      <c r="A116" s="3270" t="s">
        <v>1442</v>
      </c>
      <c r="B116" s="3305" t="s">
        <v>1443</v>
      </c>
      <c r="C116" s="3305" t="s">
        <v>1444</v>
      </c>
      <c r="D116" s="3318" t="s">
        <v>1445</v>
      </c>
      <c r="E116" s="3319"/>
      <c r="F116" s="3313" t="s">
        <v>1446</v>
      </c>
      <c r="G116" s="3313"/>
      <c r="H116" s="3270" t="s">
        <v>1447</v>
      </c>
      <c r="I116" s="3270"/>
    </row>
    <row r="117" spans="1:27" ht="18.75" customHeight="1">
      <c r="A117" s="3270"/>
      <c r="B117" s="3306"/>
      <c r="C117" s="3306"/>
      <c r="D117" s="2148" t="s">
        <v>1448</v>
      </c>
      <c r="E117" s="2148" t="s">
        <v>1449</v>
      </c>
      <c r="F117" s="2148" t="s">
        <v>1448</v>
      </c>
      <c r="G117" s="2148" t="s">
        <v>1450</v>
      </c>
      <c r="H117" s="2148" t="s">
        <v>1448</v>
      </c>
      <c r="I117" s="2148" t="s">
        <v>1450</v>
      </c>
    </row>
    <row r="118" spans="1:27" ht="24.75" customHeight="1">
      <c r="A118" s="2384" t="str">
        <f>项目基本情况!S2</f>
        <v>北京市房地产</v>
      </c>
      <c r="B118" s="2148">
        <f>M18</f>
        <v>108.47</v>
      </c>
      <c r="C118" s="2148">
        <f>M19</f>
        <v>662.46</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527</v>
      </c>
      <c r="I118" s="2148">
        <f ca="1">ROUND(IF(D32="楼面单价",C32,H118*10000/B118),0)</f>
        <v>48585</v>
      </c>
    </row>
    <row r="119" spans="1:27" ht="18.75" customHeight="1">
      <c r="A119" s="3270" t="s">
        <v>1451</v>
      </c>
      <c r="B119" s="3270"/>
      <c r="C119" s="3270"/>
      <c r="D119" s="3310" t="e">
        <f ca="1">NUMBERSTRING(INT(D118*10000),2)&amp;"元整"</f>
        <v>#REF!</v>
      </c>
      <c r="E119" s="3312"/>
      <c r="F119" s="3310" t="e">
        <f ca="1">NUMBERSTRING(INT(F118*10000),2)&amp;"元整"</f>
        <v>#REF!</v>
      </c>
      <c r="G119" s="3312"/>
      <c r="H119" s="3310" t="str">
        <f ca="1">NUMBERSTRING(INT(H118*10000),2)&amp;"元整"</f>
        <v>伍佰贰拾柒万元整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0" t="s">
        <v>1451</v>
      </c>
      <c r="B121" s="3311"/>
      <c r="C121" s="3312"/>
      <c r="D121" s="3310" t="str">
        <f>IF(D120=0,"零元整",NUMBERSTRING(INT(D120*10000),2)&amp;"元整")</f>
        <v>零元整</v>
      </c>
      <c r="E121" s="3311"/>
      <c r="F121" s="3311"/>
      <c r="G121" s="3311"/>
      <c r="H121" s="3311"/>
      <c r="I121" s="3312"/>
      <c r="AA121" s="683"/>
    </row>
    <row r="122" spans="1:27" ht="18.75" customHeight="1">
      <c r="A122" s="3301" t="str">
        <f>IF(项目基本情况!B9="房地产市场价值","",MID(E107,3,LEN(E107)-2))</f>
        <v>房地产抵押价值</v>
      </c>
      <c r="B122" s="3301"/>
      <c r="C122" s="3301"/>
      <c r="D122" s="3334">
        <f ca="1">H107</f>
        <v>527</v>
      </c>
      <c r="E122" s="3335"/>
      <c r="F122" s="3335"/>
      <c r="G122" s="3335"/>
      <c r="H122" s="3335"/>
      <c r="I122" s="3336"/>
      <c r="AA122" s="683"/>
    </row>
    <row r="123" spans="1:27" ht="18.75" customHeight="1">
      <c r="A123" s="3270" t="s">
        <v>1451</v>
      </c>
      <c r="B123" s="3270"/>
      <c r="C123" s="3270"/>
      <c r="D123" s="3310" t="str">
        <f ca="1">NUMBERSTRING(INT(D122*10000),2)&amp;"元整"</f>
        <v>伍佰贰拾柒万元整</v>
      </c>
      <c r="E123" s="3311"/>
      <c r="F123" s="3311"/>
      <c r="G123" s="3311"/>
      <c r="H123" s="3311"/>
      <c r="I123" s="3312"/>
      <c r="AA123" s="683"/>
    </row>
    <row r="124" spans="1:27" ht="18.75" customHeight="1">
      <c r="A124" s="3301" t="str">
        <f>IF(项目基本情况!B9="房地产市场价值","",MID(E109,3,LEN(E109)-2))</f>
        <v/>
      </c>
      <c r="B124" s="3301"/>
      <c r="C124" s="3301"/>
      <c r="D124" s="3334" t="str">
        <f>H109</f>
        <v>——</v>
      </c>
      <c r="E124" s="3335"/>
      <c r="F124" s="3335"/>
      <c r="G124" s="3335"/>
      <c r="H124" s="3335"/>
      <c r="I124" s="3336"/>
      <c r="AA124" s="683"/>
    </row>
    <row r="125" spans="1:27" ht="18.75" customHeight="1">
      <c r="A125" s="3270" t="s">
        <v>1451</v>
      </c>
      <c r="B125" s="3270"/>
      <c r="C125" s="3270"/>
      <c r="D125" s="3310" t="e">
        <f>NUMBERSTRING(INT(D124*10000),2)&amp;"元整"</f>
        <v>#VALUE!</v>
      </c>
      <c r="E125" s="3311"/>
      <c r="F125" s="3311"/>
      <c r="G125" s="3311"/>
      <c r="H125" s="3311"/>
      <c r="I125" s="3312"/>
      <c r="AA125" s="683"/>
    </row>
    <row r="126" spans="1:27" ht="18.75" customHeight="1">
      <c r="A126" s="3301" t="str">
        <f>IF(项目基本情况!B9="房地产市场价值","",MID(E111,3,LEN(E111)-2))</f>
        <v/>
      </c>
      <c r="B126" s="3301"/>
      <c r="C126" s="3301"/>
      <c r="D126" s="3334" t="str">
        <f>H111</f>
        <v>——</v>
      </c>
      <c r="E126" s="3335"/>
      <c r="F126" s="3335"/>
      <c r="G126" s="3335"/>
      <c r="H126" s="3335"/>
      <c r="I126" s="3336"/>
      <c r="AA126" s="683"/>
    </row>
    <row r="127" spans="1:27" ht="18.75" customHeight="1">
      <c r="A127" s="3270" t="s">
        <v>1451</v>
      </c>
      <c r="B127" s="3270"/>
      <c r="C127" s="3270"/>
      <c r="D127" s="3310" t="e">
        <f>NUMBERSTRING(INT(D126*10000),2)&amp;"元整"</f>
        <v>#VALUE!</v>
      </c>
      <c r="E127" s="3311"/>
      <c r="F127" s="3311"/>
      <c r="G127" s="3311"/>
      <c r="H127" s="3311"/>
      <c r="I127" s="3312"/>
      <c r="AA127" s="683"/>
    </row>
    <row r="128" spans="1:27" ht="21.75" customHeight="1">
      <c r="A128" s="3317" t="s">
        <v>1452</v>
      </c>
      <c r="B128" s="3317"/>
      <c r="C128" s="3317"/>
      <c r="D128" s="3317"/>
      <c r="E128" s="3317"/>
      <c r="F128" s="3317"/>
      <c r="G128" s="3317"/>
      <c r="H128" s="3317"/>
      <c r="I128" s="3317"/>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2"/>
      <c r="C1" s="190"/>
      <c r="D1" s="190"/>
      <c r="E1" s="190"/>
      <c r="F1" s="190"/>
      <c r="G1" s="1061">
        <f>MATCH(B1,'数据-取费表'!A6:A16,0)+5</f>
        <v>8</v>
      </c>
    </row>
    <row r="2" spans="1:9" s="192" customFormat="1" ht="18" customHeight="1">
      <c r="A2" s="193" t="s">
        <v>1461</v>
      </c>
      <c r="B2" s="194">
        <f ca="1">IF(D2="——",C52,C52-E2)</f>
        <v>233</v>
      </c>
      <c r="C2" s="191" t="s">
        <v>1462</v>
      </c>
      <c r="D2" s="1709" t="s">
        <v>43</v>
      </c>
      <c r="E2" s="1088" t="e">
        <f ca="1">SUMIF(INDIRECT("'"&amp;G2&amp;"'"&amp;"!A:A"),"承租人权益价值",INDIRECT("'"&amp;G2&amp;"'"&amp;"!c:c"))</f>
        <v>#REF!</v>
      </c>
      <c r="F2" s="1710" t="s">
        <v>1462</v>
      </c>
      <c r="G2" s="1711"/>
    </row>
    <row r="3" spans="1:9" s="192" customFormat="1" ht="18" customHeight="1" thickBot="1">
      <c r="A3" s="195" t="s">
        <v>1463</v>
      </c>
      <c r="B3" s="196">
        <f ca="1">ROUND(B2*10000/(IF(B1="",'数据-汇总表'!E3,INDIRECT("'数据-取费表'!k"&amp;$G$1))),0)</f>
        <v>5954</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C6+C7+C8</f>
        <v>0</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IF(G8="已包含在土地购买价格中","0",IF(B1="",'数据-取费表'!B29,IF(G9="全部缴纳",C9+C10,H9)))</f>
        <v>0</v>
      </c>
      <c r="D8" s="214"/>
      <c r="E8" s="212"/>
      <c r="F8" s="213"/>
      <c r="G8" s="1712"/>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0</v>
      </c>
      <c r="F9" s="213"/>
      <c r="G9" s="1713"/>
      <c r="H9" s="1069"/>
      <c r="I9" s="1714" t="s">
        <v>1478</v>
      </c>
    </row>
    <row r="10" spans="1:9" s="206" customFormat="1" ht="13.5" customHeight="1">
      <c r="A10" s="732" t="s">
        <v>356</v>
      </c>
      <c r="B10" s="216" t="s">
        <v>1479</v>
      </c>
      <c r="C10" s="217">
        <f ca="1">ROUND(D10*E10/10000,0)</f>
        <v>0</v>
      </c>
      <c r="D10" s="794">
        <f ca="1">IF(B1="",'数据-汇总表'!E6,IF(INDIRECT("'数据-取费表'!c"&amp;$G$1)="住宅",INDIRECT("'数据-取费表'!s"&amp;$G$1),INDIRECT("'数据-取费表'!k"&amp;$G$1)+INDIRECT("'数据-取费表'!s"&amp;$G$1)))</f>
        <v>391.32000000000005</v>
      </c>
      <c r="E10" s="217">
        <f>'数据-取费表'!B28</f>
        <v>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8</v>
      </c>
      <c r="D19" s="204">
        <f ca="1">D9+D10</f>
        <v>391.32000000000005</v>
      </c>
      <c r="E19" s="203">
        <f>'数据-取费表'!B31</f>
        <v>200</v>
      </c>
      <c r="F19" s="223"/>
      <c r="G19" s="1712"/>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1</v>
      </c>
      <c r="D22" s="227">
        <f ca="1">C26</f>
        <v>1E-3</v>
      </c>
      <c r="E22" s="228" t="s">
        <v>1497</v>
      </c>
      <c r="F22" s="229">
        <f ca="1">'数据-取费表'!B40</f>
        <v>4.1499999999999995E-2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1</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1E-3</v>
      </c>
      <c r="D26" s="230"/>
      <c r="E26" s="233"/>
      <c r="F26" s="231"/>
      <c r="G26" s="235"/>
    </row>
    <row r="27" spans="1:7" s="206" customFormat="1" ht="24.75">
      <c r="A27" s="247" t="s">
        <v>1511</v>
      </c>
      <c r="B27" s="236" t="s">
        <v>1512</v>
      </c>
      <c r="C27" s="237">
        <f ca="1">C28</f>
        <v>2</v>
      </c>
      <c r="D27" s="227">
        <f ca="1">C29</f>
        <v>3.8E-3</v>
      </c>
      <c r="E27" s="228" t="s">
        <v>1513</v>
      </c>
      <c r="F27" s="238">
        <f ca="1">IF(B1="",'数据-取费表'!Q16,INDIRECT("'数据-取费表'!q"&amp;$G$1))</f>
        <v>0.19</v>
      </c>
      <c r="G27" s="239" t="s">
        <v>1514</v>
      </c>
    </row>
    <row r="28" spans="1:7" s="206" customFormat="1" ht="13.5" customHeight="1">
      <c r="A28" s="733" t="s">
        <v>346</v>
      </c>
      <c r="B28" s="240" t="s">
        <v>1515</v>
      </c>
      <c r="C28" s="241">
        <f ca="1">ROUND((C5+C19+C20)*F27*'数据-取费表'!B21/'数据-取费表'!B20,0)</f>
        <v>2</v>
      </c>
      <c r="D28" s="227"/>
      <c r="E28" s="228"/>
      <c r="F28" s="238"/>
      <c r="G28" s="239"/>
    </row>
    <row r="29" spans="1:7" s="206" customFormat="1" ht="13.5" customHeight="1">
      <c r="A29" s="733" t="s">
        <v>347</v>
      </c>
      <c r="B29" s="240" t="s">
        <v>1516</v>
      </c>
      <c r="C29" s="230">
        <f ca="1">ROUND(C21*F27*'数据-取费表'!B21/'数据-取费表'!B20,4)</f>
        <v>3.8E-3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12</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197</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177</v>
      </c>
      <c r="D34" s="209"/>
      <c r="E34" s="212"/>
      <c r="F34" s="249">
        <f ca="1">IF('数据-取费表'!B24=0,1,IF(B1="",'数据-取费表'!N16,INDIRECT("'数据-取费表'!n"&amp;$G$1)))</f>
        <v>1</v>
      </c>
      <c r="G34" s="211" t="s">
        <v>1525</v>
      </c>
    </row>
    <row r="35" spans="1:7" ht="13.5" customHeight="1">
      <c r="A35" s="733" t="s">
        <v>351</v>
      </c>
      <c r="B35" s="207" t="s">
        <v>1526</v>
      </c>
      <c r="C35" s="212">
        <f ca="1">ROUND(C34*F35,0)</f>
        <v>9</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8</v>
      </c>
      <c r="D37" s="209">
        <f ca="1">D19</f>
        <v>391.32000000000005</v>
      </c>
      <c r="E37" s="241">
        <f>'数据-取费表'!B35</f>
        <v>200</v>
      </c>
      <c r="F37" s="251"/>
      <c r="G37" s="253" t="s">
        <v>1531</v>
      </c>
    </row>
    <row r="38" spans="1:7" ht="13.5" customHeight="1">
      <c r="A38" s="733" t="s">
        <v>354</v>
      </c>
      <c r="B38" s="207" t="s">
        <v>1532</v>
      </c>
      <c r="C38" s="212">
        <f ca="1">ROUND(C34*F38,0)</f>
        <v>3</v>
      </c>
      <c r="D38" s="212"/>
      <c r="E38" s="212"/>
      <c r="F38" s="251">
        <f>'数据-取费表'!B36</f>
        <v>1.4999999999999999E-2</v>
      </c>
      <c r="G38" s="211" t="s">
        <v>1527</v>
      </c>
    </row>
    <row r="39" spans="1:7" s="206" customFormat="1" ht="13.5" customHeight="1">
      <c r="A39" s="247" t="s">
        <v>1533</v>
      </c>
      <c r="B39" s="202" t="s">
        <v>1534</v>
      </c>
      <c r="C39" s="224">
        <f ca="1">ROUND(C33*F20,0)</f>
        <v>4</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v>
      </c>
      <c r="D41" s="227">
        <f ca="1">C44</f>
        <v>1E-3</v>
      </c>
      <c r="E41" s="228" t="s">
        <v>1538</v>
      </c>
      <c r="F41" s="229">
        <f ca="1">F22</f>
        <v>4.1499999999999995E-2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10</v>
      </c>
      <c r="D42" s="230"/>
      <c r="E42" s="230"/>
      <c r="F42" s="231"/>
      <c r="G42" s="3350" t="s">
        <v>1543</v>
      </c>
    </row>
    <row r="43" spans="1:7" ht="13.5" customHeight="1">
      <c r="A43" s="733" t="s">
        <v>347</v>
      </c>
      <c r="B43" s="207" t="s">
        <v>1544</v>
      </c>
      <c r="C43" s="230">
        <f ca="1">ROUND(IF('数据-取费表'!B22&lt;=1,C39*F22*'数据-取费表'!B21/2,C39*(POWER((1+F22),'数据-取费表'!B21/2)-1)),0)</f>
        <v>0</v>
      </c>
      <c r="D43" s="230"/>
      <c r="E43" s="230"/>
      <c r="F43" s="231"/>
      <c r="G43" s="3351"/>
    </row>
    <row r="44" spans="1:7" ht="13.5" customHeight="1">
      <c r="A44" s="733" t="s">
        <v>348</v>
      </c>
      <c r="B44" s="207" t="s">
        <v>1545</v>
      </c>
      <c r="C44" s="230">
        <f ca="1">ROUND(IF('数据-取费表'!B22&lt;=1,C40*F22*'数据-取费表'!B21/2,C40*(POWER((1+F22),'数据-取费表'!B21/2)-1)),4)</f>
        <v>1E-3</v>
      </c>
      <c r="D44" s="230"/>
      <c r="E44" s="230"/>
      <c r="F44" s="231"/>
      <c r="G44" s="3352"/>
    </row>
    <row r="45" spans="1:7" s="206" customFormat="1" ht="13.5" customHeight="1">
      <c r="A45" s="247" t="s">
        <v>1546</v>
      </c>
      <c r="B45" s="236" t="s">
        <v>1512</v>
      </c>
      <c r="C45" s="237">
        <f ca="1">C46</f>
        <v>38</v>
      </c>
      <c r="D45" s="227">
        <f ca="1">C47</f>
        <v>3.8E-3</v>
      </c>
      <c r="E45" s="228" t="s">
        <v>1538</v>
      </c>
      <c r="F45" s="238">
        <f ca="1">F27</f>
        <v>0.19</v>
      </c>
      <c r="G45" s="239" t="s">
        <v>1547</v>
      </c>
    </row>
    <row r="46" spans="1:7" s="206" customFormat="1" ht="13.5" customHeight="1">
      <c r="A46" s="733" t="s">
        <v>346</v>
      </c>
      <c r="B46" s="240" t="s">
        <v>1548</v>
      </c>
      <c r="C46" s="241">
        <f ca="1">ROUND((C33+C39)*F27,0)</f>
        <v>38</v>
      </c>
      <c r="D46" s="255"/>
      <c r="E46" s="228"/>
      <c r="F46" s="238"/>
      <c r="G46" s="239"/>
    </row>
    <row r="47" spans="1:7" s="206" customFormat="1" ht="13.5" customHeight="1">
      <c r="A47" s="733" t="s">
        <v>347</v>
      </c>
      <c r="B47" s="240" t="s">
        <v>1549</v>
      </c>
      <c r="C47" s="230">
        <f ca="1">ROUND(C40*F27,4)</f>
        <v>3.8E-3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270</v>
      </c>
      <c r="D49" s="224"/>
      <c r="E49" s="224"/>
      <c r="F49" s="256"/>
      <c r="G49" s="226" t="s">
        <v>1553</v>
      </c>
    </row>
    <row r="50" spans="1:7" s="250" customFormat="1" ht="24">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221</v>
      </c>
      <c r="D51" s="224"/>
      <c r="E51" s="224"/>
      <c r="F51" s="256"/>
      <c r="G51" s="226" t="s">
        <v>1559</v>
      </c>
    </row>
    <row r="52" spans="1:7" s="200" customFormat="1" ht="16.5" thickBot="1">
      <c r="A52" s="257" t="s">
        <v>1560</v>
      </c>
      <c r="B52" s="258"/>
      <c r="C52" s="259">
        <f ca="1">C31+C51</f>
        <v>233</v>
      </c>
      <c r="D52" s="258"/>
      <c r="E52" s="258"/>
      <c r="F52" s="258"/>
      <c r="G52" s="260"/>
    </row>
    <row r="55" spans="1:7" ht="15">
      <c r="B55" s="262" t="s">
        <v>1561</v>
      </c>
      <c r="C55" s="263"/>
    </row>
    <row r="56" spans="1:7">
      <c r="B56" s="265" t="s">
        <v>802</v>
      </c>
      <c r="C56" s="267">
        <f ca="1">1-C57</f>
        <v>5.2000000000000046E-2</v>
      </c>
    </row>
    <row r="57" spans="1:7">
      <c r="B57" s="265" t="s">
        <v>803</v>
      </c>
      <c r="C57" s="266">
        <f ca="1">ROUND(C51/C52,3)</f>
        <v>0.94799999999999995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2"/>
      <c r="C1" s="1715" t="s">
        <v>1562</v>
      </c>
      <c r="D1" s="190"/>
      <c r="E1" s="190"/>
      <c r="F1" s="190"/>
      <c r="G1" s="1061">
        <f>MATCH(B1,'数据-取费表'!A6:A16,0)+5</f>
        <v>8</v>
      </c>
      <c r="H1" s="997" t="str">
        <f>IF(ISERROR(FIND("住宅",B1)),"非住宅","住宅")</f>
        <v>非住宅</v>
      </c>
    </row>
    <row r="2" spans="1:8" s="192" customFormat="1" ht="18" customHeight="1">
      <c r="A2" s="193" t="s">
        <v>1461</v>
      </c>
      <c r="B2" s="3121">
        <f ca="1">ROUND(IF(D2="——",C52/10000,C52/10000-E2),4)</f>
        <v>232.45930000000001</v>
      </c>
      <c r="C2" s="191" t="s">
        <v>1462</v>
      </c>
      <c r="D2" s="1709" t="s">
        <v>43</v>
      </c>
      <c r="E2" s="1088" t="e">
        <f ca="1">SUMIF(INDIRECT("'"&amp;G2&amp;"'"&amp;"!A:A"),"承租人权益价值",INDIRECT("'"&amp;G2&amp;"'"&amp;"!c:c"))</f>
        <v>#REF!</v>
      </c>
      <c r="F2" s="1710" t="s">
        <v>1462</v>
      </c>
      <c r="G2" s="1711"/>
    </row>
    <row r="3" spans="1:8" s="192" customFormat="1" ht="18" customHeight="1" thickBot="1">
      <c r="A3" s="195" t="s">
        <v>1463</v>
      </c>
      <c r="B3" s="196">
        <f ca="1">ROUND(B2*10000/(IF(B1="",'数据-汇总表'!E3,INDIRECT("'数据-取费表'!k"&amp;$G$1))),0)</f>
        <v>5940</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0</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0</v>
      </c>
      <c r="D8" s="214"/>
      <c r="E8" s="212"/>
      <c r="F8" s="213"/>
      <c r="G8" s="1712"/>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1479</v>
      </c>
      <c r="C10" s="217">
        <f ca="1">ROUND(D10*E10,0)</f>
        <v>0</v>
      </c>
      <c r="D10" s="794">
        <f ca="1">IF(B1="",'数据-汇总表'!E6,IF(INDIRECT("'数据-取费表'!c"&amp;$G$1)="住宅",INDIRECT("'数据-取费表'!s"&amp;$G$1),INDIRECT("'数据-取费表'!k"&amp;$G$1)+INDIRECT("'数据-取费表'!s"&amp;$G$1)))</f>
        <v>391.32000000000005</v>
      </c>
      <c r="E10" s="217">
        <f>'数据-取费表'!B28</f>
        <v>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78264</v>
      </c>
      <c r="D19" s="204">
        <f ca="1">D9+D10</f>
        <v>391.32000000000005</v>
      </c>
      <c r="E19" s="203">
        <f>'数据-取费表'!B31</f>
        <v>200</v>
      </c>
      <c r="F19" s="223"/>
      <c r="G19" s="1712"/>
    </row>
    <row r="20" spans="1:7" s="206" customFormat="1" ht="13.5" customHeight="1">
      <c r="A20" s="247" t="s">
        <v>1573</v>
      </c>
      <c r="B20" s="202" t="s">
        <v>1574</v>
      </c>
      <c r="C20" s="224">
        <f ca="1">ROUND((C5+C19)*F20,0)</f>
        <v>1565</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8456</v>
      </c>
      <c r="D22" s="227">
        <f ca="1">C26</f>
        <v>1E-3</v>
      </c>
      <c r="E22" s="228" t="s">
        <v>1578</v>
      </c>
      <c r="F22" s="229">
        <f ca="1">'数据-取费表'!B40</f>
        <v>4.1499999999999995E-2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0</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8374</v>
      </c>
      <c r="D24" s="230"/>
      <c r="E24" s="230"/>
      <c r="F24" s="231"/>
      <c r="G24" s="232" t="s">
        <v>1585</v>
      </c>
    </row>
    <row r="25" spans="1:7" s="206" customFormat="1" ht="24">
      <c r="A25" s="733" t="s">
        <v>1475</v>
      </c>
      <c r="B25" s="207" t="s">
        <v>1586</v>
      </c>
      <c r="C25" s="230">
        <f ca="1">ROUND(IF('数据-取费表'!B22&lt;=1,C20*F22*'数据-取费表'!B22/2,C20*(POWER((1+F22),'数据-取费表'!B22/2)-1)),0)</f>
        <v>82</v>
      </c>
      <c r="D25" s="230"/>
      <c r="E25" s="233"/>
      <c r="F25" s="231"/>
      <c r="G25" s="234" t="s">
        <v>1587</v>
      </c>
    </row>
    <row r="26" spans="1:7" s="206" customFormat="1">
      <c r="A26" s="733" t="s">
        <v>350</v>
      </c>
      <c r="B26" s="207" t="s">
        <v>1510</v>
      </c>
      <c r="C26" s="230">
        <f ca="1">ROUND(IF('数据-取费表'!B22&lt;=1,F21*F22*'数据-取费表'!B22/2,F21*(POWER((1+F22),'数据-取费表'!B22/2)-1)),4)</f>
        <v>1E-3</v>
      </c>
      <c r="D26" s="230"/>
      <c r="E26" s="233"/>
      <c r="F26" s="231"/>
      <c r="G26" s="235"/>
    </row>
    <row r="27" spans="1:7" s="206" customFormat="1" ht="24.75">
      <c r="A27" s="247" t="s">
        <v>1511</v>
      </c>
      <c r="B27" s="236" t="s">
        <v>1512</v>
      </c>
      <c r="C27" s="237">
        <f ca="1">C28</f>
        <v>15168</v>
      </c>
      <c r="D27" s="227">
        <f ca="1">C29</f>
        <v>3.8E-3</v>
      </c>
      <c r="E27" s="228" t="s">
        <v>1513</v>
      </c>
      <c r="F27" s="238">
        <f ca="1">IF(B1="",'数据-取费表'!Q16,INDIRECT("'数据-取费表'!q"&amp;$G$1))</f>
        <v>0.19</v>
      </c>
      <c r="G27" s="239" t="s">
        <v>1514</v>
      </c>
    </row>
    <row r="28" spans="1:7" s="206" customFormat="1" ht="13.5" customHeight="1">
      <c r="A28" s="733" t="s">
        <v>346</v>
      </c>
      <c r="B28" s="240" t="s">
        <v>1515</v>
      </c>
      <c r="C28" s="241">
        <f ca="1">ROUND((C5+C19+C20)*F27,0)</f>
        <v>15168</v>
      </c>
      <c r="D28" s="227"/>
      <c r="E28" s="228"/>
      <c r="F28" s="238"/>
      <c r="G28" s="239"/>
    </row>
    <row r="29" spans="1:7" s="206" customFormat="1" ht="13.5" customHeight="1">
      <c r="A29" s="733" t="s">
        <v>347</v>
      </c>
      <c r="B29" s="240" t="s">
        <v>1516</v>
      </c>
      <c r="C29" s="230">
        <f ca="1">ROUND(C21*F27,4)</f>
        <v>3.8E-3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112217</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1963171</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1769866</v>
      </c>
      <c r="D34" s="209"/>
      <c r="E34" s="212"/>
      <c r="F34" s="249"/>
      <c r="G34" s="211"/>
    </row>
    <row r="35" spans="1:7" ht="13.5" customHeight="1">
      <c r="A35" s="733" t="s">
        <v>351</v>
      </c>
      <c r="B35" s="207" t="s">
        <v>1526</v>
      </c>
      <c r="C35" s="212">
        <f ca="1">ROUND(C34*F35,0)</f>
        <v>88493</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78264</v>
      </c>
      <c r="D37" s="209">
        <f ca="1">D19</f>
        <v>391.32000000000005</v>
      </c>
      <c r="E37" s="241">
        <f>'数据-取费表'!B35</f>
        <v>200</v>
      </c>
      <c r="F37" s="251"/>
      <c r="G37" s="253"/>
    </row>
    <row r="38" spans="1:7" ht="13.5" customHeight="1">
      <c r="A38" s="733" t="s">
        <v>354</v>
      </c>
      <c r="B38" s="207" t="s">
        <v>1532</v>
      </c>
      <c r="C38" s="212">
        <f ca="1">ROUND(C34*F38,0)</f>
        <v>26548</v>
      </c>
      <c r="D38" s="212"/>
      <c r="E38" s="212"/>
      <c r="F38" s="251">
        <f>'数据-取费表'!B36</f>
        <v>1.4999999999999999E-2</v>
      </c>
      <c r="G38" s="211" t="s">
        <v>1527</v>
      </c>
    </row>
    <row r="39" spans="1:7" s="206" customFormat="1" ht="13.5" customHeight="1">
      <c r="A39" s="247" t="s">
        <v>1533</v>
      </c>
      <c r="B39" s="202" t="s">
        <v>1534</v>
      </c>
      <c r="C39" s="224">
        <f ca="1">ROUND(C33*F20,0)</f>
        <v>39263</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104409</v>
      </c>
      <c r="D41" s="227">
        <f ca="1">C44</f>
        <v>1E-3</v>
      </c>
      <c r="E41" s="228" t="s">
        <v>1538</v>
      </c>
      <c r="F41" s="229">
        <f ca="1">F22</f>
        <v>4.1499999999999995E-2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102362</v>
      </c>
      <c r="D42" s="230"/>
      <c r="E42" s="230"/>
      <c r="F42" s="231"/>
      <c r="G42" s="3350" t="s">
        <v>1590</v>
      </c>
    </row>
    <row r="43" spans="1:7" ht="13.5" customHeight="1">
      <c r="A43" s="733" t="s">
        <v>347</v>
      </c>
      <c r="B43" s="207" t="s">
        <v>1544</v>
      </c>
      <c r="C43" s="230">
        <f ca="1">ROUND(IF('数据-取费表'!B22&lt;=1,C39*F22*'数据-取费表'!B20/2,C39*(POWER((1+F22),'数据-取费表'!B20/2)-1)),0)</f>
        <v>2047</v>
      </c>
      <c r="D43" s="230"/>
      <c r="E43" s="230"/>
      <c r="F43" s="231"/>
      <c r="G43" s="3351"/>
    </row>
    <row r="44" spans="1:7" ht="13.5" customHeight="1">
      <c r="A44" s="733" t="s">
        <v>348</v>
      </c>
      <c r="B44" s="207" t="s">
        <v>1545</v>
      </c>
      <c r="C44" s="230">
        <f ca="1">ROUND(IF('数据-取费表'!B22&lt;=1,C40*F22*'数据-取费表'!B20/2,C40*(POWER((1+F22),'数据-取费表'!B20/2)-1)),4)</f>
        <v>1E-3</v>
      </c>
      <c r="D44" s="230"/>
      <c r="E44" s="230"/>
      <c r="F44" s="231"/>
      <c r="G44" s="3352"/>
    </row>
    <row r="45" spans="1:7" s="206" customFormat="1" ht="13.5" customHeight="1">
      <c r="A45" s="247" t="s">
        <v>1546</v>
      </c>
      <c r="B45" s="236" t="s">
        <v>1512</v>
      </c>
      <c r="C45" s="237">
        <f ca="1">C46</f>
        <v>380462</v>
      </c>
      <c r="D45" s="227">
        <f ca="1">C47</f>
        <v>3.8E-3</v>
      </c>
      <c r="E45" s="228" t="s">
        <v>1538</v>
      </c>
      <c r="F45" s="238">
        <f ca="1">F27</f>
        <v>0.19</v>
      </c>
      <c r="G45" s="239" t="s">
        <v>1547</v>
      </c>
    </row>
    <row r="46" spans="1:7" s="206" customFormat="1" ht="13.5" customHeight="1">
      <c r="A46" s="733" t="s">
        <v>346</v>
      </c>
      <c r="B46" s="240" t="s">
        <v>1548</v>
      </c>
      <c r="C46" s="241">
        <f ca="1">ROUND((C33+C39)*F27,0)</f>
        <v>380462</v>
      </c>
      <c r="D46" s="255"/>
      <c r="E46" s="228"/>
      <c r="F46" s="238"/>
      <c r="G46" s="239"/>
    </row>
    <row r="47" spans="1:7" s="206" customFormat="1" ht="13.5" customHeight="1">
      <c r="A47" s="733" t="s">
        <v>347</v>
      </c>
      <c r="B47" s="240" t="s">
        <v>1549</v>
      </c>
      <c r="C47" s="230">
        <f ca="1">ROUND(C40*F27,4)</f>
        <v>3.8E-3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2698020</v>
      </c>
      <c r="D49" s="224"/>
      <c r="E49" s="224"/>
      <c r="F49" s="256"/>
      <c r="G49" s="226" t="s">
        <v>1553</v>
      </c>
    </row>
    <row r="50" spans="1:7" s="250" customFormat="1">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2212376</v>
      </c>
      <c r="D51" s="224"/>
      <c r="E51" s="224"/>
      <c r="F51" s="256"/>
      <c r="G51" s="226" t="s">
        <v>1559</v>
      </c>
    </row>
    <row r="52" spans="1:7" s="200" customFormat="1" ht="16.5" thickBot="1">
      <c r="A52" s="257" t="s">
        <v>1560</v>
      </c>
      <c r="B52" s="258"/>
      <c r="C52" s="259">
        <f ca="1">C31+C51</f>
        <v>2324593</v>
      </c>
      <c r="D52" s="258"/>
      <c r="E52" s="258"/>
      <c r="F52" s="258"/>
      <c r="G52" s="260"/>
    </row>
    <row r="55" spans="1:7" ht="15">
      <c r="B55" s="262" t="s">
        <v>1561</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6"/>
      <c r="F1" s="2566"/>
      <c r="G1" s="2447"/>
      <c r="H1" s="2566"/>
      <c r="I1" s="2566"/>
      <c r="J1" s="2566"/>
      <c r="K1" s="2567">
        <f>MATCH(C1,'数据-取费表'!A6:A16,0)+5</f>
        <v>8</v>
      </c>
    </row>
    <row r="2" spans="1:33" ht="18" customHeight="1">
      <c r="A2" s="193" t="s">
        <v>1461</v>
      </c>
      <c r="B2" s="196">
        <f ca="1">C32</f>
        <v>0</v>
      </c>
      <c r="C2" s="268" t="s">
        <v>1594</v>
      </c>
      <c r="D2" s="268"/>
      <c r="E2" s="2566"/>
      <c r="F2" s="2566"/>
      <c r="G2" s="2566"/>
      <c r="H2" s="2566"/>
      <c r="I2" s="2566"/>
      <c r="J2" s="2566"/>
      <c r="K2" s="2566"/>
    </row>
    <row r="3" spans="1:33" ht="18" customHeight="1" thickBot="1">
      <c r="A3" s="195" t="s">
        <v>1463</v>
      </c>
      <c r="B3" s="196">
        <f ca="1">ROUND(B2*10000/IF(C1="",'数据-汇总表'!E3,INDIRECT("'数据-取费表'!K"&amp;$K$1)),0)</f>
        <v>0</v>
      </c>
      <c r="C3" s="268" t="s">
        <v>1595</v>
      </c>
      <c r="D3" s="268"/>
      <c r="E3" s="2566"/>
      <c r="F3" s="2566"/>
      <c r="G3" s="2566"/>
      <c r="H3" s="2566"/>
      <c r="I3" s="2566"/>
      <c r="J3" s="2566"/>
      <c r="K3" s="2566"/>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391.32000000000005</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391.32000000000005</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v>
      </c>
      <c r="D18" s="795"/>
      <c r="E18" s="21"/>
      <c r="F18" s="755"/>
      <c r="G18" s="1718"/>
      <c r="H18" s="1105"/>
      <c r="I18" s="1719"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1626</v>
      </c>
      <c r="C20" s="21">
        <f ca="1">ROUND(D20*E20/10000,0)</f>
        <v>0</v>
      </c>
      <c r="D20" s="795">
        <f ca="1">IF(C1="",'数据-汇总表'!E6,IF(INDIRECT("'数据-取费表'!c"&amp;$K$1)="住宅",INDIRECT("'数据-取费表'!s"&amp;$K$1),INDIRECT("'数据-取费表'!k"&amp;$K$1)+INDIRECT("'数据-取费表'!s"&amp;$K$1)))</f>
        <v>391.32000000000005</v>
      </c>
      <c r="E20" s="21">
        <f>'数据-取费表'!B28</f>
        <v>0</v>
      </c>
      <c r="F20" s="755"/>
      <c r="G20" s="12"/>
      <c r="H20" s="760"/>
      <c r="I20" s="760"/>
      <c r="J20" s="760"/>
      <c r="K20" s="761"/>
    </row>
    <row r="21" spans="1:33" s="754" customFormat="1" ht="13.5" customHeight="1">
      <c r="A21" s="743" t="s">
        <v>357</v>
      </c>
      <c r="B21" s="764" t="s">
        <v>1627</v>
      </c>
      <c r="C21" s="765">
        <f ca="1">C16+C17+C18</f>
        <v>0</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1640</v>
      </c>
      <c r="B28" s="1721" t="s">
        <v>1641</v>
      </c>
      <c r="C28" s="279">
        <f ca="1">C30</f>
        <v>0</v>
      </c>
      <c r="D28" s="272">
        <f ca="1">C29</f>
        <v>0</v>
      </c>
      <c r="E28" s="274" t="s">
        <v>12</v>
      </c>
      <c r="F28" s="280">
        <f ca="1">IF(C1="",'数据-取费表'!Q16,INDIRECT("'数据-取费表'!q"&amp;$K$1))</f>
        <v>0.19</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2"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8">
        <f ca="1">J53</f>
        <v>0</v>
      </c>
      <c r="G1" s="1284">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8"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6">
        <f ca="1">C6+C10+C12</f>
        <v>0</v>
      </c>
      <c r="D5" s="1271" t="s">
        <v>693</v>
      </c>
      <c r="E5" s="1007"/>
      <c r="F5" s="1008"/>
      <c r="G5" s="1290"/>
      <c r="H5" s="291">
        <v>1</v>
      </c>
      <c r="I5" s="292" t="s">
        <v>692</v>
      </c>
      <c r="J5" s="1006">
        <f ca="1">J6+J10+J12</f>
        <v>0</v>
      </c>
      <c r="K5" s="1271" t="s">
        <v>693</v>
      </c>
      <c r="L5" s="1007"/>
      <c r="M5" s="1008"/>
    </row>
    <row r="6" spans="1:37" ht="18" customHeight="1">
      <c r="A6" s="1005" t="s">
        <v>398</v>
      </c>
      <c r="B6" s="3355" t="s">
        <v>694</v>
      </c>
      <c r="C6" s="1010">
        <f ca="1">ROUND(F6*F8*F7*(1-F9)/10000,0)</f>
        <v>0</v>
      </c>
      <c r="D6" s="147" t="s">
        <v>2104</v>
      </c>
      <c r="E6" s="294" t="s">
        <v>696</v>
      </c>
      <c r="F6" s="295">
        <f ca="1">INDIRECT("'数据-取费表'!u"&amp;$G$1)</f>
        <v>0</v>
      </c>
      <c r="G6" s="1290"/>
      <c r="H6" s="1005" t="s">
        <v>398</v>
      </c>
      <c r="I6" s="3355" t="s">
        <v>694</v>
      </c>
      <c r="J6" s="293">
        <f ca="1">ROUND(M6*M8*M7*(1-M9)/10000,0)</f>
        <v>0</v>
      </c>
      <c r="K6" s="147" t="s">
        <v>2103</v>
      </c>
      <c r="L6" s="294" t="s">
        <v>696</v>
      </c>
      <c r="M6" s="295">
        <f ca="1">INDIRECT("'数据-取费表'!z"&amp;$G$1)</f>
        <v>0</v>
      </c>
    </row>
    <row r="7" spans="1:37" ht="18" customHeight="1">
      <c r="A7" s="1009"/>
      <c r="B7" s="3356"/>
      <c r="C7" s="1011"/>
      <c r="D7" s="299"/>
      <c r="E7" s="1012" t="s">
        <v>697</v>
      </c>
      <c r="F7" s="295">
        <f ca="1">IF(INDIRECT("'数据-取费表'!ah"&amp;$G$1)="",INDIRECT("'数据-取费表'!k"&amp;$G$1),INDIRECT("'数据-取费表'!ah"&amp;$G$1))</f>
        <v>0</v>
      </c>
      <c r="G7" s="1290"/>
      <c r="H7" s="296"/>
      <c r="I7" s="3356"/>
      <c r="J7" s="298"/>
      <c r="K7" s="299"/>
      <c r="L7" s="294" t="s">
        <v>697</v>
      </c>
      <c r="M7" s="295">
        <f ca="1">F7</f>
        <v>0</v>
      </c>
    </row>
    <row r="8" spans="1:37" ht="18" customHeight="1">
      <c r="A8" s="296"/>
      <c r="B8" s="3356"/>
      <c r="C8" s="298"/>
      <c r="D8" s="299"/>
      <c r="E8" s="294" t="s">
        <v>698</v>
      </c>
      <c r="F8" s="295">
        <f ca="1">INDIRECT("'数据-取费表'!ai"&amp;$G$1)</f>
        <v>0</v>
      </c>
      <c r="G8" s="1290"/>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0"/>
      <c r="H9" s="296"/>
      <c r="I9" s="3357"/>
      <c r="J9" s="298"/>
      <c r="K9" s="299"/>
      <c r="L9" s="305" t="s">
        <v>699</v>
      </c>
      <c r="M9" s="306">
        <f ca="1">INDIRECT("'数据-取费表'!ab"&amp;$G$1)</f>
        <v>0</v>
      </c>
    </row>
    <row r="10" spans="1:37" ht="18" customHeight="1">
      <c r="A10" s="1005" t="s">
        <v>402</v>
      </c>
      <c r="B10" s="1272" t="s">
        <v>700</v>
      </c>
      <c r="C10" s="308">
        <f ca="1">ROUND(IF(F10="押一",C6/12*F11,IF(F10="押二",C6/12*2*F11,IF(F10="押三",C6/12*3*F11,C11*F11))),0)</f>
        <v>0</v>
      </c>
      <c r="D10" s="150" t="s">
        <v>2112</v>
      </c>
      <c r="E10" s="305" t="s">
        <v>701</v>
      </c>
      <c r="F10" s="1052"/>
      <c r="G10" s="1290"/>
      <c r="H10" s="1005" t="s">
        <v>402</v>
      </c>
      <c r="I10" s="1272" t="s">
        <v>700</v>
      </c>
      <c r="J10" s="293">
        <f ca="1">ROUND(IF(M10="押一",J6/12*M11,IF(M10="押二",J6/12*2*M11,IF(M10="押三",J6/12*3*M11,J11*M11))),0)</f>
        <v>0</v>
      </c>
      <c r="K10" s="150" t="s">
        <v>2111</v>
      </c>
      <c r="L10" s="305" t="s">
        <v>701</v>
      </c>
      <c r="M10" s="1052"/>
    </row>
    <row r="11" spans="1:37" ht="18" customHeight="1">
      <c r="A11" s="300"/>
      <c r="B11" s="1273" t="s">
        <v>679</v>
      </c>
      <c r="C11" s="904"/>
      <c r="D11" s="1274"/>
      <c r="E11" s="305" t="s">
        <v>702</v>
      </c>
      <c r="F11" s="306">
        <f ca="1">'数据-取费表'!B39</f>
        <v>1.4999999999999999E-2</v>
      </c>
      <c r="G11" s="1290"/>
      <c r="H11" s="1013"/>
      <c r="I11" s="1273" t="s">
        <v>679</v>
      </c>
      <c r="J11" s="904"/>
      <c r="K11" s="645"/>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4" t="s">
        <v>707</v>
      </c>
      <c r="C14" s="310">
        <f ca="1">INDIRECT("'数据-取费表'!m"&amp;$G$1)+INDIRECT("'数据-取费表'!t"&amp;$G$1)</f>
        <v>0</v>
      </c>
      <c r="D14" s="1255" t="s">
        <v>708</v>
      </c>
      <c r="E14" s="1253"/>
      <c r="F14" s="311"/>
      <c r="G14" s="1290"/>
      <c r="H14" s="927" t="s">
        <v>398</v>
      </c>
      <c r="I14" s="294" t="s">
        <v>709</v>
      </c>
      <c r="J14" s="21">
        <f ca="1">C29</f>
        <v>0</v>
      </c>
      <c r="K14" s="12"/>
      <c r="L14" s="758"/>
      <c r="M14" s="759"/>
    </row>
    <row r="15" spans="1:37" s="1302" customFormat="1" ht="18" customHeight="1" thickBot="1">
      <c r="A15" s="927" t="s">
        <v>399</v>
      </c>
      <c r="B15" s="294" t="s">
        <v>710</v>
      </c>
      <c r="C15" s="21">
        <f ca="1">ROUND(C14*F15,0)</f>
        <v>0</v>
      </c>
      <c r="D15" s="312" t="s">
        <v>711</v>
      </c>
      <c r="E15" s="312" t="s">
        <v>712</v>
      </c>
      <c r="F15" s="313">
        <f>'数据-取费表'!B33</f>
        <v>0.05</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5" t="s">
        <v>393</v>
      </c>
      <c r="I16" s="1016" t="s">
        <v>714</v>
      </c>
      <c r="J16" s="302">
        <f ca="1">ROUND(J17+J22+J23+J24,0)</f>
        <v>0</v>
      </c>
      <c r="K16" s="1023" t="s">
        <v>715</v>
      </c>
      <c r="L16" s="1024"/>
      <c r="M16" s="1008"/>
    </row>
    <row r="17" spans="1:37" s="1302" customFormat="1" ht="18" customHeight="1">
      <c r="A17" s="927" t="s">
        <v>681</v>
      </c>
      <c r="B17" s="294" t="s">
        <v>716</v>
      </c>
      <c r="C17" s="21">
        <f ca="1">ROUND(F17*(F43+INDIRECT("'数据-取费表'!S"&amp;$G$1))/10000,0)</f>
        <v>0</v>
      </c>
      <c r="D17" s="294" t="s">
        <v>717</v>
      </c>
      <c r="E17" s="294" t="s">
        <v>718</v>
      </c>
      <c r="F17" s="23">
        <f>'数据-取费表'!B35</f>
        <v>200</v>
      </c>
      <c r="G17" s="1301"/>
      <c r="H17" s="927"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1.4999999999999999E-2</v>
      </c>
      <c r="G18" s="1301"/>
      <c r="H18" s="927"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IF(K19="按租金收入计税",ROUND(J6*M19/(1+'数据-取费表'!C42),2),ROUND(C29*M19*0.7,2))</f>
        <v>0</v>
      </c>
      <c r="K19" s="1276" t="s">
        <v>3332</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0.02</v>
      </c>
      <c r="G20" s="1301"/>
      <c r="H20" s="927" t="s">
        <v>680</v>
      </c>
      <c r="I20" s="147" t="s">
        <v>730</v>
      </c>
      <c r="J20" s="22">
        <f ca="1">ROUND(M20*M21/10000,2)</f>
        <v>0</v>
      </c>
      <c r="K20" s="316" t="s">
        <v>731</v>
      </c>
      <c r="L20" s="294" t="s">
        <v>732</v>
      </c>
      <c r="M20" s="317">
        <f>'数据-取费表'!B52</f>
        <v>24</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ROUND(J14*M22,2)</f>
        <v>0</v>
      </c>
      <c r="K22" s="1254" t="s">
        <v>739</v>
      </c>
      <c r="L22" s="294" t="s">
        <v>712</v>
      </c>
      <c r="M22" s="320">
        <f ca="1">INDIRECT("'数据-取费表'!Ak"&amp;$G$1)</f>
        <v>0</v>
      </c>
    </row>
    <row r="23" spans="1:37" s="1302"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1"/>
      <c r="H23" s="927"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4.1499999999999995E-2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f ca="1">ROUND(C31+C36+C37+C38,0)</f>
        <v>0</v>
      </c>
      <c r="D30" s="1023" t="s">
        <v>715</v>
      </c>
      <c r="E30" s="1024"/>
      <c r="F30" s="1008"/>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ROUND(IF(AND(项目基本情况!B11="自然人",项目基本情况!B10="北京市"),C6*F31/(1+'数据-取费表'!C42),C32+C33+C34),2)</f>
        <v>0</v>
      </c>
      <c r="D31" s="1255" t="s">
        <v>720</v>
      </c>
      <c r="E31" s="1254" t="s">
        <v>770</v>
      </c>
      <c r="F31" s="2137" t="str">
        <f>IF(项目基本情况!B11="企业","——",IF(M47="住宅",IF(F6*F7*F8/12/(1+'数据-取费表'!F30)&gt;100000,4%,2.5%),IF(F6*F7*F8/12/(1+'数据-取费表'!F30)&gt;100000,12%,7%)))</f>
        <v>——</v>
      </c>
      <c r="G31" s="1290"/>
      <c r="H31" s="2568" t="s">
        <v>2301</v>
      </c>
      <c r="I31" s="1303"/>
      <c r="J31" s="1304"/>
      <c r="K31" s="121"/>
      <c r="L31" s="2470"/>
      <c r="M31" s="2471"/>
    </row>
    <row r="32" spans="1:37" ht="18" customHeight="1">
      <c r="A32" s="927" t="s">
        <v>397</v>
      </c>
      <c r="B32" s="294" t="s">
        <v>723</v>
      </c>
      <c r="C32" s="21">
        <f ca="1">IF(项目基本情况!B11="自然人","——",ROUND(C6*F32/(1+'数据-取费表'!C42),2))</f>
        <v>0</v>
      </c>
      <c r="D32" s="1254" t="s">
        <v>724</v>
      </c>
      <c r="E32" s="294" t="s">
        <v>712</v>
      </c>
      <c r="F32" s="322">
        <f>'数据-取费表'!B41</f>
        <v>5.6000000000000001E-2</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6" t="s">
        <v>3332</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 ca="1">IF(项目基本情况!B11="自然人","——",ROUND(F34*F35/10000,2))</f>
        <v>0</v>
      </c>
      <c r="D34" s="316" t="s">
        <v>731</v>
      </c>
      <c r="E34" s="294" t="s">
        <v>732</v>
      </c>
      <c r="F34" s="317">
        <f>'数据-取费表'!B52</f>
        <v>24</v>
      </c>
      <c r="G34" s="1290"/>
      <c r="H34" s="2469"/>
      <c r="I34" s="1303"/>
      <c r="J34" s="1304"/>
      <c r="K34" s="2474"/>
      <c r="L34" s="2475"/>
      <c r="M34" s="2475"/>
    </row>
    <row r="35" spans="1:18" ht="18" customHeight="1">
      <c r="A35" s="1039"/>
      <c r="B35" s="1037"/>
      <c r="C35" s="26"/>
      <c r="D35" s="319"/>
      <c r="E35" s="294" t="s">
        <v>736</v>
      </c>
      <c r="F35" s="295">
        <f ca="1">INDIRECT("'数据-取费表'!r"&amp;$G$1)</f>
        <v>0</v>
      </c>
      <c r="G35" s="1290"/>
      <c r="H35" s="2469"/>
      <c r="I35" s="1303"/>
      <c r="J35" s="1304"/>
      <c r="K35" s="2473"/>
      <c r="L35" s="2472"/>
      <c r="M35" s="2472"/>
    </row>
    <row r="36" spans="1:18" ht="18" customHeight="1">
      <c r="A36" s="1038" t="s">
        <v>402</v>
      </c>
      <c r="B36" s="294" t="s">
        <v>738</v>
      </c>
      <c r="C36" s="21">
        <f ca="1">ROUND(C29*F36,2)</f>
        <v>0</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f ca="1">ROUND(C13*F37,2)</f>
        <v>0</v>
      </c>
      <c r="D37" s="1254" t="s">
        <v>743</v>
      </c>
      <c r="E37" s="294" t="s">
        <v>744</v>
      </c>
      <c r="F37" s="321">
        <f ca="1">INDIRECT("'数据-取费表'!Al"&amp;$G$1)</f>
        <v>0</v>
      </c>
      <c r="G37" s="1290"/>
      <c r="H37" s="2472"/>
      <c r="I37" s="1303"/>
      <c r="J37" s="1304"/>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0"/>
      <c r="H38" s="2472"/>
      <c r="I38" s="1303"/>
      <c r="J38" s="1304"/>
      <c r="K38" s="2470"/>
      <c r="L38" s="2472"/>
      <c r="M38" s="2472"/>
    </row>
    <row r="39" spans="1:18" ht="24.6" customHeight="1" thickTop="1">
      <c r="A39" s="1015" t="s">
        <v>394</v>
      </c>
      <c r="B39" s="1030" t="s">
        <v>772</v>
      </c>
      <c r="C39" s="302">
        <f ca="1">C5-C30</f>
        <v>0</v>
      </c>
      <c r="D39" s="1031" t="s">
        <v>773</v>
      </c>
      <c r="E39" s="1032"/>
      <c r="F39" s="1033"/>
      <c r="G39" s="1290"/>
      <c r="H39" s="2472"/>
      <c r="I39" s="1303"/>
      <c r="J39" s="1304"/>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2"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2105</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8">
        <f ca="1">ROUND(IF(F53="押一",C49/12*F11,IF(F53="押二",C49/12*2*F11,IF(F53="押三",C49/12*3*F11,C54*F11))),0)</f>
        <v>0</v>
      </c>
      <c r="D53" s="150" t="s">
        <v>2111</v>
      </c>
      <c r="E53" s="305" t="s">
        <v>701</v>
      </c>
      <c r="F53" s="1052"/>
      <c r="I53" s="1342" t="s">
        <v>836</v>
      </c>
      <c r="J53" s="2004">
        <f ca="1">IF(M47="住宅",IF(D1="——",MAX(J51,L48),MAX(J51,L48-'数据-取费表'!B24)),IF(D1="——",MIN(J51,L48),MIN(J51,L48-'数据-取费表'!B24)))</f>
        <v>0</v>
      </c>
      <c r="K53" s="3353" t="s">
        <v>837</v>
      </c>
      <c r="L53" s="3354"/>
      <c r="O53" s="1323" t="s">
        <v>409</v>
      </c>
      <c r="P53" s="1324" t="s">
        <v>838</v>
      </c>
      <c r="Q53" s="1325" t="e">
        <f ca="1">Q47+Q48</f>
        <v>#DIV/0!</v>
      </c>
      <c r="R53" s="1325" t="s">
        <v>410</v>
      </c>
    </row>
    <row r="54" spans="1:18" s="1290" customFormat="1" ht="13.5" thickBot="1">
      <c r="A54" s="1079"/>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7" t="s">
        <v>393</v>
      </c>
      <c r="B58" s="903" t="s">
        <v>714</v>
      </c>
      <c r="C58" s="308">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3332</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0</v>
      </c>
      <c r="D62" s="910" t="s">
        <v>786</v>
      </c>
      <c r="E62" s="895" t="s">
        <v>787</v>
      </c>
      <c r="F62" s="317">
        <f t="shared" si="0"/>
        <v>24</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8"/>
      <c r="B63" s="901"/>
      <c r="C63" s="26"/>
      <c r="D63" s="911"/>
      <c r="E63" s="895" t="s">
        <v>788</v>
      </c>
      <c r="F63" s="295">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20">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1">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4">
        <f t="shared" ca="1" si="0"/>
        <v>0</v>
      </c>
      <c r="O66" s="1323" t="s">
        <v>404</v>
      </c>
      <c r="P66" s="1324" t="s">
        <v>846</v>
      </c>
      <c r="Q66" s="1325" t="e">
        <f ca="1">L60</f>
        <v>#DIV/0!</v>
      </c>
      <c r="R66" s="1325" t="s">
        <v>869</v>
      </c>
    </row>
    <row r="67" spans="1:18" s="1290" customFormat="1" ht="16.5" thickBot="1">
      <c r="A67" s="902" t="s">
        <v>394</v>
      </c>
      <c r="B67" s="912" t="s">
        <v>752</v>
      </c>
      <c r="C67" s="308">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3" t="e">
        <f ca="1">ROUND(C67*(1-((1+F70)/(1+F68))^F69)/(F68-F70),0)</f>
        <v>#DIV/0!</v>
      </c>
      <c r="D68" s="910" t="s">
        <v>758</v>
      </c>
      <c r="E68" s="895" t="s">
        <v>759</v>
      </c>
      <c r="F68" s="304">
        <f ca="1">F40</f>
        <v>0</v>
      </c>
      <c r="O68" s="1332" t="s">
        <v>406</v>
      </c>
      <c r="P68" s="1369" t="s">
        <v>871</v>
      </c>
      <c r="Q68" s="1325">
        <f ca="1">ROUND(Q69-Q70*Q71,0)</f>
        <v>0</v>
      </c>
      <c r="R68" s="1325" t="s">
        <v>414</v>
      </c>
    </row>
    <row r="69" spans="1:18" s="1290" customFormat="1" ht="13.5" thickBot="1">
      <c r="A69" s="896"/>
      <c r="B69" s="897"/>
      <c r="C69" s="298"/>
      <c r="D69" s="915" t="s">
        <v>762</v>
      </c>
      <c r="E69" s="895" t="s">
        <v>763</v>
      </c>
      <c r="F69" s="324">
        <f ca="1">F41</f>
        <v>0</v>
      </c>
      <c r="O69" s="1332" t="s">
        <v>411</v>
      </c>
      <c r="P69" s="1369" t="s">
        <v>872</v>
      </c>
      <c r="Q69" s="1325">
        <f ca="1">C39</f>
        <v>0</v>
      </c>
      <c r="R69" s="1325" t="s">
        <v>818</v>
      </c>
    </row>
    <row r="70" spans="1:18" s="1290" customFormat="1" ht="13.5" thickBot="1">
      <c r="A70" s="899"/>
      <c r="B70" s="900"/>
      <c r="C70" s="302"/>
      <c r="D70" s="911"/>
      <c r="E70" s="895" t="s">
        <v>766</v>
      </c>
      <c r="F70" s="990"/>
      <c r="O70" s="1332" t="s">
        <v>412</v>
      </c>
      <c r="P70" s="1369" t="s">
        <v>873</v>
      </c>
      <c r="Q70" s="1325">
        <f ca="1">C13</f>
        <v>0</v>
      </c>
      <c r="R70" s="1325" t="s">
        <v>818</v>
      </c>
    </row>
    <row r="71" spans="1:18" s="1290" customFormat="1" ht="13.5" thickBot="1">
      <c r="A71" s="916" t="s">
        <v>396</v>
      </c>
      <c r="B71" s="917" t="s">
        <v>776</v>
      </c>
      <c r="C71" s="327" t="e">
        <f ca="1">ROUND(C68*10000/F71,0)</f>
        <v>#DIV/0!</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R50" sqref="R50:W50"/>
    </sheetView>
  </sheetViews>
  <sheetFormatPr defaultColWidth="9" defaultRowHeight="14.25"/>
  <cols>
    <col min="1" max="1" width="10.5" style="347" customWidth="1"/>
    <col min="2" max="2" width="15.75" style="347" customWidth="1"/>
    <col min="3" max="3" width="21.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6" t="s">
        <v>1809</v>
      </c>
      <c r="C1" s="1140" t="s">
        <v>1661</v>
      </c>
      <c r="D1" s="1141" t="s">
        <v>21</v>
      </c>
      <c r="E1" s="3130" t="s">
        <v>3517</v>
      </c>
      <c r="F1" s="1733" t="s">
        <v>3518</v>
      </c>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f>IF(E1="项目模式",IF(C2="——",ROUND(C50*D3/10000,0),ROUND(C50*D3/10000,0)-D2),IF(E1="单套模式",IF(C2="——",ROUND(C50*D3/10000,4),ROUND(C50*D3/10000,4)-D2)))</f>
        <v>604.78530000000001</v>
      </c>
      <c r="C2" s="1735" t="s">
        <v>43</v>
      </c>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55756</v>
      </c>
      <c r="C3" s="344" t="s">
        <v>1767</v>
      </c>
      <c r="D3" s="343">
        <f>IF(D1="",'数据-汇总表'!E3,SUMIF('数据-汇总表'!$C19:$C33,D1,'数据-汇总表'!$E19:$E33))</f>
        <v>108.47</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1768</v>
      </c>
      <c r="B4" s="346"/>
      <c r="C4" s="3376" t="s">
        <v>1769</v>
      </c>
      <c r="D4" s="3377"/>
      <c r="E4" s="3378" t="s">
        <v>1770</v>
      </c>
      <c r="F4" s="3379"/>
      <c r="G4" s="3376" t="s">
        <v>1771</v>
      </c>
      <c r="H4" s="3377"/>
      <c r="I4" s="3376" t="s">
        <v>1772</v>
      </c>
      <c r="J4" s="3377"/>
      <c r="K4" s="537" t="s">
        <v>1773</v>
      </c>
      <c r="L4" s="2485"/>
      <c r="M4" s="2486"/>
      <c r="N4" s="2486"/>
      <c r="O4" s="2486"/>
      <c r="P4" s="3380" t="s">
        <v>1774</v>
      </c>
      <c r="Q4" s="3381"/>
      <c r="R4" s="3386" t="s">
        <v>1770</v>
      </c>
      <c r="S4" s="3387"/>
      <c r="T4" s="3386" t="s">
        <v>1771</v>
      </c>
      <c r="U4" s="3387"/>
      <c r="V4" s="3392" t="s">
        <v>1772</v>
      </c>
      <c r="W4" s="3392"/>
      <c r="X4" s="1807"/>
      <c r="Y4" s="3386" t="s">
        <v>1774</v>
      </c>
      <c r="Z4" s="3387"/>
      <c r="AA4" s="3405" t="s">
        <v>1770</v>
      </c>
      <c r="AB4" s="3405" t="s">
        <v>1771</v>
      </c>
      <c r="AC4" s="3373" t="s">
        <v>1772</v>
      </c>
    </row>
    <row r="5" spans="1:29" ht="15">
      <c r="A5" s="348"/>
      <c r="B5" s="349"/>
      <c r="C5" s="3401" t="s">
        <v>1672</v>
      </c>
      <c r="D5" s="3402"/>
      <c r="E5" s="3395" t="s">
        <v>3513</v>
      </c>
      <c r="F5" s="3396"/>
      <c r="G5" s="3395" t="s">
        <v>3513</v>
      </c>
      <c r="H5" s="3396"/>
      <c r="I5" s="3395" t="s">
        <v>3513</v>
      </c>
      <c r="J5" s="3396"/>
      <c r="K5" s="537"/>
      <c r="L5" s="2485"/>
      <c r="M5" s="2486"/>
      <c r="N5" s="2486"/>
      <c r="O5" s="2486"/>
      <c r="P5" s="3382"/>
      <c r="Q5" s="3383"/>
      <c r="R5" s="3388"/>
      <c r="S5" s="3389"/>
      <c r="T5" s="3388"/>
      <c r="U5" s="3389"/>
      <c r="V5" s="3360"/>
      <c r="W5" s="3360"/>
      <c r="X5" s="1263"/>
      <c r="Y5" s="3388"/>
      <c r="Z5" s="3389"/>
      <c r="AA5" s="3406"/>
      <c r="AB5" s="3406"/>
      <c r="AC5" s="3374"/>
    </row>
    <row r="6" spans="1:29" ht="15.75" thickBot="1">
      <c r="A6" s="350"/>
      <c r="B6" s="351"/>
      <c r="C6" s="3393" t="s">
        <v>1676</v>
      </c>
      <c r="D6" s="3394"/>
      <c r="E6" s="3403" t="s">
        <v>1676</v>
      </c>
      <c r="F6" s="3404"/>
      <c r="G6" s="3393" t="s">
        <v>1676</v>
      </c>
      <c r="H6" s="3394"/>
      <c r="I6" s="3393" t="s">
        <v>1676</v>
      </c>
      <c r="J6" s="3394"/>
      <c r="K6" s="537" t="s">
        <v>1677</v>
      </c>
      <c r="L6" s="2485"/>
      <c r="M6" s="2486"/>
      <c r="N6" s="2486"/>
      <c r="O6" s="2486"/>
      <c r="P6" s="3384"/>
      <c r="Q6" s="3385"/>
      <c r="R6" s="3388"/>
      <c r="S6" s="3389"/>
      <c r="T6" s="3390"/>
      <c r="U6" s="3391"/>
      <c r="V6" s="3360"/>
      <c r="W6" s="3360"/>
      <c r="X6" s="1263"/>
      <c r="Y6" s="3390"/>
      <c r="Z6" s="3391"/>
      <c r="AA6" s="3407"/>
      <c r="AB6" s="3407"/>
      <c r="AC6" s="3375"/>
    </row>
    <row r="7" spans="1:29" s="102" customFormat="1" ht="15.75" thickBot="1">
      <c r="A7" s="352" t="s">
        <v>1678</v>
      </c>
      <c r="B7" s="353"/>
      <c r="C7" s="354">
        <f>'数据-取费表'!B2</f>
        <v>45065</v>
      </c>
      <c r="D7" s="355">
        <v>100</v>
      </c>
      <c r="E7" s="356">
        <v>45047</v>
      </c>
      <c r="F7" s="357">
        <f>SUMIF(59:59,YEAR(E7)&amp;"-"&amp;MONTH(E7),60:60)</f>
        <v>100</v>
      </c>
      <c r="G7" s="356">
        <v>45047</v>
      </c>
      <c r="H7" s="355">
        <f>SUMIF(59:59,YEAR(G7)&amp;"-"&amp;MONTH(G7),60:60)</f>
        <v>100</v>
      </c>
      <c r="I7" s="356">
        <v>45047</v>
      </c>
      <c r="J7" s="355">
        <f>SUMIF(59:59,YEAR(I7)&amp;"-"&amp;MONTH(I7),60:60)</f>
        <v>100</v>
      </c>
      <c r="K7" s="38"/>
      <c r="L7" s="2487"/>
      <c r="M7" s="2438"/>
      <c r="N7" s="2438"/>
      <c r="O7" s="2438"/>
      <c r="P7" s="3397" t="s">
        <v>1679</v>
      </c>
      <c r="Q7" s="3400"/>
      <c r="R7" s="663" t="s">
        <v>14</v>
      </c>
      <c r="S7" s="664">
        <f t="shared" ref="S7:S15" si="0">F7</f>
        <v>100</v>
      </c>
      <c r="T7" s="663" t="s">
        <v>14</v>
      </c>
      <c r="U7" s="664">
        <f t="shared" ref="U7:U15" si="1">H7</f>
        <v>100</v>
      </c>
      <c r="V7" s="663" t="s">
        <v>14</v>
      </c>
      <c r="W7" s="664">
        <f t="shared" ref="W7:W15" si="2">J7</f>
        <v>100</v>
      </c>
      <c r="X7" s="665"/>
      <c r="Y7" s="3399" t="s">
        <v>1679</v>
      </c>
      <c r="Z7" s="3398"/>
      <c r="AA7" s="50">
        <f>D7/F7</f>
        <v>1</v>
      </c>
      <c r="AB7" s="50">
        <f>D7/H7</f>
        <v>1</v>
      </c>
      <c r="AC7" s="801">
        <f>D7/J7</f>
        <v>1</v>
      </c>
    </row>
    <row r="8" spans="1:29" s="102" customFormat="1" ht="15.75" thickBot="1">
      <c r="A8" s="352" t="s">
        <v>1680</v>
      </c>
      <c r="B8" s="353"/>
      <c r="C8" s="358" t="s">
        <v>3514</v>
      </c>
      <c r="D8" s="355">
        <v>100</v>
      </c>
      <c r="E8" s="358" t="s">
        <v>3515</v>
      </c>
      <c r="F8" s="357">
        <f>SUMIF(62:62,E8,63:63)-SUMIF(62:62,C8,63:63)+100</f>
        <v>101</v>
      </c>
      <c r="G8" s="358" t="s">
        <v>3515</v>
      </c>
      <c r="H8" s="355">
        <f>SUMIF(62:62,G8,63:63)-SUMIF(62:62,C8,63:63)+100</f>
        <v>101</v>
      </c>
      <c r="I8" s="358" t="s">
        <v>3515</v>
      </c>
      <c r="J8" s="355">
        <f>SUMIF(62:62,I8,63:63)-SUMIF(62:62,C8,63:63)+100</f>
        <v>101</v>
      </c>
      <c r="K8" s="38"/>
      <c r="L8" s="2487"/>
      <c r="M8" s="2438"/>
      <c r="N8" s="2438"/>
      <c r="O8" s="2438"/>
      <c r="P8" s="3397" t="s">
        <v>1682</v>
      </c>
      <c r="Q8" s="3398"/>
      <c r="R8" s="663" t="s">
        <v>14</v>
      </c>
      <c r="S8" s="664">
        <f t="shared" si="0"/>
        <v>101</v>
      </c>
      <c r="T8" s="663" t="s">
        <v>14</v>
      </c>
      <c r="U8" s="664">
        <f t="shared" si="1"/>
        <v>101</v>
      </c>
      <c r="V8" s="663" t="s">
        <v>14</v>
      </c>
      <c r="W8" s="664">
        <f t="shared" si="2"/>
        <v>101</v>
      </c>
      <c r="X8" s="665"/>
      <c r="Y8" s="3399" t="s">
        <v>1682</v>
      </c>
      <c r="Z8" s="3398"/>
      <c r="AA8" s="50">
        <f t="shared" ref="AA8:AA47" si="3">D8/F8</f>
        <v>0.99009900990099009</v>
      </c>
      <c r="AB8" s="50">
        <f t="shared" ref="AB8:AB47" si="4">D8/H8</f>
        <v>0.99009900990099009</v>
      </c>
      <c r="AC8" s="801">
        <f t="shared" ref="AC8:AC47" si="5">D8/J8</f>
        <v>0.99009900990099009</v>
      </c>
    </row>
    <row r="9" spans="1:29" s="102" customFormat="1">
      <c r="A9" s="359" t="s">
        <v>1683</v>
      </c>
      <c r="B9" s="60" t="s">
        <v>1684</v>
      </c>
      <c r="C9" s="3145" t="s">
        <v>3519</v>
      </c>
      <c r="D9" s="59">
        <v>100</v>
      </c>
      <c r="E9" s="362" t="s">
        <v>21</v>
      </c>
      <c r="F9" s="59">
        <f>SUMIF(64:64,E9,65:65)-SUMIF(64:64,C9,65:65)+100</f>
        <v>100</v>
      </c>
      <c r="G9" s="362" t="s">
        <v>21</v>
      </c>
      <c r="H9" s="59">
        <f>SUMIF(64:64,G9,65:65)-SUMIF(64:64,C9,65:65)+100</f>
        <v>100</v>
      </c>
      <c r="I9" s="362" t="s">
        <v>21</v>
      </c>
      <c r="J9" s="59">
        <f>SUMIF(64:64,I9,65:65)-SUMIF(64:64,C9,65:65)+100</f>
        <v>100</v>
      </c>
      <c r="K9" s="38"/>
      <c r="L9" s="2487"/>
      <c r="M9" s="2438"/>
      <c r="N9" s="2438"/>
      <c r="O9" s="2438"/>
      <c r="P9" s="3358" t="s">
        <v>1685</v>
      </c>
      <c r="Q9" s="530" t="str">
        <f t="shared" ref="Q9:Q15" si="6">B9</f>
        <v>用途</v>
      </c>
      <c r="R9" s="663" t="s">
        <v>14</v>
      </c>
      <c r="S9" s="664">
        <f t="shared" si="0"/>
        <v>100</v>
      </c>
      <c r="T9" s="663" t="s">
        <v>14</v>
      </c>
      <c r="U9" s="664">
        <f t="shared" si="1"/>
        <v>100</v>
      </c>
      <c r="V9" s="663" t="s">
        <v>14</v>
      </c>
      <c r="W9" s="664">
        <f t="shared" si="2"/>
        <v>100</v>
      </c>
      <c r="X9" s="665"/>
      <c r="Y9" s="3257" t="s">
        <v>1686</v>
      </c>
      <c r="Z9" s="50" t="str">
        <f t="shared" ref="Z9:Z15" si="7">Q9</f>
        <v>用途</v>
      </c>
      <c r="AA9" s="50">
        <f t="shared" si="3"/>
        <v>1</v>
      </c>
      <c r="AB9" s="50">
        <f t="shared" si="4"/>
        <v>1</v>
      </c>
      <c r="AC9" s="801">
        <f t="shared" si="5"/>
        <v>1</v>
      </c>
    </row>
    <row r="10" spans="1:29" s="366" customFormat="1" ht="27">
      <c r="A10" s="363"/>
      <c r="B10" s="364" t="s">
        <v>1687</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58"/>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58"/>
      <c r="Q11" s="530" t="str">
        <f t="shared" si="6"/>
        <v>容积率</v>
      </c>
      <c r="R11" s="663" t="s">
        <v>14</v>
      </c>
      <c r="S11" s="664">
        <f t="shared" si="0"/>
        <v>100</v>
      </c>
      <c r="T11" s="663" t="s">
        <v>14</v>
      </c>
      <c r="U11" s="664">
        <f t="shared" si="1"/>
        <v>100</v>
      </c>
      <c r="V11" s="663" t="s">
        <v>14</v>
      </c>
      <c r="W11" s="664">
        <f t="shared" si="2"/>
        <v>100</v>
      </c>
      <c r="X11" s="665"/>
      <c r="Y11" s="325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58"/>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58"/>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801">
        <f t="shared" si="5"/>
        <v>1</v>
      </c>
    </row>
    <row r="14" spans="1:29" ht="15.75" thickBot="1">
      <c r="A14" s="375"/>
      <c r="B14" s="1747">
        <v>111</v>
      </c>
      <c r="C14" s="376"/>
      <c r="D14" s="377">
        <v>100</v>
      </c>
      <c r="E14" s="552"/>
      <c r="F14" s="377">
        <f>SUMIF(75:75,E14,76:76)-SUMIF(75:75,C14,76:76)+100</f>
        <v>100</v>
      </c>
      <c r="G14" s="1808"/>
      <c r="H14" s="377">
        <f>SUMIF(75:75,G14,76:76)-SUMIF(75:75,C14,76:76)+100</f>
        <v>100</v>
      </c>
      <c r="I14" s="371"/>
      <c r="J14" s="377">
        <f>SUMIF(75:75,I14,76:76)-SUMIF(75:75,C14,76:76)+100</f>
        <v>100</v>
      </c>
      <c r="K14" s="539"/>
      <c r="L14" s="2491"/>
      <c r="M14" s="2486"/>
      <c r="N14" s="2486"/>
      <c r="O14" s="2486"/>
      <c r="P14" s="3358"/>
      <c r="Q14" s="530">
        <f t="shared" si="6"/>
        <v>111</v>
      </c>
      <c r="R14" s="663" t="s">
        <v>14</v>
      </c>
      <c r="S14" s="664">
        <f t="shared" si="0"/>
        <v>100</v>
      </c>
      <c r="T14" s="663" t="s">
        <v>14</v>
      </c>
      <c r="U14" s="664">
        <f t="shared" si="1"/>
        <v>100</v>
      </c>
      <c r="V14" s="663" t="s">
        <v>14</v>
      </c>
      <c r="W14" s="664">
        <f t="shared" si="2"/>
        <v>100</v>
      </c>
      <c r="X14" s="665"/>
      <c r="Y14" s="3257"/>
      <c r="Z14" s="50">
        <f t="shared" si="7"/>
        <v>111</v>
      </c>
      <c r="AA14" s="50">
        <f t="shared" si="3"/>
        <v>1</v>
      </c>
      <c r="AB14" s="50">
        <f t="shared" si="4"/>
        <v>1</v>
      </c>
      <c r="AC14" s="801">
        <f t="shared" si="5"/>
        <v>1</v>
      </c>
    </row>
    <row r="15" spans="1:29" ht="71.25" customHeight="1">
      <c r="A15" s="379" t="s">
        <v>1689</v>
      </c>
      <c r="B15" s="553" t="s">
        <v>1810</v>
      </c>
      <c r="C15" s="1809" t="str">
        <f>估价对象房地状况!C5</f>
        <v>估价对象周边办公楼项目较多，有金泰鑫侨大厦、阳光大厦、德宝大厦，入驻率较高，办公集聚程度较好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64" t="s">
        <v>1690</v>
      </c>
      <c r="Q15" s="1261" t="str">
        <f t="shared" si="6"/>
        <v>办公集聚程度</v>
      </c>
      <c r="R15" s="666" t="s">
        <v>14</v>
      </c>
      <c r="S15" s="667">
        <f t="shared" si="0"/>
        <v>100</v>
      </c>
      <c r="T15" s="666" t="s">
        <v>14</v>
      </c>
      <c r="U15" s="667">
        <f t="shared" si="1"/>
        <v>100</v>
      </c>
      <c r="V15" s="666" t="s">
        <v>14</v>
      </c>
      <c r="W15" s="667">
        <f t="shared" si="2"/>
        <v>100</v>
      </c>
      <c r="X15" s="1263"/>
      <c r="Y15" s="3366" t="s">
        <v>1690</v>
      </c>
      <c r="Z15" s="1262" t="str">
        <f t="shared" si="7"/>
        <v>办公集聚程度</v>
      </c>
      <c r="AA15" s="1262">
        <f t="shared" si="3"/>
        <v>1</v>
      </c>
      <c r="AB15" s="1262">
        <f t="shared" si="4"/>
        <v>1</v>
      </c>
      <c r="AC15" s="1810">
        <f t="shared" si="5"/>
        <v>1</v>
      </c>
    </row>
    <row r="16" spans="1:29" ht="15">
      <c r="A16" s="367"/>
      <c r="B16" s="554"/>
      <c r="C16" s="1756" t="s">
        <v>3520</v>
      </c>
      <c r="D16" s="387"/>
      <c r="E16" s="1756" t="s">
        <v>3520</v>
      </c>
      <c r="F16" s="387"/>
      <c r="G16" s="1756" t="s">
        <v>3520</v>
      </c>
      <c r="H16" s="389"/>
      <c r="I16" s="1756" t="s">
        <v>3520</v>
      </c>
      <c r="J16" s="387"/>
      <c r="K16" s="541"/>
      <c r="L16" s="2491"/>
      <c r="M16" s="2486"/>
      <c r="N16" s="2486"/>
      <c r="O16" s="2486"/>
      <c r="P16" s="3365"/>
      <c r="Q16" s="1261"/>
      <c r="R16" s="666"/>
      <c r="S16" s="667"/>
      <c r="T16" s="666"/>
      <c r="U16" s="667"/>
      <c r="V16" s="666"/>
      <c r="W16" s="667"/>
      <c r="X16" s="1263"/>
      <c r="Y16" s="3367"/>
      <c r="Z16" s="1262"/>
      <c r="AA16" s="1262">
        <v>1</v>
      </c>
      <c r="AB16" s="1262">
        <v>1</v>
      </c>
      <c r="AC16" s="1810">
        <v>1</v>
      </c>
    </row>
    <row r="17" spans="1:29" ht="92.25" customHeight="1">
      <c r="A17" s="367"/>
      <c r="B17" s="555" t="s">
        <v>1258</v>
      </c>
      <c r="C17" s="1811" t="str">
        <f>估价对象房地状况!C6</f>
        <v>估价对象周边道路状况较好、有7、16、105等公交线路及地铁2、4号线经过，公共交通通达情况较好、停车便捷程度一般，综合评价交通便捷度较好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65"/>
      <c r="Q17" s="1261" t="str">
        <f>B17</f>
        <v>交通便捷度</v>
      </c>
      <c r="R17" s="666" t="s">
        <v>14</v>
      </c>
      <c r="S17" s="667">
        <f>F17</f>
        <v>100</v>
      </c>
      <c r="T17" s="666" t="s">
        <v>14</v>
      </c>
      <c r="U17" s="667">
        <f>H17</f>
        <v>100</v>
      </c>
      <c r="V17" s="666" t="s">
        <v>14</v>
      </c>
      <c r="W17" s="667">
        <f>J17</f>
        <v>100</v>
      </c>
      <c r="X17" s="1263"/>
      <c r="Y17" s="3367"/>
      <c r="Z17" s="1262" t="str">
        <f>Q17</f>
        <v>交通便捷度</v>
      </c>
      <c r="AA17" s="1262">
        <f t="shared" si="3"/>
        <v>1</v>
      </c>
      <c r="AB17" s="1262">
        <f t="shared" si="4"/>
        <v>1</v>
      </c>
      <c r="AC17" s="1810">
        <f t="shared" si="5"/>
        <v>1</v>
      </c>
    </row>
    <row r="18" spans="1:29" ht="15">
      <c r="A18" s="367"/>
      <c r="B18" s="401"/>
      <c r="C18" s="1812" t="s">
        <v>3520</v>
      </c>
      <c r="D18" s="389"/>
      <c r="E18" s="1812" t="s">
        <v>3520</v>
      </c>
      <c r="F18" s="389"/>
      <c r="G18" s="1812" t="s">
        <v>3520</v>
      </c>
      <c r="H18" s="387"/>
      <c r="I18" s="1812" t="s">
        <v>3520</v>
      </c>
      <c r="J18" s="387"/>
      <c r="K18" s="541"/>
      <c r="L18" s="2491"/>
      <c r="M18" s="2486"/>
      <c r="N18" s="2486"/>
      <c r="O18" s="2486"/>
      <c r="P18" s="3365"/>
      <c r="Q18" s="1261"/>
      <c r="R18" s="666"/>
      <c r="S18" s="667"/>
      <c r="T18" s="666"/>
      <c r="U18" s="667"/>
      <c r="V18" s="666"/>
      <c r="W18" s="667"/>
      <c r="X18" s="1263"/>
      <c r="Y18" s="3367"/>
      <c r="Z18" s="1262"/>
      <c r="AA18" s="1262">
        <v>1</v>
      </c>
      <c r="AB18" s="1262">
        <v>1</v>
      </c>
      <c r="AC18" s="1810">
        <v>1</v>
      </c>
    </row>
    <row r="19" spans="1:29" ht="28.5">
      <c r="A19" s="367"/>
      <c r="B19" s="555" t="s">
        <v>1811</v>
      </c>
      <c r="C19" s="1811"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65"/>
      <c r="Q19" s="1261" t="str">
        <f>B19</f>
        <v>公共配套设施</v>
      </c>
      <c r="R19" s="666" t="s">
        <v>14</v>
      </c>
      <c r="S19" s="667">
        <f>F19</f>
        <v>100</v>
      </c>
      <c r="T19" s="666" t="s">
        <v>14</v>
      </c>
      <c r="U19" s="667">
        <f>H19</f>
        <v>100</v>
      </c>
      <c r="V19" s="666" t="s">
        <v>14</v>
      </c>
      <c r="W19" s="667">
        <f>J19</f>
        <v>100</v>
      </c>
      <c r="X19" s="1263"/>
      <c r="Y19" s="3367"/>
      <c r="Z19" s="1262" t="str">
        <f>Q19</f>
        <v>公共配套设施</v>
      </c>
      <c r="AA19" s="1262">
        <f t="shared" si="3"/>
        <v>1</v>
      </c>
      <c r="AB19" s="1262">
        <f t="shared" si="4"/>
        <v>1</v>
      </c>
      <c r="AC19" s="1810">
        <f t="shared" si="5"/>
        <v>1</v>
      </c>
    </row>
    <row r="20" spans="1:29" ht="15">
      <c r="A20" s="367"/>
      <c r="B20" s="401"/>
      <c r="C20" s="1756" t="s">
        <v>3520</v>
      </c>
      <c r="D20" s="387"/>
      <c r="E20" s="1756" t="s">
        <v>3520</v>
      </c>
      <c r="F20" s="387"/>
      <c r="G20" s="1756" t="s">
        <v>3520</v>
      </c>
      <c r="H20" s="387"/>
      <c r="I20" s="1756" t="s">
        <v>3520</v>
      </c>
      <c r="J20" s="387"/>
      <c r="K20" s="541"/>
      <c r="L20" s="2491"/>
      <c r="M20" s="2486"/>
      <c r="N20" s="2486"/>
      <c r="O20" s="2486"/>
      <c r="P20" s="3365"/>
      <c r="Q20" s="1261"/>
      <c r="R20" s="666"/>
      <c r="S20" s="667"/>
      <c r="T20" s="666"/>
      <c r="U20" s="667"/>
      <c r="V20" s="666"/>
      <c r="W20" s="667"/>
      <c r="X20" s="1263"/>
      <c r="Y20" s="3367"/>
      <c r="Z20" s="1262"/>
      <c r="AA20" s="1262">
        <v>1</v>
      </c>
      <c r="AB20" s="1262">
        <v>1</v>
      </c>
      <c r="AC20" s="1810">
        <v>1</v>
      </c>
    </row>
    <row r="21" spans="1:29" ht="28.5">
      <c r="A21" s="367"/>
      <c r="B21" s="556" t="s">
        <v>1812</v>
      </c>
      <c r="C21" s="1811"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65"/>
      <c r="Q21" s="1261" t="str">
        <f>B21</f>
        <v>基础设施水平</v>
      </c>
      <c r="R21" s="666" t="s">
        <v>14</v>
      </c>
      <c r="S21" s="667">
        <f>F21</f>
        <v>100</v>
      </c>
      <c r="T21" s="666" t="s">
        <v>14</v>
      </c>
      <c r="U21" s="667">
        <f>H21</f>
        <v>100</v>
      </c>
      <c r="V21" s="666" t="s">
        <v>14</v>
      </c>
      <c r="W21" s="667">
        <f>J21</f>
        <v>100</v>
      </c>
      <c r="X21" s="1263"/>
      <c r="Y21" s="3367"/>
      <c r="Z21" s="1262" t="str">
        <f>Q21</f>
        <v>基础设施水平</v>
      </c>
      <c r="AA21" s="1262">
        <f>D21/F21</f>
        <v>1</v>
      </c>
      <c r="AB21" s="1262">
        <f>D21/H21</f>
        <v>1</v>
      </c>
      <c r="AC21" s="1810">
        <f>D21/J21</f>
        <v>1</v>
      </c>
    </row>
    <row r="22" spans="1:29" ht="15">
      <c r="A22" s="367"/>
      <c r="B22" s="556"/>
      <c r="C22" s="1812" t="s">
        <v>3521</v>
      </c>
      <c r="D22" s="387"/>
      <c r="E22" s="1812" t="s">
        <v>3521</v>
      </c>
      <c r="F22" s="387"/>
      <c r="G22" s="1812" t="s">
        <v>3521</v>
      </c>
      <c r="H22" s="387"/>
      <c r="I22" s="1812" t="s">
        <v>3521</v>
      </c>
      <c r="J22" s="387"/>
      <c r="K22" s="1063"/>
      <c r="L22" s="2491"/>
      <c r="M22" s="2486"/>
      <c r="N22" s="2486"/>
      <c r="O22" s="2486"/>
      <c r="P22" s="3365"/>
      <c r="Q22" s="1261"/>
      <c r="R22" s="666"/>
      <c r="S22" s="667"/>
      <c r="T22" s="666"/>
      <c r="U22" s="667"/>
      <c r="V22" s="666"/>
      <c r="W22" s="667"/>
      <c r="X22" s="1263"/>
      <c r="Y22" s="3367"/>
      <c r="Z22" s="1262"/>
      <c r="AA22" s="1262">
        <v>1</v>
      </c>
      <c r="AB22" s="1262">
        <v>1</v>
      </c>
      <c r="AC22" s="1810">
        <v>1</v>
      </c>
    </row>
    <row r="23" spans="1:29" ht="75.75" customHeight="1">
      <c r="A23" s="367"/>
      <c r="B23" s="555" t="s">
        <v>1813</v>
      </c>
      <c r="C23" s="1811" t="str">
        <f>估价对象房地状况!C9</f>
        <v>区域自然环境：北京动物园、官园公园；人文环境：北京天文馆、北京建筑大学；综合评价环境状况较好</v>
      </c>
      <c r="D23" s="389">
        <v>100</v>
      </c>
      <c r="E23" s="393"/>
      <c r="F23" s="389">
        <f>SUMIF(85:85,E24,86:86)-SUMIF(85:85,C24,86:86)+100</f>
        <v>100</v>
      </c>
      <c r="G23" s="391"/>
      <c r="H23" s="389">
        <f>SUMIF(85:85,G24,86:86)-SUMIF(85:85,C24,86:86)+100</f>
        <v>100</v>
      </c>
      <c r="I23" s="391"/>
      <c r="J23" s="389">
        <f>SUMIF(85:85,I24,86:86)-SUMIF(85:85,C24,86:86)+100</f>
        <v>100</v>
      </c>
      <c r="K23" s="540">
        <v>3</v>
      </c>
      <c r="L23" s="2491"/>
      <c r="M23" s="2486"/>
      <c r="N23" s="2486"/>
      <c r="O23" s="2486"/>
      <c r="P23" s="3365"/>
      <c r="Q23" s="1261" t="str">
        <f>B23</f>
        <v>环境质量</v>
      </c>
      <c r="R23" s="666" t="s">
        <v>14</v>
      </c>
      <c r="S23" s="667">
        <f>F23</f>
        <v>100</v>
      </c>
      <c r="T23" s="666" t="s">
        <v>14</v>
      </c>
      <c r="U23" s="667">
        <f>H23</f>
        <v>100</v>
      </c>
      <c r="V23" s="666" t="s">
        <v>14</v>
      </c>
      <c r="W23" s="667">
        <f>J23</f>
        <v>100</v>
      </c>
      <c r="X23" s="1263"/>
      <c r="Y23" s="3367"/>
      <c r="Z23" s="1262" t="str">
        <f>Q23</f>
        <v>环境质量</v>
      </c>
      <c r="AA23" s="1262">
        <f t="shared" si="3"/>
        <v>1</v>
      </c>
      <c r="AB23" s="1262">
        <f t="shared" si="4"/>
        <v>1</v>
      </c>
      <c r="AC23" s="1810">
        <f t="shared" si="5"/>
        <v>1</v>
      </c>
    </row>
    <row r="24" spans="1:29" ht="15">
      <c r="A24" s="367"/>
      <c r="B24" s="556"/>
      <c r="C24" s="1756" t="s">
        <v>3520</v>
      </c>
      <c r="D24" s="387"/>
      <c r="E24" s="1756" t="s">
        <v>3520</v>
      </c>
      <c r="F24" s="387"/>
      <c r="G24" s="1756" t="s">
        <v>3520</v>
      </c>
      <c r="H24" s="387"/>
      <c r="I24" s="1756" t="s">
        <v>3520</v>
      </c>
      <c r="J24" s="387"/>
      <c r="K24" s="541"/>
      <c r="L24" s="2491"/>
      <c r="M24" s="2486"/>
      <c r="N24" s="2486"/>
      <c r="O24" s="2486"/>
      <c r="P24" s="3365"/>
      <c r="Q24" s="1261"/>
      <c r="R24" s="666"/>
      <c r="S24" s="667"/>
      <c r="T24" s="666"/>
      <c r="U24" s="667"/>
      <c r="V24" s="666"/>
      <c r="W24" s="667"/>
      <c r="X24" s="1263"/>
      <c r="Y24" s="3367"/>
      <c r="Z24" s="1262"/>
      <c r="AA24" s="1262">
        <v>1</v>
      </c>
      <c r="AB24" s="1262">
        <v>1</v>
      </c>
      <c r="AC24" s="1810">
        <v>1</v>
      </c>
    </row>
    <row r="25" spans="1:29" ht="27">
      <c r="A25" s="348"/>
      <c r="B25" s="555" t="s">
        <v>1814</v>
      </c>
      <c r="C25" s="3146" t="s">
        <v>3522</v>
      </c>
      <c r="D25" s="374">
        <v>100</v>
      </c>
      <c r="E25" s="3146" t="s">
        <v>3523</v>
      </c>
      <c r="F25" s="374">
        <f>SUMIF(87:87,E26,88:88)-SUMIF(87:87,C26,88:88)+100</f>
        <v>100</v>
      </c>
      <c r="G25" s="3146" t="s">
        <v>3524</v>
      </c>
      <c r="H25" s="374">
        <f>SUMIF(87:87,G26,88:88)-SUMIF(87:87,C26,88:88)+100</f>
        <v>100</v>
      </c>
      <c r="I25" s="3146" t="s">
        <v>3523</v>
      </c>
      <c r="J25" s="374">
        <f>SUMIF(87:87,I26,88:88)-SUMIF(87:87,C26,88:88)+100</f>
        <v>100</v>
      </c>
      <c r="K25" s="540">
        <v>2</v>
      </c>
      <c r="L25" s="2491"/>
      <c r="M25" s="2486"/>
      <c r="N25" s="2486"/>
      <c r="O25" s="2486"/>
      <c r="P25" s="3365"/>
      <c r="Q25" s="1261" t="str">
        <f>B25</f>
        <v>毗邻道路的类型与等级</v>
      </c>
      <c r="R25" s="666" t="s">
        <v>14</v>
      </c>
      <c r="S25" s="667">
        <f>F25</f>
        <v>100</v>
      </c>
      <c r="T25" s="666" t="s">
        <v>14</v>
      </c>
      <c r="U25" s="667">
        <f>H25</f>
        <v>100</v>
      </c>
      <c r="V25" s="666" t="s">
        <v>14</v>
      </c>
      <c r="W25" s="667">
        <f>J25</f>
        <v>100</v>
      </c>
      <c r="X25" s="1263"/>
      <c r="Y25" s="3367"/>
      <c r="Z25" s="1262" t="str">
        <f>Q25</f>
        <v>毗邻道路的类型与等级</v>
      </c>
      <c r="AA25" s="1262">
        <f t="shared" si="3"/>
        <v>1</v>
      </c>
      <c r="AB25" s="1262">
        <f t="shared" si="4"/>
        <v>1</v>
      </c>
      <c r="AC25" s="1810">
        <f t="shared" si="5"/>
        <v>1</v>
      </c>
    </row>
    <row r="26" spans="1:29" ht="15">
      <c r="A26" s="348"/>
      <c r="B26" s="401"/>
      <c r="C26" s="557" t="s">
        <v>3533</v>
      </c>
      <c r="D26" s="374"/>
      <c r="E26" s="557" t="s">
        <v>3533</v>
      </c>
      <c r="F26" s="374"/>
      <c r="G26" s="557" t="s">
        <v>3533</v>
      </c>
      <c r="H26" s="374"/>
      <c r="I26" s="557" t="s">
        <v>3533</v>
      </c>
      <c r="J26" s="374"/>
      <c r="K26" s="541"/>
      <c r="L26" s="2491"/>
      <c r="M26" s="2486"/>
      <c r="N26" s="2486"/>
      <c r="O26" s="2486"/>
      <c r="P26" s="3365"/>
      <c r="Q26" s="1261"/>
      <c r="R26" s="666"/>
      <c r="S26" s="667"/>
      <c r="T26" s="666"/>
      <c r="U26" s="667"/>
      <c r="V26" s="666"/>
      <c r="W26" s="667"/>
      <c r="X26" s="1263"/>
      <c r="Y26" s="3367"/>
      <c r="Z26" s="1262"/>
      <c r="AA26" s="1262">
        <v>1</v>
      </c>
      <c r="AB26" s="1262">
        <v>1</v>
      </c>
      <c r="AC26" s="1810">
        <v>1</v>
      </c>
    </row>
    <row r="27" spans="1:29" ht="15">
      <c r="A27" s="367"/>
      <c r="B27" s="401" t="s">
        <v>1782</v>
      </c>
      <c r="C27" s="557" t="s">
        <v>3534</v>
      </c>
      <c r="D27" s="374">
        <v>100</v>
      </c>
      <c r="E27" s="542" t="s">
        <v>3589</v>
      </c>
      <c r="F27" s="374">
        <f>SUMIF(89:89,E27,90:90)-SUMIF(89:89,C27,90:90)+100</f>
        <v>102</v>
      </c>
      <c r="G27" s="557" t="s">
        <v>3534</v>
      </c>
      <c r="H27" s="374">
        <f>SUMIF(89:89,G27,90:90)-SUMIF(89:89,C27,90:90)+100</f>
        <v>100</v>
      </c>
      <c r="I27" s="542" t="s">
        <v>3589</v>
      </c>
      <c r="J27" s="374">
        <f>SUMIF(89:89,I27,90:90)-SUMIF(89:89,C27,90:90)+100</f>
        <v>102</v>
      </c>
      <c r="K27" s="538">
        <v>2</v>
      </c>
      <c r="L27" s="2491"/>
      <c r="M27" s="2486"/>
      <c r="N27" s="2486"/>
      <c r="O27" s="2486"/>
      <c r="P27" s="3365"/>
      <c r="Q27" s="1261" t="str">
        <f t="shared" ref="Q27:Q47" si="8">B27</f>
        <v>楼层</v>
      </c>
      <c r="R27" s="666" t="s">
        <v>14</v>
      </c>
      <c r="S27" s="667">
        <f>F27</f>
        <v>102</v>
      </c>
      <c r="T27" s="666" t="s">
        <v>14</v>
      </c>
      <c r="U27" s="667">
        <f>H27</f>
        <v>100</v>
      </c>
      <c r="V27" s="666" t="s">
        <v>14</v>
      </c>
      <c r="W27" s="667">
        <f>J27</f>
        <v>102</v>
      </c>
      <c r="X27" s="1263"/>
      <c r="Y27" s="3367"/>
      <c r="Z27" s="1262" t="str">
        <f>Q27</f>
        <v>楼层</v>
      </c>
      <c r="AA27" s="1262">
        <f t="shared" si="3"/>
        <v>0.98039215686274506</v>
      </c>
      <c r="AB27" s="1262">
        <f t="shared" si="4"/>
        <v>1</v>
      </c>
      <c r="AC27" s="1810">
        <f t="shared" si="5"/>
        <v>0.98039215686274506</v>
      </c>
    </row>
    <row r="28" spans="1:29" s="102" customFormat="1" ht="15">
      <c r="A28" s="370"/>
      <c r="B28" s="555" t="s">
        <v>1815</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65"/>
      <c r="Q28" s="530" t="str">
        <f t="shared" si="8"/>
        <v>朝向</v>
      </c>
      <c r="R28" s="663" t="s">
        <v>14</v>
      </c>
      <c r="S28" s="664">
        <f>F28</f>
        <v>100</v>
      </c>
      <c r="T28" s="663" t="s">
        <v>14</v>
      </c>
      <c r="U28" s="664">
        <f>H28</f>
        <v>100</v>
      </c>
      <c r="V28" s="663" t="s">
        <v>14</v>
      </c>
      <c r="W28" s="664">
        <f>J28</f>
        <v>100</v>
      </c>
      <c r="X28" s="665"/>
      <c r="Y28" s="3367"/>
      <c r="Z28" s="50" t="str">
        <f>Q28</f>
        <v>朝向</v>
      </c>
      <c r="AA28" s="1262">
        <f>D28/F28</f>
        <v>1</v>
      </c>
      <c r="AB28" s="1262">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65"/>
      <c r="Q29" s="1261">
        <f t="shared" si="8"/>
        <v>111</v>
      </c>
      <c r="R29" s="666" t="s">
        <v>14</v>
      </c>
      <c r="S29" s="667">
        <f t="shared" ref="S29:S47" si="9">F29</f>
        <v>100</v>
      </c>
      <c r="T29" s="666" t="s">
        <v>14</v>
      </c>
      <c r="U29" s="667">
        <f t="shared" ref="U29:U47" si="10">H29</f>
        <v>100</v>
      </c>
      <c r="V29" s="666" t="s">
        <v>14</v>
      </c>
      <c r="W29" s="667">
        <f t="shared" ref="W29:W47" si="11">J29</f>
        <v>100</v>
      </c>
      <c r="X29" s="1263"/>
      <c r="Y29" s="3367"/>
      <c r="Z29" s="1262">
        <f t="shared" ref="Z29:Z47" si="12">Q29</f>
        <v>111</v>
      </c>
      <c r="AA29" s="1262">
        <f t="shared" si="3"/>
        <v>1</v>
      </c>
      <c r="AB29" s="1262">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65"/>
      <c r="Q30" s="1261">
        <f t="shared" si="8"/>
        <v>111</v>
      </c>
      <c r="R30" s="666" t="s">
        <v>14</v>
      </c>
      <c r="S30" s="667">
        <f t="shared" si="9"/>
        <v>100</v>
      </c>
      <c r="T30" s="666" t="s">
        <v>14</v>
      </c>
      <c r="U30" s="667">
        <f t="shared" si="10"/>
        <v>100</v>
      </c>
      <c r="V30" s="666" t="s">
        <v>14</v>
      </c>
      <c r="W30" s="667">
        <f t="shared" si="11"/>
        <v>100</v>
      </c>
      <c r="X30" s="1263"/>
      <c r="Y30" s="3367"/>
      <c r="Z30" s="1262">
        <f t="shared" si="12"/>
        <v>111</v>
      </c>
      <c r="AA30" s="1262">
        <f t="shared" si="3"/>
        <v>1</v>
      </c>
      <c r="AB30" s="1262">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65"/>
      <c r="Q31" s="1261">
        <f t="shared" si="8"/>
        <v>111</v>
      </c>
      <c r="R31" s="666" t="s">
        <v>14</v>
      </c>
      <c r="S31" s="667">
        <f t="shared" si="9"/>
        <v>100</v>
      </c>
      <c r="T31" s="666" t="s">
        <v>14</v>
      </c>
      <c r="U31" s="667">
        <f t="shared" si="10"/>
        <v>100</v>
      </c>
      <c r="V31" s="666" t="s">
        <v>14</v>
      </c>
      <c r="W31" s="667">
        <f t="shared" si="11"/>
        <v>100</v>
      </c>
      <c r="X31" s="1263"/>
      <c r="Y31" s="3367"/>
      <c r="Z31" s="1262">
        <f t="shared" si="12"/>
        <v>111</v>
      </c>
      <c r="AA31" s="1262">
        <f t="shared" si="3"/>
        <v>1</v>
      </c>
      <c r="AB31" s="1262">
        <f t="shared" si="4"/>
        <v>1</v>
      </c>
      <c r="AC31" s="1810">
        <f t="shared" si="5"/>
        <v>1</v>
      </c>
    </row>
    <row r="32" spans="1:29" ht="15.75" thickBot="1">
      <c r="A32" s="375"/>
      <c r="B32" s="558">
        <v>111</v>
      </c>
      <c r="C32" s="1761"/>
      <c r="D32" s="377">
        <v>100</v>
      </c>
      <c r="E32" s="552"/>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65"/>
      <c r="Q32" s="1261">
        <f t="shared" si="8"/>
        <v>111</v>
      </c>
      <c r="R32" s="666" t="s">
        <v>14</v>
      </c>
      <c r="S32" s="667">
        <f t="shared" si="9"/>
        <v>100</v>
      </c>
      <c r="T32" s="666" t="s">
        <v>14</v>
      </c>
      <c r="U32" s="667">
        <f t="shared" si="10"/>
        <v>100</v>
      </c>
      <c r="V32" s="666" t="s">
        <v>14</v>
      </c>
      <c r="W32" s="667">
        <f t="shared" si="11"/>
        <v>100</v>
      </c>
      <c r="X32" s="1263"/>
      <c r="Y32" s="3367"/>
      <c r="Z32" s="1262">
        <f t="shared" si="12"/>
        <v>111</v>
      </c>
      <c r="AA32" s="1262">
        <f t="shared" si="3"/>
        <v>1</v>
      </c>
      <c r="AB32" s="1262">
        <f t="shared" si="4"/>
        <v>1</v>
      </c>
      <c r="AC32" s="1810">
        <f t="shared" si="5"/>
        <v>1</v>
      </c>
    </row>
    <row r="33" spans="1:29" ht="15">
      <c r="A33" s="379" t="s">
        <v>1693</v>
      </c>
      <c r="B33" s="60" t="s">
        <v>1816</v>
      </c>
      <c r="C33" s="1762" t="s">
        <v>3573</v>
      </c>
      <c r="D33" s="405">
        <v>100</v>
      </c>
      <c r="E33" s="1762" t="s">
        <v>3573</v>
      </c>
      <c r="F33" s="400">
        <f>SUMIF(101:101,E33,102:102)-SUMIF(101:101,C33,102:102)+100</f>
        <v>100</v>
      </c>
      <c r="G33" s="1762" t="s">
        <v>3573</v>
      </c>
      <c r="H33" s="374">
        <f>SUMIF(101:101,G33,102:102)-SUMIF(101:101,C33,102:102)+100</f>
        <v>100</v>
      </c>
      <c r="I33" s="1762" t="s">
        <v>3573</v>
      </c>
      <c r="J33" s="405">
        <f>SUMIF(101:101,I33,102:102)-SUMIF(101:101,C33,102:102)+100</f>
        <v>100</v>
      </c>
      <c r="K33" s="538">
        <v>3</v>
      </c>
      <c r="L33" s="2491"/>
      <c r="M33" s="2486"/>
      <c r="N33" s="2486"/>
      <c r="O33" s="2486"/>
      <c r="P33" s="3368" t="s">
        <v>1695</v>
      </c>
      <c r="Q33" s="1261" t="str">
        <f t="shared" si="8"/>
        <v>建筑类型</v>
      </c>
      <c r="R33" s="666" t="s">
        <v>14</v>
      </c>
      <c r="S33" s="667">
        <f t="shared" si="9"/>
        <v>100</v>
      </c>
      <c r="T33" s="666" t="s">
        <v>14</v>
      </c>
      <c r="U33" s="667">
        <f t="shared" si="10"/>
        <v>100</v>
      </c>
      <c r="V33" s="666" t="s">
        <v>14</v>
      </c>
      <c r="W33" s="667">
        <f t="shared" si="11"/>
        <v>100</v>
      </c>
      <c r="X33" s="1263"/>
      <c r="Y33" s="3371" t="s">
        <v>1695</v>
      </c>
      <c r="Z33" s="1262" t="str">
        <f t="shared" si="12"/>
        <v>建筑类型</v>
      </c>
      <c r="AA33" s="1262">
        <f t="shared" si="3"/>
        <v>1</v>
      </c>
      <c r="AB33" s="1262">
        <f t="shared" si="4"/>
        <v>1</v>
      </c>
      <c r="AC33" s="1810">
        <f t="shared" si="5"/>
        <v>1</v>
      </c>
    </row>
    <row r="34" spans="1:29" s="408" customFormat="1" ht="15">
      <c r="A34" s="406"/>
      <c r="B34" s="364" t="s">
        <v>1696</v>
      </c>
      <c r="C34" s="407">
        <f>'数据-汇总表'!F19</f>
        <v>108.47</v>
      </c>
      <c r="D34" s="119">
        <v>100</v>
      </c>
      <c r="E34" s="369">
        <v>109.06</v>
      </c>
      <c r="F34" s="364">
        <f>LOOKUP(E34,104:104,105:105)-LOOKUP(C34,104:104,105:105)+100</f>
        <v>100</v>
      </c>
      <c r="G34" s="368">
        <v>85</v>
      </c>
      <c r="H34" s="119">
        <f>LOOKUP(G34,104:104,105:105)-LOOKUP(C34,104:104,105:105)+100</f>
        <v>99</v>
      </c>
      <c r="I34" s="368">
        <v>108.47</v>
      </c>
      <c r="J34" s="119">
        <f>LOOKUP(I34,104:104,105:105)-LOOKUP(C34,104:104,105:105)+100</f>
        <v>100</v>
      </c>
      <c r="K34" s="539"/>
      <c r="L34" s="2490"/>
      <c r="M34" s="2492"/>
      <c r="N34" s="2492"/>
      <c r="O34" s="2492"/>
      <c r="P34" s="3369"/>
      <c r="Q34" s="531" t="str">
        <f t="shared" si="8"/>
        <v>项目建筑规模</v>
      </c>
      <c r="R34" s="668" t="s">
        <v>14</v>
      </c>
      <c r="S34" s="669">
        <f t="shared" si="9"/>
        <v>100</v>
      </c>
      <c r="T34" s="668" t="s">
        <v>14</v>
      </c>
      <c r="U34" s="669">
        <f t="shared" si="10"/>
        <v>99</v>
      </c>
      <c r="V34" s="668" t="s">
        <v>14</v>
      </c>
      <c r="W34" s="669">
        <f t="shared" si="11"/>
        <v>100</v>
      </c>
      <c r="X34" s="670"/>
      <c r="Y34" s="3371"/>
      <c r="Z34" s="671" t="str">
        <f t="shared" si="12"/>
        <v>项目建筑规模</v>
      </c>
      <c r="AA34" s="1262">
        <f t="shared" si="3"/>
        <v>1</v>
      </c>
      <c r="AB34" s="1262">
        <f t="shared" si="4"/>
        <v>1.0101010101010102</v>
      </c>
      <c r="AC34" s="1810">
        <f t="shared" si="5"/>
        <v>1</v>
      </c>
    </row>
    <row r="35" spans="1:29" ht="15">
      <c r="A35" s="409"/>
      <c r="B35" s="364" t="s">
        <v>1697</v>
      </c>
      <c r="C35" s="399" t="s">
        <v>3574</v>
      </c>
      <c r="D35" s="374">
        <v>100</v>
      </c>
      <c r="E35" s="399" t="s">
        <v>3574</v>
      </c>
      <c r="F35" s="400">
        <f>SUMIF(106:106,E35,107:107)-SUMIF(106:106,C35,107:107)+100</f>
        <v>100</v>
      </c>
      <c r="G35" s="399" t="s">
        <v>3574</v>
      </c>
      <c r="H35" s="374">
        <f>SUMIF(106:106,G35,107:107)-SUMIF(106:106,C35,107:107)+100</f>
        <v>100</v>
      </c>
      <c r="I35" s="399" t="s">
        <v>3574</v>
      </c>
      <c r="J35" s="374">
        <f>SUMIF(106:106,I35,107:107)-SUMIF(106:106,C35,107:107)+100</f>
        <v>100</v>
      </c>
      <c r="K35" s="538">
        <v>2</v>
      </c>
      <c r="L35" s="2491"/>
      <c r="M35" s="2486"/>
      <c r="N35" s="2486"/>
      <c r="O35" s="2486"/>
      <c r="P35" s="3369"/>
      <c r="Q35" s="1261" t="str">
        <f t="shared" si="8"/>
        <v>建筑结构</v>
      </c>
      <c r="R35" s="666" t="s">
        <v>14</v>
      </c>
      <c r="S35" s="667">
        <f t="shared" si="9"/>
        <v>100</v>
      </c>
      <c r="T35" s="666" t="s">
        <v>14</v>
      </c>
      <c r="U35" s="667">
        <f t="shared" si="10"/>
        <v>100</v>
      </c>
      <c r="V35" s="666" t="s">
        <v>14</v>
      </c>
      <c r="W35" s="667">
        <f t="shared" si="11"/>
        <v>100</v>
      </c>
      <c r="X35" s="1263"/>
      <c r="Y35" s="3371"/>
      <c r="Z35" s="1262" t="str">
        <f t="shared" si="12"/>
        <v>建筑结构</v>
      </c>
      <c r="AA35" s="1262">
        <f t="shared" si="3"/>
        <v>1</v>
      </c>
      <c r="AB35" s="1262">
        <f t="shared" si="4"/>
        <v>1</v>
      </c>
      <c r="AC35" s="1810">
        <f t="shared" si="5"/>
        <v>1</v>
      </c>
    </row>
    <row r="36" spans="1:29" ht="15">
      <c r="A36" s="409"/>
      <c r="B36" s="364" t="s">
        <v>1784</v>
      </c>
      <c r="C36" s="399" t="s">
        <v>3575</v>
      </c>
      <c r="D36" s="374">
        <v>100</v>
      </c>
      <c r="E36" s="399" t="s">
        <v>3575</v>
      </c>
      <c r="F36" s="400">
        <f>SUMIF(108:108,E36,109:109)-SUMIF(108:108,C36,109:109)+100</f>
        <v>100</v>
      </c>
      <c r="G36" s="399" t="s">
        <v>3575</v>
      </c>
      <c r="H36" s="374">
        <f>SUMIF(108:108,G36,109:109)-SUMIF(108:108,C36,109:109)+100</f>
        <v>100</v>
      </c>
      <c r="I36" s="399" t="s">
        <v>3575</v>
      </c>
      <c r="J36" s="374">
        <f>SUMIF(108:108,I36,109:109)-SUMIF(108:108,C36,109:109)+100</f>
        <v>100</v>
      </c>
      <c r="K36" s="538">
        <v>3</v>
      </c>
      <c r="L36" s="2491"/>
      <c r="M36" s="2486"/>
      <c r="N36" s="2486"/>
      <c r="O36" s="2486"/>
      <c r="P36" s="3369"/>
      <c r="Q36" s="1261" t="str">
        <f t="shared" si="8"/>
        <v>公共部分装修</v>
      </c>
      <c r="R36" s="666" t="s">
        <v>14</v>
      </c>
      <c r="S36" s="667">
        <f t="shared" si="9"/>
        <v>100</v>
      </c>
      <c r="T36" s="666" t="s">
        <v>14</v>
      </c>
      <c r="U36" s="667">
        <f t="shared" si="10"/>
        <v>100</v>
      </c>
      <c r="V36" s="666" t="s">
        <v>14</v>
      </c>
      <c r="W36" s="667">
        <f t="shared" si="11"/>
        <v>100</v>
      </c>
      <c r="X36" s="1263"/>
      <c r="Y36" s="3371"/>
      <c r="Z36" s="1262" t="str">
        <f t="shared" si="12"/>
        <v>公共部分装修</v>
      </c>
      <c r="AA36" s="1262">
        <f t="shared" si="3"/>
        <v>1</v>
      </c>
      <c r="AB36" s="1262">
        <f t="shared" si="4"/>
        <v>1</v>
      </c>
      <c r="AC36" s="1810">
        <f t="shared" si="5"/>
        <v>1</v>
      </c>
    </row>
    <row r="37" spans="1:29" ht="15">
      <c r="A37" s="409"/>
      <c r="B37" s="364" t="s">
        <v>1785</v>
      </c>
      <c r="C37" s="3152">
        <f>'数据-取费表'!N6</f>
        <v>0.82</v>
      </c>
      <c r="D37" s="374">
        <v>100</v>
      </c>
      <c r="E37" s="3152">
        <f>C37</f>
        <v>0.82</v>
      </c>
      <c r="F37" s="400">
        <f>LOOKUP(E37,111:111,112:112)-LOOKUP(C37,111:111,112:112)+100</f>
        <v>100</v>
      </c>
      <c r="G37" s="3152">
        <f>E37</f>
        <v>0.82</v>
      </c>
      <c r="H37" s="400">
        <f>LOOKUP(G37,111:111,112:112)-LOOKUP(C37,111:111,112:112)+100</f>
        <v>100</v>
      </c>
      <c r="I37" s="3152">
        <f>G37</f>
        <v>0.82</v>
      </c>
      <c r="J37" s="374">
        <f>LOOKUP(I37,111:111,112:112)-LOOKUP(C37,111:111,112:112)+100</f>
        <v>100</v>
      </c>
      <c r="K37" s="538">
        <v>1</v>
      </c>
      <c r="L37" s="2491"/>
      <c r="M37" s="2486"/>
      <c r="N37" s="2486"/>
      <c r="O37" s="2486"/>
      <c r="P37" s="3369"/>
      <c r="Q37" s="1261" t="str">
        <f t="shared" si="8"/>
        <v>成新度</v>
      </c>
      <c r="R37" s="666" t="s">
        <v>14</v>
      </c>
      <c r="S37" s="667">
        <f t="shared" si="9"/>
        <v>100</v>
      </c>
      <c r="T37" s="666" t="s">
        <v>14</v>
      </c>
      <c r="U37" s="667">
        <f t="shared" si="10"/>
        <v>100</v>
      </c>
      <c r="V37" s="666" t="s">
        <v>14</v>
      </c>
      <c r="W37" s="667">
        <f t="shared" si="11"/>
        <v>100</v>
      </c>
      <c r="X37" s="1263"/>
      <c r="Y37" s="3371"/>
      <c r="Z37" s="1262" t="str">
        <f t="shared" si="12"/>
        <v>成新度</v>
      </c>
      <c r="AA37" s="1262">
        <f t="shared" si="3"/>
        <v>1</v>
      </c>
      <c r="AB37" s="1262">
        <f t="shared" si="4"/>
        <v>1</v>
      </c>
      <c r="AC37" s="1810">
        <f t="shared" si="5"/>
        <v>1</v>
      </c>
    </row>
    <row r="38" spans="1:29" s="102" customFormat="1" ht="15">
      <c r="A38" s="410"/>
      <c r="B38" s="364" t="s">
        <v>1817</v>
      </c>
      <c r="C38" s="399" t="s">
        <v>3576</v>
      </c>
      <c r="D38" s="119">
        <v>100</v>
      </c>
      <c r="E38" s="399" t="s">
        <v>3576</v>
      </c>
      <c r="F38" s="400">
        <f>SUMIF(113:113,E38,114:114)-SUMIF(113:113,C38,114:114)+100</f>
        <v>100</v>
      </c>
      <c r="G38" s="399" t="s">
        <v>3576</v>
      </c>
      <c r="H38" s="374">
        <f>SUMIF(113:113,G38,114:114)-SUMIF(113:113,C38,114:114)+100</f>
        <v>100</v>
      </c>
      <c r="I38" s="399" t="s">
        <v>3576</v>
      </c>
      <c r="J38" s="374">
        <f>SUMIF(113:113,I38,114:114)-SUMIF(113:113,C38,114:114)+100</f>
        <v>100</v>
      </c>
      <c r="K38" s="538">
        <v>2</v>
      </c>
      <c r="L38" s="2487"/>
      <c r="M38" s="2438"/>
      <c r="N38" s="2438"/>
      <c r="O38" s="2438"/>
      <c r="P38" s="3369"/>
      <c r="Q38" s="530" t="str">
        <f t="shared" si="8"/>
        <v>写字楼等级</v>
      </c>
      <c r="R38" s="663" t="s">
        <v>14</v>
      </c>
      <c r="S38" s="664">
        <f t="shared" si="9"/>
        <v>100</v>
      </c>
      <c r="T38" s="663" t="s">
        <v>14</v>
      </c>
      <c r="U38" s="664">
        <f t="shared" si="10"/>
        <v>100</v>
      </c>
      <c r="V38" s="663" t="s">
        <v>14</v>
      </c>
      <c r="W38" s="664">
        <f t="shared" si="11"/>
        <v>100</v>
      </c>
      <c r="X38" s="665"/>
      <c r="Y38" s="3371"/>
      <c r="Z38" s="50" t="str">
        <f t="shared" si="12"/>
        <v>写字楼等级</v>
      </c>
      <c r="AA38" s="50">
        <f t="shared" si="3"/>
        <v>1</v>
      </c>
      <c r="AB38" s="50">
        <f t="shared" si="4"/>
        <v>1</v>
      </c>
      <c r="AC38" s="801">
        <f t="shared" si="5"/>
        <v>1</v>
      </c>
    </row>
    <row r="39" spans="1:29" ht="15">
      <c r="A39" s="409"/>
      <c r="B39" s="364" t="s">
        <v>1818</v>
      </c>
      <c r="C39" s="399" t="s">
        <v>3577</v>
      </c>
      <c r="D39" s="374">
        <v>100</v>
      </c>
      <c r="E39" s="399" t="s">
        <v>3577</v>
      </c>
      <c r="F39" s="400">
        <f>SUMIF(115:115,E39,116:116)-SUMIF(115:115,C39,116:116)+100</f>
        <v>100</v>
      </c>
      <c r="G39" s="399" t="s">
        <v>3577</v>
      </c>
      <c r="H39" s="374">
        <f>SUMIF(115:115,G39,116:116)-SUMIF(115:115,C39,116:116)+100</f>
        <v>100</v>
      </c>
      <c r="I39" s="399" t="s">
        <v>3577</v>
      </c>
      <c r="J39" s="374">
        <f>SUMIF(115:115,I39,116:116)-SUMIF(115:115,C39,116:116)+100</f>
        <v>100</v>
      </c>
      <c r="K39" s="538">
        <v>2</v>
      </c>
      <c r="L39" s="2491"/>
      <c r="M39" s="2486"/>
      <c r="N39" s="2486"/>
      <c r="O39" s="2486"/>
      <c r="P39" s="3369" t="s">
        <v>1695</v>
      </c>
      <c r="Q39" s="1261" t="str">
        <f t="shared" si="8"/>
        <v>物业管理</v>
      </c>
      <c r="R39" s="666" t="s">
        <v>14</v>
      </c>
      <c r="S39" s="667">
        <f t="shared" si="9"/>
        <v>100</v>
      </c>
      <c r="T39" s="666" t="s">
        <v>14</v>
      </c>
      <c r="U39" s="667">
        <f t="shared" si="10"/>
        <v>100</v>
      </c>
      <c r="V39" s="666" t="s">
        <v>14</v>
      </c>
      <c r="W39" s="667">
        <f t="shared" si="11"/>
        <v>100</v>
      </c>
      <c r="X39" s="1263"/>
      <c r="Y39" s="3371" t="s">
        <v>1695</v>
      </c>
      <c r="Z39" s="1262" t="str">
        <f t="shared" si="12"/>
        <v>物业管理</v>
      </c>
      <c r="AA39" s="1262">
        <f t="shared" si="3"/>
        <v>1</v>
      </c>
      <c r="AB39" s="1262">
        <f t="shared" si="4"/>
        <v>1</v>
      </c>
      <c r="AC39" s="1810">
        <f t="shared" si="5"/>
        <v>1</v>
      </c>
    </row>
    <row r="40" spans="1:29" ht="15">
      <c r="A40" s="409"/>
      <c r="B40" s="364" t="s">
        <v>1786</v>
      </c>
      <c r="C40" s="399" t="s">
        <v>3578</v>
      </c>
      <c r="D40" s="374">
        <v>100</v>
      </c>
      <c r="E40" s="399" t="s">
        <v>3578</v>
      </c>
      <c r="F40" s="400">
        <f>SUMIF(117:117,E40,118:118)-SUMIF(117:117,C40,118:118)+100</f>
        <v>100</v>
      </c>
      <c r="G40" s="399" t="s">
        <v>3578</v>
      </c>
      <c r="H40" s="374">
        <f>SUMIF(117:117,G40,118:118)-SUMIF(117:117,C40,118:118)+100</f>
        <v>100</v>
      </c>
      <c r="I40" s="399" t="s">
        <v>3578</v>
      </c>
      <c r="J40" s="374">
        <f>SUMIF(117:117,I40,118:118)-SUMIF(117:117,C40,118:118)+100</f>
        <v>100</v>
      </c>
      <c r="K40" s="538">
        <v>1</v>
      </c>
      <c r="L40" s="2491"/>
      <c r="M40" s="2486"/>
      <c r="N40" s="2486"/>
      <c r="O40" s="2486"/>
      <c r="P40" s="3369"/>
      <c r="Q40" s="1261" t="str">
        <f t="shared" si="8"/>
        <v>市政基础设施</v>
      </c>
      <c r="R40" s="666" t="s">
        <v>14</v>
      </c>
      <c r="S40" s="667">
        <f t="shared" si="9"/>
        <v>100</v>
      </c>
      <c r="T40" s="666" t="s">
        <v>14</v>
      </c>
      <c r="U40" s="667">
        <f t="shared" si="10"/>
        <v>100</v>
      </c>
      <c r="V40" s="666" t="s">
        <v>14</v>
      </c>
      <c r="W40" s="667">
        <f t="shared" si="11"/>
        <v>100</v>
      </c>
      <c r="X40" s="1263"/>
      <c r="Y40" s="3371"/>
      <c r="Z40" s="1262" t="str">
        <f t="shared" si="12"/>
        <v>市政基础设施</v>
      </c>
      <c r="AA40" s="1262">
        <f t="shared" si="3"/>
        <v>1</v>
      </c>
      <c r="AB40" s="1262">
        <f t="shared" si="4"/>
        <v>1</v>
      </c>
      <c r="AC40" s="1810">
        <f t="shared" si="5"/>
        <v>1</v>
      </c>
    </row>
    <row r="41" spans="1:29" ht="15">
      <c r="A41" s="409"/>
      <c r="B41" s="364" t="s">
        <v>1788</v>
      </c>
      <c r="C41" s="542" t="s">
        <v>3579</v>
      </c>
      <c r="D41" s="374">
        <v>100</v>
      </c>
      <c r="E41" s="542" t="s">
        <v>3579</v>
      </c>
      <c r="F41" s="400">
        <f>SUMIF(119:119,E41,120:120)-SUMIF(119:119,C41,120:120)+100</f>
        <v>100</v>
      </c>
      <c r="G41" s="542" t="s">
        <v>3579</v>
      </c>
      <c r="H41" s="374">
        <f>SUMIF(119:119,G41,120:120)-SUMIF(119:119,C41,120:120)+100</f>
        <v>100</v>
      </c>
      <c r="I41" s="542" t="s">
        <v>3579</v>
      </c>
      <c r="J41" s="374">
        <f>SUMIF(119:119,I41,120:120)-SUMIF(119:119,C41,120:120)+100</f>
        <v>100</v>
      </c>
      <c r="K41" s="538">
        <v>3</v>
      </c>
      <c r="L41" s="2491"/>
      <c r="M41" s="2486"/>
      <c r="N41" s="2486"/>
      <c r="O41" s="2486"/>
      <c r="P41" s="3369"/>
      <c r="Q41" s="1261" t="str">
        <f t="shared" si="8"/>
        <v>层高</v>
      </c>
      <c r="R41" s="666" t="s">
        <v>14</v>
      </c>
      <c r="S41" s="667">
        <f t="shared" si="9"/>
        <v>100</v>
      </c>
      <c r="T41" s="666" t="s">
        <v>14</v>
      </c>
      <c r="U41" s="667">
        <f t="shared" si="10"/>
        <v>100</v>
      </c>
      <c r="V41" s="666" t="s">
        <v>14</v>
      </c>
      <c r="W41" s="667">
        <f t="shared" si="11"/>
        <v>100</v>
      </c>
      <c r="X41" s="1263"/>
      <c r="Y41" s="3371"/>
      <c r="Z41" s="1262" t="str">
        <f t="shared" si="12"/>
        <v>层高</v>
      </c>
      <c r="AA41" s="1262">
        <f t="shared" si="3"/>
        <v>1</v>
      </c>
      <c r="AB41" s="1262">
        <f t="shared" si="4"/>
        <v>1</v>
      </c>
      <c r="AC41" s="1810">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9"/>
      <c r="Q42" s="531" t="str">
        <f t="shared" si="8"/>
        <v>单套建筑面积</v>
      </c>
      <c r="R42" s="668" t="s">
        <v>14</v>
      </c>
      <c r="S42" s="669">
        <f t="shared" si="9"/>
        <v>100</v>
      </c>
      <c r="T42" s="668" t="s">
        <v>14</v>
      </c>
      <c r="U42" s="669">
        <f t="shared" si="10"/>
        <v>100</v>
      </c>
      <c r="V42" s="668" t="s">
        <v>14</v>
      </c>
      <c r="W42" s="669">
        <f t="shared" si="11"/>
        <v>100</v>
      </c>
      <c r="X42" s="670"/>
      <c r="Y42" s="3371"/>
      <c r="Z42" s="671" t="str">
        <f t="shared" si="12"/>
        <v>单套建筑面积</v>
      </c>
      <c r="AA42" s="1262">
        <f t="shared" si="3"/>
        <v>1</v>
      </c>
      <c r="AB42" s="1262">
        <f t="shared" si="4"/>
        <v>1</v>
      </c>
      <c r="AC42" s="1810">
        <f t="shared" si="5"/>
        <v>1</v>
      </c>
    </row>
    <row r="43" spans="1:29" ht="15">
      <c r="A43" s="409"/>
      <c r="B43" s="364" t="s">
        <v>1791</v>
      </c>
      <c r="C43" s="399" t="s">
        <v>3580</v>
      </c>
      <c r="D43" s="374">
        <v>100</v>
      </c>
      <c r="E43" s="399" t="s">
        <v>3580</v>
      </c>
      <c r="F43" s="400">
        <f>SUMIF(123:123,E43,124:124)-SUMIF(123:123,C43,124:124)+100</f>
        <v>100</v>
      </c>
      <c r="G43" s="399" t="s">
        <v>3580</v>
      </c>
      <c r="H43" s="374">
        <f>SUMIF(123:123,G43,124:124)-SUMIF(123:123,C43,124:124)+100</f>
        <v>100</v>
      </c>
      <c r="I43" s="399" t="s">
        <v>3580</v>
      </c>
      <c r="J43" s="374">
        <f>SUMIF(123:123,I43,124:124)-SUMIF(123:123,C43,124:124)+100</f>
        <v>100</v>
      </c>
      <c r="K43" s="538">
        <v>1</v>
      </c>
      <c r="L43" s="2491"/>
      <c r="M43" s="2486"/>
      <c r="N43" s="2486"/>
      <c r="O43" s="2486"/>
      <c r="P43" s="3369"/>
      <c r="Q43" s="1261" t="str">
        <f t="shared" si="8"/>
        <v>内部装修</v>
      </c>
      <c r="R43" s="666" t="s">
        <v>14</v>
      </c>
      <c r="S43" s="667">
        <f t="shared" si="9"/>
        <v>100</v>
      </c>
      <c r="T43" s="666" t="s">
        <v>14</v>
      </c>
      <c r="U43" s="667">
        <f t="shared" si="10"/>
        <v>100</v>
      </c>
      <c r="V43" s="666" t="s">
        <v>14</v>
      </c>
      <c r="W43" s="667">
        <f t="shared" si="11"/>
        <v>100</v>
      </c>
      <c r="X43" s="1263"/>
      <c r="Y43" s="3371"/>
      <c r="Z43" s="1262" t="str">
        <f t="shared" si="12"/>
        <v>内部装修</v>
      </c>
      <c r="AA43" s="1262">
        <f t="shared" si="3"/>
        <v>1</v>
      </c>
      <c r="AB43" s="1262">
        <f t="shared" si="4"/>
        <v>1</v>
      </c>
      <c r="AC43" s="1810">
        <f t="shared" si="5"/>
        <v>1</v>
      </c>
    </row>
    <row r="44" spans="1:29" ht="15">
      <c r="A44" s="409"/>
      <c r="B44" s="364" t="s">
        <v>1706</v>
      </c>
      <c r="C44" s="399" t="s">
        <v>3520</v>
      </c>
      <c r="D44" s="374">
        <v>100</v>
      </c>
      <c r="E44" s="399" t="s">
        <v>3520</v>
      </c>
      <c r="F44" s="400">
        <f>SUMIF(125:125,E44,126:126)-SUMIF(125:125,C44,126:126)+100</f>
        <v>100</v>
      </c>
      <c r="G44" s="399" t="s">
        <v>3520</v>
      </c>
      <c r="H44" s="374">
        <f>SUMIF(125:125,G44,126:126)-SUMIF(125:125,C44,126:126)+100</f>
        <v>100</v>
      </c>
      <c r="I44" s="399" t="s">
        <v>3520</v>
      </c>
      <c r="J44" s="374">
        <f>SUMIF(125:125,I44,126:126)-SUMIF(125:125,C44,126:126)+100</f>
        <v>100</v>
      </c>
      <c r="K44" s="538">
        <v>2</v>
      </c>
      <c r="L44" s="2491"/>
      <c r="M44" s="2486"/>
      <c r="N44" s="2486"/>
      <c r="O44" s="2486"/>
      <c r="P44" s="3369"/>
      <c r="Q44" s="1261" t="str">
        <f t="shared" si="8"/>
        <v>内部装修维护情况</v>
      </c>
      <c r="R44" s="666" t="s">
        <v>14</v>
      </c>
      <c r="S44" s="667">
        <f t="shared" si="9"/>
        <v>100</v>
      </c>
      <c r="T44" s="666" t="s">
        <v>14</v>
      </c>
      <c r="U44" s="667">
        <f t="shared" si="10"/>
        <v>100</v>
      </c>
      <c r="V44" s="666" t="s">
        <v>14</v>
      </c>
      <c r="W44" s="667">
        <f t="shared" si="11"/>
        <v>100</v>
      </c>
      <c r="X44" s="1263"/>
      <c r="Y44" s="3371"/>
      <c r="Z44" s="1262" t="str">
        <f t="shared" si="12"/>
        <v>内部装修维护情况</v>
      </c>
      <c r="AA44" s="1262">
        <f t="shared" si="3"/>
        <v>1</v>
      </c>
      <c r="AB44" s="1262">
        <f t="shared" si="4"/>
        <v>1</v>
      </c>
      <c r="AC44" s="1810">
        <f t="shared" si="5"/>
        <v>1</v>
      </c>
    </row>
    <row r="45" spans="1:29" s="102" customFormat="1" ht="15">
      <c r="A45" s="410"/>
      <c r="B45" s="3154" t="s">
        <v>3600</v>
      </c>
      <c r="C45" s="3155" t="s">
        <v>3601</v>
      </c>
      <c r="D45" s="119">
        <v>100</v>
      </c>
      <c r="E45" s="3155" t="s">
        <v>3601</v>
      </c>
      <c r="F45" s="364">
        <f>SUMIF(127:127,E45,128:128)-SUMIF(127:127,C45,128:128)+100</f>
        <v>100</v>
      </c>
      <c r="G45" s="3155" t="s">
        <v>3601</v>
      </c>
      <c r="H45" s="119">
        <f>SUMIF(127:127,G45,128:128)-SUMIF(127:127,C45,128:128)+100</f>
        <v>100</v>
      </c>
      <c r="I45" s="3155" t="s">
        <v>3601</v>
      </c>
      <c r="J45" s="119">
        <f>SUMIF(127:127,I45,128:128)-SUMIF(127:127,C45,128:128)+100</f>
        <v>100</v>
      </c>
      <c r="K45" s="539"/>
      <c r="L45" s="2487"/>
      <c r="M45" s="2438"/>
      <c r="N45" s="2438"/>
      <c r="O45" s="2438"/>
      <c r="P45" s="3369"/>
      <c r="Q45" s="530" t="str">
        <f t="shared" si="8"/>
        <v>现状用途</v>
      </c>
      <c r="R45" s="663" t="s">
        <v>14</v>
      </c>
      <c r="S45" s="664">
        <f t="shared" si="9"/>
        <v>100</v>
      </c>
      <c r="T45" s="663" t="s">
        <v>14</v>
      </c>
      <c r="U45" s="664">
        <f t="shared" si="10"/>
        <v>100</v>
      </c>
      <c r="V45" s="663" t="s">
        <v>14</v>
      </c>
      <c r="W45" s="664">
        <f t="shared" si="11"/>
        <v>100</v>
      </c>
      <c r="X45" s="665"/>
      <c r="Y45" s="3371"/>
      <c r="Z45" s="50" t="str">
        <f t="shared" si="12"/>
        <v>现状用途</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9"/>
      <c r="Q46" s="1261">
        <f t="shared" si="8"/>
        <v>111</v>
      </c>
      <c r="R46" s="666" t="s">
        <v>14</v>
      </c>
      <c r="S46" s="667">
        <f t="shared" si="9"/>
        <v>100</v>
      </c>
      <c r="T46" s="666" t="s">
        <v>14</v>
      </c>
      <c r="U46" s="667">
        <f t="shared" si="10"/>
        <v>100</v>
      </c>
      <c r="V46" s="666" t="s">
        <v>14</v>
      </c>
      <c r="W46" s="667">
        <f t="shared" si="11"/>
        <v>100</v>
      </c>
      <c r="X46" s="1263"/>
      <c r="Y46" s="3371"/>
      <c r="Z46" s="1262">
        <f t="shared" si="12"/>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0"/>
      <c r="Q47" s="1261">
        <f t="shared" si="8"/>
        <v>111</v>
      </c>
      <c r="R47" s="666" t="s">
        <v>14</v>
      </c>
      <c r="S47" s="667">
        <f t="shared" si="9"/>
        <v>100</v>
      </c>
      <c r="T47" s="666" t="s">
        <v>14</v>
      </c>
      <c r="U47" s="667">
        <f t="shared" si="10"/>
        <v>100</v>
      </c>
      <c r="V47" s="666" t="s">
        <v>14</v>
      </c>
      <c r="W47" s="667">
        <f t="shared" si="11"/>
        <v>100</v>
      </c>
      <c r="X47" s="1263"/>
      <c r="Y47" s="3372"/>
      <c r="Z47" s="1262">
        <f t="shared" si="12"/>
        <v>111</v>
      </c>
      <c r="AA47" s="1262">
        <f t="shared" si="3"/>
        <v>1</v>
      </c>
      <c r="AB47" s="1262">
        <f t="shared" si="4"/>
        <v>1</v>
      </c>
      <c r="AC47" s="1810">
        <f t="shared" si="5"/>
        <v>1</v>
      </c>
    </row>
    <row r="48" spans="1:29" ht="15">
      <c r="A48" s="416" t="s">
        <v>1707</v>
      </c>
      <c r="B48" s="417"/>
      <c r="C48" s="1080" t="s">
        <v>0</v>
      </c>
      <c r="D48" s="418"/>
      <c r="E48" s="419">
        <v>55475</v>
      </c>
      <c r="F48" s="420"/>
      <c r="G48" s="421">
        <v>58824</v>
      </c>
      <c r="H48" s="422"/>
      <c r="I48" s="419">
        <v>56237</v>
      </c>
      <c r="J48" s="422"/>
      <c r="K48" s="673"/>
      <c r="L48" s="2493"/>
      <c r="M48" s="2486"/>
      <c r="N48" s="2486"/>
      <c r="O48" s="2486"/>
      <c r="P48" s="3358" t="str">
        <f>A48</f>
        <v>成交单价（元/平方米）</v>
      </c>
      <c r="Q48" s="3359"/>
      <c r="R48" s="3360">
        <f>E48</f>
        <v>55475</v>
      </c>
      <c r="S48" s="3360"/>
      <c r="T48" s="3360">
        <f>G48</f>
        <v>58824</v>
      </c>
      <c r="U48" s="3360"/>
      <c r="V48" s="3360">
        <f>I48</f>
        <v>56237</v>
      </c>
      <c r="W48" s="3360"/>
      <c r="X48" s="385"/>
      <c r="Y48" s="672"/>
      <c r="Z48" s="385"/>
      <c r="AA48" s="385"/>
      <c r="AB48" s="385"/>
      <c r="AC48" s="554"/>
    </row>
    <row r="49" spans="1:29" ht="15.75" thickBot="1">
      <c r="A49" s="423" t="s">
        <v>1792</v>
      </c>
      <c r="B49" s="424"/>
      <c r="C49" s="1081">
        <f>R50</f>
        <v>55756</v>
      </c>
      <c r="D49" s="2139" t="s">
        <v>2133</v>
      </c>
      <c r="E49" s="1082">
        <f>R49</f>
        <v>53849</v>
      </c>
      <c r="F49" s="2140"/>
      <c r="G49" s="1081">
        <f>T49</f>
        <v>58830</v>
      </c>
      <c r="H49" s="2140"/>
      <c r="I49" s="1082">
        <f>V49</f>
        <v>54588</v>
      </c>
      <c r="J49" s="2140"/>
      <c r="K49" s="2142">
        <f>F49+H49+J49</f>
        <v>0</v>
      </c>
      <c r="L49" s="2493"/>
      <c r="M49" s="2486"/>
      <c r="N49" s="2486"/>
      <c r="O49" s="2486"/>
      <c r="P49" s="3358" t="str">
        <f>A49</f>
        <v>比较价值（元/平方米）</v>
      </c>
      <c r="Q49" s="3359"/>
      <c r="R49" s="3360">
        <f>IF(F1="售价",ROUND(PRODUCT(R48,AA7:AA47),0),ROUND(PRODUCT(R48,AA7:AA47),1))</f>
        <v>53849</v>
      </c>
      <c r="S49" s="3360"/>
      <c r="T49" s="3360">
        <f>IF(F1="售价",ROUND(PRODUCT(T48,AB7:AB47),0),ROUND(PRODUCT(T48,AB7:AB47),1))</f>
        <v>58830</v>
      </c>
      <c r="U49" s="3360"/>
      <c r="V49" s="3360">
        <f>IF(F1="售价",ROUND(PRODUCT(V48,AC7:AC47),0),ROUND(PRODUCT(V48,AC7:AC47),1))</f>
        <v>54588</v>
      </c>
      <c r="W49" s="3360"/>
      <c r="X49" s="385"/>
      <c r="Y49" s="385"/>
      <c r="Z49" s="385"/>
      <c r="AA49" s="385"/>
      <c r="AB49" s="385"/>
      <c r="AC49" s="554"/>
    </row>
    <row r="50" spans="1:29" ht="15.75" thickBot="1">
      <c r="A50" s="427" t="s">
        <v>1793</v>
      </c>
      <c r="B50" s="428"/>
      <c r="C50" s="351">
        <f>R50</f>
        <v>55756</v>
      </c>
      <c r="D50" s="351"/>
      <c r="E50" s="351"/>
      <c r="F50" s="351"/>
      <c r="G50" s="351"/>
      <c r="H50" s="351"/>
      <c r="I50" s="351"/>
      <c r="J50" s="429"/>
      <c r="K50" s="674"/>
      <c r="L50" s="2493"/>
      <c r="M50" s="2486"/>
      <c r="N50" s="2486"/>
      <c r="O50" s="2486"/>
      <c r="P50" s="3361" t="str">
        <f>A50</f>
        <v>估价对象XX用房的比较价值（楼面单价，元/平方米）</v>
      </c>
      <c r="Q50" s="3362"/>
      <c r="R50" s="3363">
        <f>IF(F1="售价",ROUND(IF(D49="简单平均",AVERAGE(R49:V49),R49*F49+T49*H49+V49*J49),0),ROUND(IF(D49="简单平均",AVERAGE(R49:V49),R49*F49+T49*H49+V49*J49),1))</f>
        <v>55756</v>
      </c>
      <c r="S50" s="3363"/>
      <c r="T50" s="3363"/>
      <c r="U50" s="3363"/>
      <c r="V50" s="3363"/>
      <c r="W50" s="336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1794</v>
      </c>
      <c r="D53" s="433"/>
      <c r="E53" s="434">
        <f>IF(E48&lt;E49,E49/E48-1,E48/E49-1)</f>
        <v>3.019554680681158E-2</v>
      </c>
      <c r="F53" s="435" t="str">
        <f>IF(OR(E53&gt;=0.3,E53&lt;=-0.3),"超过30%","")</f>
        <v/>
      </c>
      <c r="G53" s="434">
        <f>IF(G48&lt;G49,G49/G48-1,G48/G49-1)</f>
        <v>1.019991840065515E-4</v>
      </c>
      <c r="H53" s="435" t="str">
        <f>IF(OR(G53&gt;=0.3,G53&lt;=-0.3),"超过30%","")</f>
        <v/>
      </c>
      <c r="I53" s="434">
        <f>IF(I48&lt;I49,I49/I48-1,I48/I49-1)</f>
        <v>3.020810434527732E-2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1795</v>
      </c>
      <c r="D54" s="436"/>
      <c r="E54" s="434">
        <f>IF(E49&lt;G49,G49/E49-1,E49/G49-1)</f>
        <v>9.2499396460472783E-2</v>
      </c>
      <c r="F54" s="435" t="str">
        <f>IF(OR(E54&gt;=0.2,E54&lt;=-0.2),"超过20%","")</f>
        <v/>
      </c>
      <c r="G54" s="434">
        <f>IF(G49&lt;I49,I49/G49-1,G49/I49-1)</f>
        <v>7.770938667839089E-2</v>
      </c>
      <c r="H54" s="435" t="str">
        <f>IF(OR(G54&gt;=0.2,G54&lt;=-0.2),"超过20%","")</f>
        <v/>
      </c>
      <c r="I54" s="434">
        <f>IF(I49&lt;E49,E49/I49-1,I49/E49-1)</f>
        <v>1.3723560326097006E-2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1796</v>
      </c>
      <c r="D55" s="436"/>
      <c r="E55" s="434">
        <f>IF(E48&lt;G48,G48/E48-1,E48/G48-1)</f>
        <v>6.036953582694915E-2</v>
      </c>
      <c r="F55" s="435" t="str">
        <f>IF(OR(E55&gt;=0.3,E55&lt;=-0.3),"超过30%","")</f>
        <v/>
      </c>
      <c r="G55" s="434">
        <f>IF(G48&lt;I48,I48/G48-1,G48/I48-1)</f>
        <v>4.600174262496215E-2</v>
      </c>
      <c r="H55" s="435" t="str">
        <f>IF(OR(G55&gt;=0.3,G55&lt;=-0.3),"超过30%","")</f>
        <v/>
      </c>
      <c r="I55" s="434">
        <f>IF(I48&lt;E48,E48/I48-1,I48/E48-1)</f>
        <v>1.3735917079765736E-2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1797</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1678</v>
      </c>
      <c r="B59" s="441"/>
      <c r="C59" s="1102" t="str">
        <f>YEAR(C7)&amp;"-"&amp;MONTH(C7)</f>
        <v>2023-5</v>
      </c>
      <c r="D59" s="1103">
        <f>EDATE(C59,-1)</f>
        <v>45017</v>
      </c>
      <c r="E59" s="1103">
        <f>EDATE(D59,-1)</f>
        <v>44986</v>
      </c>
      <c r="F59" s="1103">
        <f t="shared" ref="F59:O59" si="13">EDATE(E59,-1)</f>
        <v>44958</v>
      </c>
      <c r="G59" s="1103">
        <f t="shared" si="13"/>
        <v>44927</v>
      </c>
      <c r="H59" s="1103">
        <f t="shared" si="13"/>
        <v>44896</v>
      </c>
      <c r="I59" s="1103">
        <f t="shared" si="13"/>
        <v>44866</v>
      </c>
      <c r="J59" s="1103">
        <f t="shared" si="13"/>
        <v>44835</v>
      </c>
      <c r="K59" s="1103">
        <f t="shared" si="13"/>
        <v>44805</v>
      </c>
      <c r="L59" s="1103">
        <f t="shared" si="13"/>
        <v>44774</v>
      </c>
      <c r="M59" s="1103">
        <f t="shared" si="13"/>
        <v>44743</v>
      </c>
      <c r="N59" s="1103">
        <f t="shared" si="13"/>
        <v>44713</v>
      </c>
      <c r="O59" s="1103">
        <f t="shared" si="13"/>
        <v>44682</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1715</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1680</v>
      </c>
      <c r="B62" s="444"/>
      <c r="C62" s="456" t="s">
        <v>1775</v>
      </c>
      <c r="D62" s="3144" t="s">
        <v>3516</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101</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1718</v>
      </c>
      <c r="B64" s="460" t="s">
        <v>1684</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1687</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1688</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1689</v>
      </c>
      <c r="B77" s="460" t="s">
        <v>1820</v>
      </c>
      <c r="C77" s="504" t="s">
        <v>1720</v>
      </c>
      <c r="D77" s="504" t="s">
        <v>1721</v>
      </c>
      <c r="E77" s="504" t="s">
        <v>1722</v>
      </c>
      <c r="F77" s="504" t="s">
        <v>1723</v>
      </c>
      <c r="G77" s="504" t="s">
        <v>1724</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1725</v>
      </c>
      <c r="C79" s="509" t="s">
        <v>1720</v>
      </c>
      <c r="D79" s="509" t="s">
        <v>1721</v>
      </c>
      <c r="E79" s="509" t="s">
        <v>1722</v>
      </c>
      <c r="F79" s="509" t="s">
        <v>1723</v>
      </c>
      <c r="G79" s="509" t="s">
        <v>1724</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1726</v>
      </c>
      <c r="C81" s="509" t="s">
        <v>1720</v>
      </c>
      <c r="D81" s="509" t="s">
        <v>1721</v>
      </c>
      <c r="E81" s="509" t="s">
        <v>1722</v>
      </c>
      <c r="F81" s="509" t="s">
        <v>1723</v>
      </c>
      <c r="G81" s="509" t="s">
        <v>1724</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1812</v>
      </c>
      <c r="C83" s="580" t="s">
        <v>1798</v>
      </c>
      <c r="D83" s="580" t="s">
        <v>1799</v>
      </c>
      <c r="E83" s="580" t="s">
        <v>1800</v>
      </c>
      <c r="F83" s="580" t="s">
        <v>1801</v>
      </c>
      <c r="G83" s="580" t="s">
        <v>1802</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1821</v>
      </c>
      <c r="C85" s="509" t="s">
        <v>1720</v>
      </c>
      <c r="D85" s="509" t="s">
        <v>1721</v>
      </c>
      <c r="E85" s="509" t="s">
        <v>1722</v>
      </c>
      <c r="F85" s="509" t="s">
        <v>1723</v>
      </c>
      <c r="G85" s="509" t="s">
        <v>1724</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97</v>
      </c>
      <c r="E86" s="475">
        <f>D86-$K23</f>
        <v>94</v>
      </c>
      <c r="F86" s="475">
        <f>E86-$K23</f>
        <v>91</v>
      </c>
      <c r="G86" s="475">
        <f>F86-$K23</f>
        <v>88</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1822</v>
      </c>
      <c r="C87" s="3147" t="s">
        <v>3525</v>
      </c>
      <c r="D87" s="3147" t="s">
        <v>3526</v>
      </c>
      <c r="E87" s="3147" t="s">
        <v>3527</v>
      </c>
      <c r="F87" s="3147" t="s">
        <v>3528</v>
      </c>
      <c r="G87" s="3147" t="s">
        <v>3529</v>
      </c>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6">C88-$K25</f>
        <v>98</v>
      </c>
      <c r="E88" s="475">
        <f t="shared" si="16"/>
        <v>96</v>
      </c>
      <c r="F88" s="475">
        <f t="shared" si="16"/>
        <v>94</v>
      </c>
      <c r="G88" s="475">
        <f t="shared" si="16"/>
        <v>92</v>
      </c>
      <c r="H88" s="475">
        <f t="shared" si="16"/>
        <v>90</v>
      </c>
      <c r="I88" s="475">
        <f t="shared" si="16"/>
        <v>88</v>
      </c>
      <c r="J88" s="475">
        <f t="shared" si="16"/>
        <v>86</v>
      </c>
      <c r="K88" s="475">
        <f t="shared" si="16"/>
        <v>84</v>
      </c>
      <c r="L88" s="475">
        <f t="shared" si="16"/>
        <v>82</v>
      </c>
      <c r="M88" s="475">
        <f t="shared" si="16"/>
        <v>80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47" t="s">
        <v>3530</v>
      </c>
      <c r="D89" s="3147" t="s">
        <v>3531</v>
      </c>
      <c r="E89" s="3147" t="s">
        <v>3532</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17">D90-$K27</f>
        <v>96</v>
      </c>
      <c r="F90" s="475">
        <f t="shared" si="17"/>
        <v>94</v>
      </c>
      <c r="G90" s="475">
        <f t="shared" si="17"/>
        <v>92</v>
      </c>
      <c r="H90" s="475">
        <f t="shared" si="17"/>
        <v>90</v>
      </c>
      <c r="I90" s="475">
        <f t="shared" si="17"/>
        <v>88</v>
      </c>
      <c r="J90" s="475">
        <f t="shared" si="17"/>
        <v>86</v>
      </c>
      <c r="K90" s="475">
        <f t="shared" si="17"/>
        <v>84</v>
      </c>
      <c r="L90" s="475">
        <f t="shared" si="17"/>
        <v>82</v>
      </c>
      <c r="M90" s="475">
        <f t="shared" si="17"/>
        <v>80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1693</v>
      </c>
      <c r="B101" s="460" t="s">
        <v>1735</v>
      </c>
      <c r="C101" s="3148" t="s">
        <v>3535</v>
      </c>
      <c r="D101" s="3148" t="s">
        <v>3536</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19">C102-$K33</f>
        <v>97</v>
      </c>
      <c r="E102" s="475">
        <f t="shared" si="19"/>
        <v>94</v>
      </c>
      <c r="F102" s="475">
        <f t="shared" si="19"/>
        <v>91</v>
      </c>
      <c r="G102" s="475">
        <f t="shared" si="19"/>
        <v>88</v>
      </c>
      <c r="H102" s="475">
        <f t="shared" si="19"/>
        <v>85</v>
      </c>
      <c r="I102" s="475">
        <f t="shared" si="19"/>
        <v>82</v>
      </c>
      <c r="J102" s="475">
        <f t="shared" si="19"/>
        <v>79</v>
      </c>
      <c r="K102" s="475">
        <f t="shared" si="19"/>
        <v>76</v>
      </c>
      <c r="L102" s="475">
        <f t="shared" si="19"/>
        <v>73</v>
      </c>
      <c r="M102" s="476">
        <f t="shared" si="19"/>
        <v>70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1736</v>
      </c>
      <c r="C103" s="509" t="str">
        <f>C104&amp;"(含)"&amp;"-"&amp;D104</f>
        <v>0(含)-100</v>
      </c>
      <c r="D103" s="509" t="str">
        <f t="shared" ref="D103:L103" si="20">D104&amp;"(含)"&amp;"-"&amp;E104</f>
        <v>100(含)-300</v>
      </c>
      <c r="E103" s="509" t="str">
        <f t="shared" si="20"/>
        <v>300(含)-500</v>
      </c>
      <c r="F103" s="509" t="str">
        <f t="shared" si="20"/>
        <v>500(含)-1000</v>
      </c>
      <c r="G103" s="509" t="str">
        <f t="shared" si="20"/>
        <v>1000(含)-1500</v>
      </c>
      <c r="H103" s="509" t="str">
        <f t="shared" si="20"/>
        <v>1500(含)-</v>
      </c>
      <c r="I103" s="509" t="str">
        <f t="shared" si="20"/>
        <v>(含)-</v>
      </c>
      <c r="J103" s="509" t="str">
        <f t="shared" si="20"/>
        <v>(含)-</v>
      </c>
      <c r="K103" s="509" t="str">
        <f t="shared" si="20"/>
        <v>(含)-</v>
      </c>
      <c r="L103" s="509" t="str">
        <f t="shared" si="20"/>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1500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98</v>
      </c>
      <c r="D105" s="467">
        <v>99</v>
      </c>
      <c r="E105" s="467">
        <v>100</v>
      </c>
      <c r="F105" s="467">
        <v>99</v>
      </c>
      <c r="G105" s="467">
        <v>98</v>
      </c>
      <c r="H105" s="467">
        <v>97</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1737</v>
      </c>
      <c r="C106" s="3149" t="s">
        <v>3537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1">C107-$K35</f>
        <v>98</v>
      </c>
      <c r="E107" s="475">
        <f t="shared" si="21"/>
        <v>96</v>
      </c>
      <c r="F107" s="475">
        <f t="shared" si="21"/>
        <v>94</v>
      </c>
      <c r="G107" s="475">
        <f t="shared" si="21"/>
        <v>92</v>
      </c>
      <c r="H107" s="475">
        <f t="shared" si="21"/>
        <v>90</v>
      </c>
      <c r="I107" s="475">
        <f t="shared" si="21"/>
        <v>88</v>
      </c>
      <c r="J107" s="475">
        <f t="shared" si="21"/>
        <v>86</v>
      </c>
      <c r="K107" s="475">
        <f t="shared" si="21"/>
        <v>84</v>
      </c>
      <c r="L107" s="475">
        <f t="shared" si="21"/>
        <v>82</v>
      </c>
      <c r="M107" s="476">
        <f t="shared" si="21"/>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1739</v>
      </c>
      <c r="C108" s="3147" t="s">
        <v>3538</v>
      </c>
      <c r="D108" s="3147" t="s">
        <v>3539</v>
      </c>
      <c r="E108" s="3147" t="s">
        <v>3540</v>
      </c>
      <c r="F108" s="3150" t="s">
        <v>3541</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2">C109-$K36</f>
        <v>97</v>
      </c>
      <c r="E109" s="475">
        <f t="shared" si="22"/>
        <v>94</v>
      </c>
      <c r="F109" s="475">
        <f t="shared" si="22"/>
        <v>91</v>
      </c>
      <c r="G109" s="475">
        <f t="shared" si="22"/>
        <v>88</v>
      </c>
      <c r="H109" s="475">
        <f t="shared" si="22"/>
        <v>85</v>
      </c>
      <c r="I109" s="475">
        <f t="shared" si="22"/>
        <v>82</v>
      </c>
      <c r="J109" s="475">
        <f t="shared" si="22"/>
        <v>79</v>
      </c>
      <c r="K109" s="475">
        <f t="shared" si="22"/>
        <v>76</v>
      </c>
      <c r="L109" s="475">
        <f t="shared" si="22"/>
        <v>73</v>
      </c>
      <c r="M109" s="476">
        <f t="shared" si="22"/>
        <v>70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3">D112+$K37</f>
        <v>102</v>
      </c>
      <c r="F112" s="475">
        <f t="shared" si="23"/>
        <v>103</v>
      </c>
      <c r="G112" s="475">
        <f t="shared" si="23"/>
        <v>104</v>
      </c>
      <c r="H112" s="475">
        <f t="shared" si="23"/>
        <v>105</v>
      </c>
      <c r="I112" s="475">
        <f t="shared" si="23"/>
        <v>106</v>
      </c>
      <c r="J112" s="475">
        <f t="shared" si="23"/>
        <v>107</v>
      </c>
      <c r="K112" s="475">
        <f t="shared" si="23"/>
        <v>108</v>
      </c>
      <c r="L112" s="475">
        <f t="shared" si="23"/>
        <v>109</v>
      </c>
      <c r="M112" s="475">
        <f t="shared" si="23"/>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1823</v>
      </c>
      <c r="C113" s="3147" t="s">
        <v>3542</v>
      </c>
      <c r="D113" s="3147" t="s">
        <v>3543</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98</v>
      </c>
      <c r="E114" s="475">
        <f t="shared" ref="E114:M114" si="24">D114-$K38</f>
        <v>96</v>
      </c>
      <c r="F114" s="475">
        <f t="shared" si="24"/>
        <v>94</v>
      </c>
      <c r="G114" s="475">
        <f t="shared" si="24"/>
        <v>92</v>
      </c>
      <c r="H114" s="475">
        <f t="shared" si="24"/>
        <v>90</v>
      </c>
      <c r="I114" s="475">
        <f t="shared" si="24"/>
        <v>88</v>
      </c>
      <c r="J114" s="475">
        <f t="shared" si="24"/>
        <v>86</v>
      </c>
      <c r="K114" s="475">
        <f t="shared" si="24"/>
        <v>84</v>
      </c>
      <c r="L114" s="475">
        <f t="shared" si="24"/>
        <v>82</v>
      </c>
      <c r="M114" s="475">
        <f t="shared" si="24"/>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1740</v>
      </c>
      <c r="C115" s="3149" t="s">
        <v>3544</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5">C116-$K39</f>
        <v>98</v>
      </c>
      <c r="E116" s="475">
        <f t="shared" si="25"/>
        <v>96</v>
      </c>
      <c r="F116" s="475">
        <f t="shared" si="25"/>
        <v>94</v>
      </c>
      <c r="G116" s="475">
        <f t="shared" si="25"/>
        <v>92</v>
      </c>
      <c r="H116" s="475">
        <f t="shared" si="25"/>
        <v>90</v>
      </c>
      <c r="I116" s="475">
        <f t="shared" si="25"/>
        <v>88</v>
      </c>
      <c r="J116" s="475">
        <f t="shared" si="25"/>
        <v>86</v>
      </c>
      <c r="K116" s="475">
        <f t="shared" si="25"/>
        <v>84</v>
      </c>
      <c r="L116" s="475">
        <f t="shared" si="25"/>
        <v>82</v>
      </c>
      <c r="M116" s="476">
        <f t="shared" si="25"/>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1741</v>
      </c>
      <c r="C117" s="3147" t="s">
        <v>3545</v>
      </c>
      <c r="D117" s="3147" t="s">
        <v>3546</v>
      </c>
      <c r="E117" s="3147" t="s">
        <v>3547</v>
      </c>
      <c r="F117" s="3147" t="s">
        <v>3548</v>
      </c>
      <c r="G117" s="3147" t="s">
        <v>3549</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1824</v>
      </c>
      <c r="C119" s="3150" t="s">
        <v>3550</v>
      </c>
      <c r="D119" s="3151" t="s">
        <v>3552</v>
      </c>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97</v>
      </c>
      <c r="E120" s="475">
        <f t="shared" ref="E120:M120" si="26">D120-$K41</f>
        <v>94</v>
      </c>
      <c r="F120" s="475">
        <f t="shared" si="26"/>
        <v>91</v>
      </c>
      <c r="G120" s="475">
        <f t="shared" si="26"/>
        <v>88</v>
      </c>
      <c r="H120" s="475">
        <f t="shared" si="26"/>
        <v>85</v>
      </c>
      <c r="I120" s="475">
        <f t="shared" si="26"/>
        <v>82</v>
      </c>
      <c r="J120" s="475">
        <f t="shared" si="26"/>
        <v>79</v>
      </c>
      <c r="K120" s="475">
        <f t="shared" si="26"/>
        <v>76</v>
      </c>
      <c r="L120" s="475">
        <f t="shared" si="26"/>
        <v>73</v>
      </c>
      <c r="M120" s="475">
        <f t="shared" si="26"/>
        <v>70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1807</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1743</v>
      </c>
      <c r="C123" s="3147" t="s">
        <v>3538</v>
      </c>
      <c r="D123" s="3147" t="s">
        <v>3539</v>
      </c>
      <c r="E123" s="3147" t="s">
        <v>3540</v>
      </c>
      <c r="F123" s="3150" t="s">
        <v>3541</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27">C124-$K43</f>
        <v>99</v>
      </c>
      <c r="E124" s="475">
        <f t="shared" si="27"/>
        <v>98</v>
      </c>
      <c r="F124" s="475">
        <f t="shared" si="27"/>
        <v>97</v>
      </c>
      <c r="G124" s="475">
        <f t="shared" si="27"/>
        <v>96</v>
      </c>
      <c r="H124" s="475">
        <f t="shared" si="27"/>
        <v>95</v>
      </c>
      <c r="I124" s="475">
        <f t="shared" si="27"/>
        <v>94</v>
      </c>
      <c r="J124" s="475">
        <f t="shared" si="27"/>
        <v>93</v>
      </c>
      <c r="K124" s="475">
        <f t="shared" si="27"/>
        <v>92</v>
      </c>
      <c r="L124" s="475">
        <f t="shared" si="27"/>
        <v>91</v>
      </c>
      <c r="M124" s="476">
        <f t="shared" si="27"/>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t="str">
        <f>B45</f>
        <v>现状用途</v>
      </c>
      <c r="C127" s="3149" t="s">
        <v>3602</v>
      </c>
      <c r="D127" s="3149" t="s">
        <v>3601</v>
      </c>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v>105</v>
      </c>
      <c r="D128" s="467">
        <v>100</v>
      </c>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t="s">
        <v>21</v>
      </c>
      <c r="D1" s="1269" t="s">
        <v>43</v>
      </c>
      <c r="E1" s="1270" t="s">
        <v>678</v>
      </c>
      <c r="F1" s="998">
        <f ca="1">J53</f>
        <v>30.81</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f ca="1">ROUND(D2/10000,4)</f>
        <v>410.08359999999999</v>
      </c>
      <c r="C2" s="1287" t="s">
        <v>879</v>
      </c>
      <c r="D2" s="1373">
        <f ca="1">C40+J29+L46</f>
        <v>4100836</v>
      </c>
      <c r="E2" s="1293" t="s">
        <v>880</v>
      </c>
      <c r="F2" s="1294"/>
      <c r="G2" s="2477"/>
      <c r="H2" s="2467"/>
      <c r="I2" s="2467"/>
      <c r="J2" s="2467"/>
      <c r="K2" s="2468"/>
      <c r="L2" s="2467"/>
      <c r="M2" s="2467"/>
    </row>
    <row r="3" spans="1:37" ht="18" customHeight="1" thickBot="1">
      <c r="A3" s="1295" t="s">
        <v>881</v>
      </c>
      <c r="B3" s="1296">
        <f ca="1">IF(ISERROR(D2/F43),0,ROUND(D2/F43,0))</f>
        <v>37806</v>
      </c>
      <c r="C3" s="1287" t="s">
        <v>882</v>
      </c>
      <c r="D3" s="1287"/>
      <c r="E3" s="1293"/>
      <c r="F3" s="1294"/>
      <c r="G3" s="2477"/>
      <c r="H3" s="648"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6">
        <f ca="1">C6+C10+C12</f>
        <v>249739</v>
      </c>
      <c r="D5" s="1271" t="s">
        <v>889</v>
      </c>
      <c r="E5" s="1007"/>
      <c r="F5" s="1008"/>
      <c r="G5" s="1290"/>
      <c r="H5" s="291">
        <v>1</v>
      </c>
      <c r="I5" s="292" t="s">
        <v>888</v>
      </c>
      <c r="J5" s="1006">
        <f ca="1">J6+J10+J12</f>
        <v>0</v>
      </c>
      <c r="K5" s="1271" t="s">
        <v>889</v>
      </c>
      <c r="L5" s="1007"/>
      <c r="M5" s="1008"/>
    </row>
    <row r="6" spans="1:37" ht="18" customHeight="1">
      <c r="A6" s="1005" t="s">
        <v>398</v>
      </c>
      <c r="B6" s="3355" t="s">
        <v>694</v>
      </c>
      <c r="C6" s="1010">
        <f ca="1">ROUND(F6*F8*F7*(1-F9),0)</f>
        <v>249427</v>
      </c>
      <c r="D6" s="147" t="s">
        <v>2101</v>
      </c>
      <c r="E6" s="294" t="s">
        <v>696</v>
      </c>
      <c r="F6" s="295">
        <f ca="1">INDIRECT("'数据-取费表'!u"&amp;$G$1)</f>
        <v>7</v>
      </c>
      <c r="G6" s="1290"/>
      <c r="H6" s="1005" t="s">
        <v>398</v>
      </c>
      <c r="I6" s="3355" t="s">
        <v>694</v>
      </c>
      <c r="J6" s="293">
        <f ca="1">ROUND(M6*M8*M7*(1-M9),0)</f>
        <v>0</v>
      </c>
      <c r="K6" s="1282" t="s">
        <v>2102</v>
      </c>
      <c r="L6" s="294" t="s">
        <v>696</v>
      </c>
      <c r="M6" s="295">
        <f ca="1">INDIRECT("'数据-取费表'!z"&amp;$G$1)</f>
        <v>0</v>
      </c>
    </row>
    <row r="7" spans="1:37" ht="18" customHeight="1">
      <c r="A7" s="1009"/>
      <c r="B7" s="3356"/>
      <c r="C7" s="1011"/>
      <c r="D7" s="299"/>
      <c r="E7" s="1012" t="s">
        <v>697</v>
      </c>
      <c r="F7" s="295">
        <f ca="1">IF(INDIRECT("'数据-取费表'!ah"&amp;$G$1)="",INDIRECT("'数据-取费表'!k"&amp;$G$1),INDIRECT("'数据-取费表'!ah"&amp;$G$1))</f>
        <v>108.47</v>
      </c>
      <c r="G7" s="1290"/>
      <c r="H7" s="296"/>
      <c r="I7" s="3356"/>
      <c r="J7" s="298"/>
      <c r="K7" s="299"/>
      <c r="L7" s="294" t="s">
        <v>697</v>
      </c>
      <c r="M7" s="295">
        <f ca="1">F7</f>
        <v>108.47</v>
      </c>
    </row>
    <row r="8" spans="1:37" ht="18" customHeight="1">
      <c r="A8" s="296"/>
      <c r="B8" s="3356"/>
      <c r="C8" s="298"/>
      <c r="D8" s="299"/>
      <c r="E8" s="294" t="s">
        <v>698</v>
      </c>
      <c r="F8" s="295">
        <f ca="1">INDIRECT("'数据-取费表'!ai"&amp;$G$1)</f>
        <v>365</v>
      </c>
      <c r="G8" s="1290"/>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0"/>
      <c r="H9" s="296"/>
      <c r="I9" s="3357"/>
      <c r="J9" s="298"/>
      <c r="K9" s="299"/>
      <c r="L9" s="305" t="s">
        <v>699</v>
      </c>
      <c r="M9" s="306">
        <f ca="1">INDIRECT("'数据-取费表'!ab"&amp;$G$1)</f>
        <v>0</v>
      </c>
    </row>
    <row r="10" spans="1:37" ht="18" customHeight="1">
      <c r="A10" s="1005" t="s">
        <v>402</v>
      </c>
      <c r="B10" s="1272" t="s">
        <v>700</v>
      </c>
      <c r="C10" s="308">
        <f ca="1">ROUND(IF(F10="押一",C6/12*F11,IF(F10="押二",C6/12*2*F11,IF(F10="押三",C6/12*3*F11,C11*F11))),0)</f>
        <v>312</v>
      </c>
      <c r="D10" s="150" t="s">
        <v>2111</v>
      </c>
      <c r="E10" s="305" t="s">
        <v>701</v>
      </c>
      <c r="F10" s="1052" t="s">
        <v>3609</v>
      </c>
      <c r="G10" s="1290"/>
      <c r="H10" s="1005" t="s">
        <v>402</v>
      </c>
      <c r="I10" s="1272" t="s">
        <v>700</v>
      </c>
      <c r="J10" s="293">
        <f ca="1">ROUND(IF(M10="押一",J6/12*M11,IF(M10="押二",J6/12*2*M11,IF(M10="押三",J6/12*3*M11,J11*M11))),0)</f>
        <v>0</v>
      </c>
      <c r="K10" s="1283" t="s">
        <v>2113</v>
      </c>
      <c r="L10" s="305" t="s">
        <v>701</v>
      </c>
      <c r="M10" s="1052"/>
    </row>
    <row r="11" spans="1:37" ht="18" customHeight="1">
      <c r="A11" s="300"/>
      <c r="B11" s="1273" t="s">
        <v>890</v>
      </c>
      <c r="C11" s="904"/>
      <c r="D11" s="299"/>
      <c r="E11" s="305" t="s">
        <v>702</v>
      </c>
      <c r="F11" s="306">
        <f ca="1">'数据-取费表'!B39</f>
        <v>1.4999999999999999E-2</v>
      </c>
      <c r="G11" s="1290"/>
      <c r="H11" s="1013"/>
      <c r="I11" s="1273" t="s">
        <v>891</v>
      </c>
      <c r="J11" s="904"/>
      <c r="K11" s="645"/>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f ca="1">ROUND(C29*F13,0)</f>
        <v>501996</v>
      </c>
      <c r="D13" s="1017" t="s">
        <v>705</v>
      </c>
      <c r="E13" s="1017" t="s">
        <v>706</v>
      </c>
      <c r="F13" s="1018">
        <f ca="1">INDIRECT("'数据-取费表'!y"&amp;$G$1)</f>
        <v>0.82</v>
      </c>
      <c r="G13" s="1290"/>
      <c r="H13" s="1015">
        <v>2</v>
      </c>
      <c r="I13" s="1016" t="s">
        <v>704</v>
      </c>
      <c r="J13" s="1004">
        <f ca="1">ROUND(J14*J15,0)</f>
        <v>0</v>
      </c>
      <c r="K13" s="1023" t="s">
        <v>705</v>
      </c>
      <c r="L13" s="1297"/>
      <c r="M13" s="1298"/>
    </row>
    <row r="14" spans="1:37" ht="18" customHeight="1">
      <c r="A14" s="927" t="s">
        <v>397</v>
      </c>
      <c r="B14" s="294" t="s">
        <v>707</v>
      </c>
      <c r="C14" s="310">
        <f ca="1">ROUND(INDIRECT("'数据-取费表'!l"&amp;$G$1)*F43+'数据-取费表'!L14*INDIRECT("'数据-取费表'!S"&amp;$G$1),0)</f>
        <v>412186</v>
      </c>
      <c r="D14" s="1255" t="s">
        <v>708</v>
      </c>
      <c r="E14" s="1253"/>
      <c r="F14" s="311"/>
      <c r="G14" s="1290"/>
      <c r="H14" s="927" t="s">
        <v>398</v>
      </c>
      <c r="I14" s="294" t="s">
        <v>709</v>
      </c>
      <c r="J14" s="21">
        <f ca="1">C29</f>
        <v>612190</v>
      </c>
      <c r="K14" s="12"/>
      <c r="L14" s="758"/>
      <c r="M14" s="759"/>
    </row>
    <row r="15" spans="1:37" s="1302" customFormat="1" ht="18" customHeight="1" thickBot="1">
      <c r="A15" s="927" t="s">
        <v>399</v>
      </c>
      <c r="B15" s="294" t="s">
        <v>710</v>
      </c>
      <c r="C15" s="21">
        <f ca="1">ROUND(C14*F15,0)</f>
        <v>20609</v>
      </c>
      <c r="D15" s="312" t="s">
        <v>711</v>
      </c>
      <c r="E15" s="312" t="s">
        <v>712</v>
      </c>
      <c r="F15" s="313">
        <f>'数据-取费表'!B33</f>
        <v>0.05</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5" t="s">
        <v>393</v>
      </c>
      <c r="I16" s="1016" t="s">
        <v>714</v>
      </c>
      <c r="J16" s="302">
        <f ca="1">ROUND(J17+J22+J23+J24,0)</f>
        <v>9507</v>
      </c>
      <c r="K16" s="1023" t="s">
        <v>715</v>
      </c>
      <c r="L16" s="1024"/>
      <c r="M16" s="1008"/>
    </row>
    <row r="17" spans="1:37" s="1302" customFormat="1" ht="18" customHeight="1">
      <c r="A17" s="927" t="s">
        <v>681</v>
      </c>
      <c r="B17" s="294" t="s">
        <v>716</v>
      </c>
      <c r="C17" s="21">
        <f ca="1">ROUND(F17*(F43+INDIRECT("'数据-取费表'!S"&amp;$G$1)),0)</f>
        <v>21694</v>
      </c>
      <c r="D17" s="294" t="s">
        <v>717</v>
      </c>
      <c r="E17" s="294" t="s">
        <v>718</v>
      </c>
      <c r="F17" s="23">
        <f>'数据-取费表'!B35</f>
        <v>200</v>
      </c>
      <c r="G17" s="1301"/>
      <c r="H17" s="927" t="s">
        <v>398</v>
      </c>
      <c r="I17" s="294" t="s">
        <v>719</v>
      </c>
      <c r="J17" s="2138">
        <f ca="1">ROUND(IF(AND(项目基本情况!B11="自然人",项目基本情况!B10="北京市"),J6*M17/(1+'数据-取费表'!C42),J18+J19+J20),0)</f>
        <v>324</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6183</v>
      </c>
      <c r="D18" s="294" t="s">
        <v>711</v>
      </c>
      <c r="E18" s="294" t="s">
        <v>712</v>
      </c>
      <c r="F18" s="314">
        <f>'数据-取费表'!B36</f>
        <v>1.4999999999999999E-2</v>
      </c>
      <c r="G18" s="1301"/>
      <c r="H18" s="927"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460672</v>
      </c>
      <c r="D19" s="123" t="s">
        <v>726</v>
      </c>
      <c r="E19" s="1267"/>
      <c r="F19" s="23"/>
      <c r="G19" s="1290"/>
      <c r="H19" s="927"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7" t="s">
        <v>402</v>
      </c>
      <c r="B20" s="294" t="s">
        <v>728</v>
      </c>
      <c r="C20" s="21">
        <f ca="1">ROUND(C19*F20,0)</f>
        <v>9213</v>
      </c>
      <c r="D20" s="315" t="s">
        <v>729</v>
      </c>
      <c r="E20" s="294" t="s">
        <v>712</v>
      </c>
      <c r="F20" s="314">
        <f>'数据-取费表'!B37</f>
        <v>0.02</v>
      </c>
      <c r="G20" s="1301"/>
      <c r="H20" s="927" t="s">
        <v>680</v>
      </c>
      <c r="I20" s="147" t="s">
        <v>730</v>
      </c>
      <c r="J20" s="22">
        <f ca="1">ROUND(M20*M21,0)</f>
        <v>324</v>
      </c>
      <c r="K20" s="316" t="s">
        <v>731</v>
      </c>
      <c r="L20" s="294" t="s">
        <v>732</v>
      </c>
      <c r="M20" s="317">
        <f>'数据-取费表'!B52</f>
        <v>24</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0.02</v>
      </c>
      <c r="G21" s="1301"/>
      <c r="H21" s="318"/>
      <c r="I21" s="303"/>
      <c r="J21" s="26"/>
      <c r="K21" s="319"/>
      <c r="L21" s="294" t="s">
        <v>736</v>
      </c>
      <c r="M21" s="295">
        <f ca="1">INDIRECT("'数据-取费表'!r"&amp;$G$1)</f>
        <v>13.52</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ROUND(J14*M22,0)</f>
        <v>9183</v>
      </c>
      <c r="K22" s="1254" t="s">
        <v>739</v>
      </c>
      <c r="L22" s="294" t="s">
        <v>712</v>
      </c>
      <c r="M22" s="320">
        <f ca="1">INDIRECT("'数据-取费表'!Ak"&amp;$G$1)</f>
        <v>1.4999999999999999E-2</v>
      </c>
    </row>
    <row r="23" spans="1:37" s="1302" customFormat="1" ht="18" customHeight="1">
      <c r="A23" s="927" t="s">
        <v>397</v>
      </c>
      <c r="B23" s="294" t="s">
        <v>740</v>
      </c>
      <c r="C23" s="21">
        <f ca="1">IF('数据-取费表'!B22&lt;=1,ROUND(C19*F24*F23/2,0)+ROUND(C20*F24*F23/2,0),ROUND(C19*(POWER((1+F24),F23/2)-1),0)+ROUND(C20*(POWER((1+F24),F23/2)-1),0))</f>
        <v>24500</v>
      </c>
      <c r="D23" s="138" t="str">
        <f>IF(F23&lt;=1,"(建造成本+管理费用)×利率×(建设周期÷2)","(建造成本+管理费用)×((1+利率)^(建设周期÷2)-1)")</f>
        <v>(建造成本+管理费用)×((1+利率)^(建设周期÷2)-1)</v>
      </c>
      <c r="E23" s="294" t="s">
        <v>741</v>
      </c>
      <c r="F23" s="317">
        <f>'数据-取费表'!B20</f>
        <v>2.5</v>
      </c>
      <c r="G23" s="1301"/>
      <c r="H23" s="927" t="s">
        <v>437</v>
      </c>
      <c r="I23" s="294" t="s">
        <v>742</v>
      </c>
      <c r="J23" s="21">
        <f ca="1">ROUND(J13*M23,0)</f>
        <v>0</v>
      </c>
      <c r="K23" s="1254" t="s">
        <v>743</v>
      </c>
      <c r="L23" s="294" t="s">
        <v>744</v>
      </c>
      <c r="M23" s="321">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4.1499999999999995E-2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5" t="s">
        <v>394</v>
      </c>
      <c r="I25" s="1030" t="s">
        <v>752</v>
      </c>
      <c r="J25" s="302">
        <f ca="1">J5-J16</f>
        <v>-9507</v>
      </c>
      <c r="K25" s="1031" t="s">
        <v>753</v>
      </c>
      <c r="L25" s="1032"/>
      <c r="M25" s="1033"/>
    </row>
    <row r="26" spans="1:37" ht="18" customHeight="1">
      <c r="A26" s="927" t="s">
        <v>397</v>
      </c>
      <c r="B26" s="294" t="s">
        <v>754</v>
      </c>
      <c r="C26" s="21">
        <f ca="1">ROUND((C19+C20)*F26,0)</f>
        <v>70483</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612190</v>
      </c>
      <c r="D29" s="1028"/>
      <c r="E29" s="1026"/>
      <c r="F29" s="1029"/>
      <c r="G29" s="1301"/>
      <c r="H29" s="325" t="s">
        <v>396</v>
      </c>
      <c r="I29" s="326" t="s">
        <v>768</v>
      </c>
      <c r="J29" s="327">
        <f ca="1">ROUND(J26/(1+F40)^F41,0)</f>
        <v>0</v>
      </c>
      <c r="K29" s="328" t="s">
        <v>769</v>
      </c>
      <c r="L29" s="329"/>
      <c r="M29" s="330">
        <f ca="1">INDIRECT("'数据-取费表'!k"&amp;$G$1)</f>
        <v>108.47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f ca="1">ROUND(C31+C36+C37+C38,0)</f>
        <v>54566</v>
      </c>
      <c r="D30" s="1023" t="s">
        <v>715</v>
      </c>
      <c r="E30" s="1024"/>
      <c r="F30" s="1008"/>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ROUND(IF(AND(项目基本情况!B11="自然人",项目基本情况!B10="北京市"),C6*F31/(1+'数据-取费表'!C42),C32+C33+C34),0)</f>
        <v>42133</v>
      </c>
      <c r="D31" s="1255" t="s">
        <v>720</v>
      </c>
      <c r="E31" s="1254" t="s">
        <v>770</v>
      </c>
      <c r="F31" s="2137" t="str">
        <f>IF(项目基本情况!B11="企业","——",IF(M47="住宅",IF(F6*F7*F8/12/(1+'数据-取费表'!F30)&gt;100000,4%,2.5%),IF(F6*F7*F8/12/(1+'数据-取费表'!F30)&gt;100000,12%,7%)))</f>
        <v>——</v>
      </c>
      <c r="G31" s="1290"/>
      <c r="H31" s="2568" t="s">
        <v>2301</v>
      </c>
      <c r="I31" s="1303"/>
      <c r="J31" s="1304"/>
      <c r="K31" s="121"/>
      <c r="L31" s="2470"/>
      <c r="M31" s="2471"/>
    </row>
    <row r="32" spans="1:37" ht="18" customHeight="1">
      <c r="A32" s="927" t="s">
        <v>397</v>
      </c>
      <c r="B32" s="294" t="s">
        <v>723</v>
      </c>
      <c r="C32" s="21">
        <f ca="1">IF(项目基本情况!B11="自然人","——",ROUND(C6*F32/(1+'数据-取费表'!C42),0))</f>
        <v>13303</v>
      </c>
      <c r="D32" s="1254" t="s">
        <v>724</v>
      </c>
      <c r="E32" s="294" t="s">
        <v>712</v>
      </c>
      <c r="F32" s="322">
        <f>'数据-取费表'!B41</f>
        <v>5.6000000000000001E-2</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28506</v>
      </c>
      <c r="D33" s="1276" t="s">
        <v>3332</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 ca="1">IF(项目基本情况!B11="自然人","——",ROUND(F34*F35,0))</f>
        <v>324</v>
      </c>
      <c r="D34" s="316" t="s">
        <v>731</v>
      </c>
      <c r="E34" s="294" t="s">
        <v>732</v>
      </c>
      <c r="F34" s="317">
        <f>'数据-取费表'!B52</f>
        <v>24</v>
      </c>
      <c r="G34" s="1290"/>
      <c r="H34" s="2469"/>
      <c r="I34" s="1303"/>
      <c r="J34" s="1304"/>
      <c r="K34" s="2474"/>
      <c r="L34" s="2475"/>
      <c r="M34" s="2475"/>
    </row>
    <row r="35" spans="1:18" ht="18" customHeight="1">
      <c r="A35" s="1039"/>
      <c r="B35" s="1037"/>
      <c r="C35" s="26"/>
      <c r="D35" s="319"/>
      <c r="E35" s="294" t="s">
        <v>736</v>
      </c>
      <c r="F35" s="295">
        <f ca="1">INDIRECT("'数据-取费表'!r"&amp;$G$1)</f>
        <v>13.52</v>
      </c>
      <c r="G35" s="1290"/>
      <c r="H35" s="2469"/>
      <c r="I35" s="1303"/>
      <c r="J35" s="1304"/>
      <c r="K35" s="2473"/>
      <c r="L35" s="2472"/>
      <c r="M35" s="2472"/>
    </row>
    <row r="36" spans="1:18" ht="18" customHeight="1">
      <c r="A36" s="1038" t="s">
        <v>402</v>
      </c>
      <c r="B36" s="294" t="s">
        <v>738</v>
      </c>
      <c r="C36" s="21">
        <f ca="1">ROUND(C29*F36,0)</f>
        <v>9183</v>
      </c>
      <c r="D36" s="1254" t="s">
        <v>771</v>
      </c>
      <c r="E36" s="294" t="s">
        <v>712</v>
      </c>
      <c r="F36" s="320">
        <f ca="1">INDIRECT("'数据-取费表'!Ak"&amp;$G$1)</f>
        <v>1.4999999999999999E-2</v>
      </c>
      <c r="G36" s="1290"/>
      <c r="H36" s="2472"/>
      <c r="I36" s="1303"/>
      <c r="J36" s="1304"/>
      <c r="K36" s="2329"/>
      <c r="L36" s="2472"/>
      <c r="M36" s="2472"/>
    </row>
    <row r="37" spans="1:18" ht="18" customHeight="1">
      <c r="A37" s="927" t="s">
        <v>437</v>
      </c>
      <c r="B37" s="294" t="s">
        <v>742</v>
      </c>
      <c r="C37" s="21">
        <f ca="1">ROUND(C13*F37,0)</f>
        <v>753</v>
      </c>
      <c r="D37" s="1254" t="s">
        <v>743</v>
      </c>
      <c r="E37" s="294" t="s">
        <v>744</v>
      </c>
      <c r="F37" s="321">
        <f ca="1">INDIRECT("'数据-取费表'!Al"&amp;$G$1)</f>
        <v>1.5E-3</v>
      </c>
      <c r="G37" s="1290"/>
      <c r="H37" s="2472"/>
      <c r="I37" s="1303"/>
      <c r="J37" s="1304"/>
      <c r="K37" s="2329"/>
      <c r="L37" s="2472"/>
      <c r="M37" s="2472"/>
    </row>
    <row r="38" spans="1:18" ht="18" customHeight="1" thickBot="1">
      <c r="A38" s="1025" t="s">
        <v>684</v>
      </c>
      <c r="B38" s="1026" t="s">
        <v>728</v>
      </c>
      <c r="C38" s="1027">
        <f ca="1">ROUND(C5*F38,0)</f>
        <v>2497</v>
      </c>
      <c r="D38" s="1028" t="s">
        <v>748</v>
      </c>
      <c r="E38" s="1026" t="s">
        <v>744</v>
      </c>
      <c r="F38" s="1022">
        <f ca="1">INDIRECT("'数据-取费表'!Am"&amp;$G$1)</f>
        <v>0.01</v>
      </c>
      <c r="G38" s="1290"/>
      <c r="H38" s="2472"/>
      <c r="I38" s="1303"/>
      <c r="J38" s="1304"/>
      <c r="K38" s="2470"/>
      <c r="L38" s="2472"/>
      <c r="M38" s="2472"/>
    </row>
    <row r="39" spans="1:18" ht="24.6" customHeight="1" thickTop="1">
      <c r="A39" s="1015" t="s">
        <v>394</v>
      </c>
      <c r="B39" s="1030" t="s">
        <v>772</v>
      </c>
      <c r="C39" s="302">
        <f ca="1">C5-C30</f>
        <v>195173</v>
      </c>
      <c r="D39" s="1031" t="s">
        <v>773</v>
      </c>
      <c r="E39" s="1032"/>
      <c r="F39" s="1033"/>
      <c r="G39" s="1290"/>
      <c r="H39" s="2472"/>
      <c r="I39" s="1303"/>
      <c r="J39" s="1304"/>
      <c r="K39" s="2470"/>
      <c r="L39" s="2472"/>
      <c r="M39" s="2472"/>
    </row>
    <row r="40" spans="1:18" ht="18" customHeight="1">
      <c r="A40" s="291" t="s">
        <v>395</v>
      </c>
      <c r="B40" s="292" t="s">
        <v>774</v>
      </c>
      <c r="C40" s="293">
        <f ca="1">ROUND(C39*(1-((1+F42)/(1+F40))^F41)/(F40-F42),0)</f>
        <v>4077972</v>
      </c>
      <c r="D40" s="316" t="s">
        <v>758</v>
      </c>
      <c r="E40" s="294" t="s">
        <v>759</v>
      </c>
      <c r="F40" s="304">
        <f ca="1">INDIRECT("'数据-取费表'!I"&amp;$G$1)</f>
        <v>5.5E-2</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30.81</v>
      </c>
      <c r="G41" s="1290"/>
      <c r="H41" s="121"/>
      <c r="I41" s="1303"/>
      <c r="J41" s="1304"/>
      <c r="K41" s="2329"/>
      <c r="L41" s="121"/>
      <c r="M41" s="121"/>
    </row>
    <row r="42" spans="1:18" ht="18" customHeight="1">
      <c r="A42" s="300"/>
      <c r="B42" s="301"/>
      <c r="C42" s="302"/>
      <c r="D42" s="319"/>
      <c r="E42" s="294" t="s">
        <v>766</v>
      </c>
      <c r="F42" s="304">
        <f ca="1">INDIRECT("'数据-取费表'!v"&amp;$G$1)</f>
        <v>0.03</v>
      </c>
      <c r="G42" s="1290"/>
      <c r="H42" s="121"/>
      <c r="I42" s="1303"/>
      <c r="J42" s="1304"/>
      <c r="K42" s="2329"/>
      <c r="L42" s="121"/>
      <c r="M42" s="121"/>
    </row>
    <row r="43" spans="1:18" ht="18" customHeight="1" thickBot="1">
      <c r="A43" s="325" t="s">
        <v>396</v>
      </c>
      <c r="B43" s="326" t="s">
        <v>776</v>
      </c>
      <c r="C43" s="327">
        <f ca="1">ROUND(C40/F43,0)</f>
        <v>37595</v>
      </c>
      <c r="D43" s="328" t="s">
        <v>777</v>
      </c>
      <c r="E43" s="329" t="s">
        <v>778</v>
      </c>
      <c r="F43" s="330">
        <f ca="1">INDIRECT("'数据-取费表'!k"&amp;$G$1)</f>
        <v>108.47</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3348</v>
      </c>
      <c r="B45" s="1305"/>
      <c r="C45" s="1374">
        <f ca="1">ROUND((C68-C40)/10000,4)</f>
        <v>-422.86770000000001</v>
      </c>
      <c r="D45" s="3129" t="s">
        <v>3349</v>
      </c>
      <c r="E45" s="1305"/>
      <c r="F45" s="1305"/>
      <c r="O45" s="1308" t="s">
        <v>808</v>
      </c>
      <c r="P45" s="1364"/>
      <c r="Q45" s="1364"/>
      <c r="R45" s="1364"/>
    </row>
    <row r="46" spans="1:18" s="1290" customFormat="1" ht="13.5" thickBot="1">
      <c r="A46" s="1309" t="s">
        <v>809</v>
      </c>
      <c r="C46" s="1310">
        <f ca="1">ROUND(C45,0)</f>
        <v>-423</v>
      </c>
      <c r="D46" s="1311" t="str">
        <f>C2</f>
        <v>万元</v>
      </c>
      <c r="I46" s="1312" t="s">
        <v>810</v>
      </c>
      <c r="J46" s="1313"/>
      <c r="K46" s="1314"/>
      <c r="L46" s="1315">
        <f ca="1">IF(M47="住宅",0,IF(L48&gt;J51,L60,J60))</f>
        <v>22864</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3574</v>
      </c>
      <c r="K47" s="1321" t="s">
        <v>816</v>
      </c>
      <c r="L47" s="1322">
        <f ca="1">INDIRECT("'数据-取费表'!d"&amp;$G$1)</f>
        <v>50</v>
      </c>
      <c r="M47" s="1286" t="str">
        <f>IF(ISNUMBER(FIND("住宅",C1)),"住宅","非住宅")</f>
        <v>非住宅</v>
      </c>
      <c r="O47" s="1323" t="s">
        <v>403</v>
      </c>
      <c r="P47" s="1324" t="s">
        <v>817</v>
      </c>
      <c r="Q47" s="1325">
        <f ca="1">C40+J29</f>
        <v>4077972</v>
      </c>
      <c r="R47" s="1325" t="s">
        <v>818</v>
      </c>
    </row>
    <row r="48" spans="1:18" s="1290" customFormat="1" ht="28.5" thickBot="1">
      <c r="A48" s="1046" t="s">
        <v>438</v>
      </c>
      <c r="B48" s="292" t="s">
        <v>692</v>
      </c>
      <c r="C48" s="1266">
        <f ca="1">C49+C53+C55</f>
        <v>0</v>
      </c>
      <c r="D48" s="1048"/>
      <c r="E48" s="1049"/>
      <c r="F48" s="907"/>
      <c r="G48" s="680"/>
      <c r="H48" s="681"/>
      <c r="I48" s="1326" t="s">
        <v>819</v>
      </c>
      <c r="J48" s="1327" t="s">
        <v>3590</v>
      </c>
      <c r="K48" s="1328" t="s">
        <v>820</v>
      </c>
      <c r="L48" s="1329">
        <f ca="1">INDIRECT("'数据-取费表'!f"&amp;$G$1)</f>
        <v>30.81</v>
      </c>
      <c r="O48" s="1323" t="s">
        <v>404</v>
      </c>
      <c r="P48" s="1324" t="s">
        <v>821</v>
      </c>
      <c r="Q48" s="1325">
        <f ca="1">J60</f>
        <v>22864</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2012</v>
      </c>
      <c r="K49" s="1328" t="s">
        <v>824</v>
      </c>
      <c r="L49" s="1331"/>
      <c r="O49" s="1332" t="s">
        <v>405</v>
      </c>
      <c r="P49" s="1324" t="s">
        <v>825</v>
      </c>
      <c r="Q49" s="1325">
        <f ca="1">C29</f>
        <v>612190</v>
      </c>
      <c r="R49" s="1325" t="s">
        <v>818</v>
      </c>
    </row>
    <row r="50" spans="1:18" s="1290" customFormat="1" ht="13.5" thickBot="1">
      <c r="A50" s="921"/>
      <c r="B50" s="924"/>
      <c r="C50" s="925"/>
      <c r="D50" s="898"/>
      <c r="E50" s="992" t="s">
        <v>697</v>
      </c>
      <c r="F50" s="993">
        <f ca="1">F7</f>
        <v>108.47</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5">
        <f ca="1">F8</f>
        <v>365</v>
      </c>
      <c r="I51" s="1336" t="s">
        <v>829</v>
      </c>
      <c r="J51" s="1329">
        <f>IF(J49="",J50,J49+J50-YEAR('数据-取费表'!B2))</f>
        <v>49</v>
      </c>
      <c r="K51" s="1337" t="s">
        <v>830</v>
      </c>
      <c r="L51" s="1338">
        <f ca="1">ROUND(-PV(INDIRECT("'数据-取费表'!h"&amp;$G$1),J51,(C39-C13*C76),0),0)</f>
        <v>2861997</v>
      </c>
      <c r="M51" s="1339"/>
      <c r="O51" s="1332" t="s">
        <v>407</v>
      </c>
      <c r="P51" s="1324" t="s">
        <v>831</v>
      </c>
      <c r="Q51" s="1335">
        <f>J52</f>
        <v>0.08</v>
      </c>
      <c r="R51" s="1325"/>
    </row>
    <row r="52" spans="1:18" s="1290" customFormat="1" ht="13.5" thickBot="1">
      <c r="A52" s="922"/>
      <c r="B52" s="924"/>
      <c r="C52" s="925"/>
      <c r="D52" s="898"/>
      <c r="E52" s="926" t="s">
        <v>699</v>
      </c>
      <c r="F52" s="990"/>
      <c r="I52" s="1340" t="s">
        <v>832</v>
      </c>
      <c r="J52" s="1341">
        <v>0.08</v>
      </c>
      <c r="K52" s="1340" t="s">
        <v>833</v>
      </c>
      <c r="L52" s="1341"/>
      <c r="O52" s="1332" t="s">
        <v>408</v>
      </c>
      <c r="P52" s="1324" t="s">
        <v>834</v>
      </c>
      <c r="Q52" s="1325">
        <f ca="1">J53</f>
        <v>30.81</v>
      </c>
      <c r="R52" s="1325" t="s">
        <v>835</v>
      </c>
    </row>
    <row r="53" spans="1:18" s="1290" customFormat="1" ht="30.75" customHeight="1" thickBot="1">
      <c r="A53" s="1047" t="s">
        <v>440</v>
      </c>
      <c r="B53" s="315" t="s">
        <v>700</v>
      </c>
      <c r="C53" s="308">
        <f ca="1">ROUND(IF(F53="押一",C49/12*F11,IF(F53="押二",C49/12*2*F11,IF(F53="押三",C49/12*3*F11,C54*F11))),0)</f>
        <v>0</v>
      </c>
      <c r="D53" s="150" t="s">
        <v>2114</v>
      </c>
      <c r="E53" s="305" t="s">
        <v>701</v>
      </c>
      <c r="F53" s="1052"/>
      <c r="I53" s="1342" t="s">
        <v>836</v>
      </c>
      <c r="J53" s="2004">
        <f ca="1">IF(M47="住宅",IF(D1="——",MAX(J51,L48),MAX(J51,L48-'数据-取费表'!B24)),IF(D1="——",MIN(J51,L48),MIN(J51,L48-'数据-取费表'!B24)))</f>
        <v>30.81</v>
      </c>
      <c r="K53" s="3353" t="s">
        <v>837</v>
      </c>
      <c r="L53" s="3354"/>
      <c r="O53" s="1323" t="s">
        <v>409</v>
      </c>
      <c r="P53" s="1324" t="s">
        <v>838</v>
      </c>
      <c r="Q53" s="1325">
        <f ca="1">Q47+Q48</f>
        <v>4100836</v>
      </c>
      <c r="R53" s="1325" t="s">
        <v>410</v>
      </c>
    </row>
    <row r="54" spans="1:18" s="1290" customFormat="1" ht="13.5"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50"/>
      <c r="E55" s="1280"/>
      <c r="F55" s="1343"/>
      <c r="I55" s="1346" t="s">
        <v>840</v>
      </c>
      <c r="J55" s="1347">
        <f ca="1">ROUND(IF(J47="钢混",J57/J50,1-(1-2%)*(J50-J57)/J50),3)</f>
        <v>0.30299999999999999</v>
      </c>
      <c r="K55" s="1348" t="s">
        <v>841</v>
      </c>
      <c r="L55" s="1349"/>
      <c r="O55" s="1316" t="s">
        <v>811</v>
      </c>
      <c r="P55" s="1317" t="s">
        <v>812</v>
      </c>
      <c r="Q55" s="1318" t="s">
        <v>813</v>
      </c>
      <c r="R55" s="1318" t="s">
        <v>814</v>
      </c>
    </row>
    <row r="56" spans="1:18" s="1290" customFormat="1" ht="36" customHeight="1" thickTop="1" thickBot="1">
      <c r="A56" s="902">
        <v>2</v>
      </c>
      <c r="B56" s="903" t="s">
        <v>704</v>
      </c>
      <c r="C56" s="224">
        <f ca="1">C13</f>
        <v>501996</v>
      </c>
      <c r="D56" s="1350"/>
      <c r="E56" s="1351"/>
      <c r="F56" s="1343"/>
      <c r="I56" s="1352" t="s">
        <v>842</v>
      </c>
      <c r="J56" s="1353" t="s">
        <v>3591</v>
      </c>
      <c r="K56" s="1326" t="s">
        <v>843</v>
      </c>
      <c r="L56" s="1329" t="str">
        <f ca="1">IF(L48&lt;J51,"——",L48-J51)</f>
        <v>——</v>
      </c>
      <c r="O56" s="1323" t="s">
        <v>403</v>
      </c>
      <c r="P56" s="1324" t="s">
        <v>817</v>
      </c>
      <c r="Q56" s="1325">
        <f ca="1">C40+J29</f>
        <v>4077972</v>
      </c>
      <c r="R56" s="1325" t="s">
        <v>818</v>
      </c>
    </row>
    <row r="57" spans="1:18" s="1290" customFormat="1" ht="24.75" thickBot="1">
      <c r="A57" s="1354"/>
      <c r="B57" s="895" t="s">
        <v>767</v>
      </c>
      <c r="C57" s="230">
        <f ca="1">C29</f>
        <v>612190</v>
      </c>
      <c r="D57" s="1355"/>
      <c r="E57" s="1356"/>
      <c r="F57" s="1357"/>
      <c r="I57" s="1358" t="s">
        <v>844</v>
      </c>
      <c r="J57" s="1359">
        <f ca="1">IF(OR(M47="住宅",J51&lt;L48,J56="是"),"——",J51-L48)</f>
        <v>18.190000000000001</v>
      </c>
      <c r="K57" s="1326" t="s">
        <v>892</v>
      </c>
      <c r="L57" s="1329" t="str">
        <f ca="1">IF(L48&lt;J51,"——",IF(L55="比较法",L49,IF(L55="基准地价",L50,L51)))</f>
        <v>——</v>
      </c>
      <c r="O57" s="1323" t="s">
        <v>404</v>
      </c>
      <c r="P57" s="1324" t="s">
        <v>893</v>
      </c>
      <c r="Q57" s="1325">
        <f ca="1">L60</f>
        <v>0</v>
      </c>
      <c r="R57" s="1325" t="s">
        <v>894</v>
      </c>
    </row>
    <row r="58" spans="1:18" s="1290" customFormat="1" ht="24.75" thickBot="1">
      <c r="A58" s="307" t="s">
        <v>393</v>
      </c>
      <c r="B58" s="903" t="s">
        <v>714</v>
      </c>
      <c r="C58" s="308">
        <f ca="1">ROUND(C59+C64+C65+C66,0)</f>
        <v>10260</v>
      </c>
      <c r="D58" s="905" t="s">
        <v>715</v>
      </c>
      <c r="E58" s="906"/>
      <c r="F58" s="907"/>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324</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244876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1" t="s">
        <v>853</v>
      </c>
      <c r="J60" s="1362">
        <f ca="1">IF(OR(M47="住宅",J51&lt;L48,J56="是"),"0",ROUND(J59/(1+J52)^J53,0))</f>
        <v>22864</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3332</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324</v>
      </c>
      <c r="D62" s="910" t="s">
        <v>786</v>
      </c>
      <c r="E62" s="895" t="s">
        <v>787</v>
      </c>
      <c r="F62" s="317">
        <f t="shared" si="0"/>
        <v>24</v>
      </c>
      <c r="I62" s="1365" t="s">
        <v>858</v>
      </c>
      <c r="J62" s="609" t="s">
        <v>859</v>
      </c>
      <c r="K62" s="609" t="s">
        <v>860</v>
      </c>
      <c r="L62" s="609" t="s">
        <v>861</v>
      </c>
      <c r="M62" s="1366" t="s">
        <v>862</v>
      </c>
      <c r="O62" s="1323" t="s">
        <v>409</v>
      </c>
      <c r="P62" s="1324" t="s">
        <v>863</v>
      </c>
      <c r="Q62" s="1325">
        <f ca="1">Q56+Q57</f>
        <v>4077972</v>
      </c>
      <c r="R62" s="1325" t="s">
        <v>410</v>
      </c>
    </row>
    <row r="63" spans="1:18" s="1290" customFormat="1" ht="13.5" thickBot="1">
      <c r="A63" s="318"/>
      <c r="B63" s="901"/>
      <c r="C63" s="26"/>
      <c r="D63" s="911"/>
      <c r="E63" s="895" t="s">
        <v>788</v>
      </c>
      <c r="F63" s="295">
        <f t="shared" ca="1" si="0"/>
        <v>13.52</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9183</v>
      </c>
      <c r="D64" s="909" t="s">
        <v>791</v>
      </c>
      <c r="E64" s="895" t="s">
        <v>783</v>
      </c>
      <c r="F64" s="320">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753</v>
      </c>
      <c r="D65" s="909" t="s">
        <v>743</v>
      </c>
      <c r="E65" s="895" t="s">
        <v>744</v>
      </c>
      <c r="F65" s="321">
        <f t="shared" ca="1" si="0"/>
        <v>1.5E-3</v>
      </c>
      <c r="I65" s="1365" t="s">
        <v>867</v>
      </c>
      <c r="J65" s="609">
        <v>40</v>
      </c>
      <c r="K65" s="609">
        <v>30</v>
      </c>
      <c r="L65" s="609">
        <v>50</v>
      </c>
      <c r="M65" s="1367">
        <v>0.02</v>
      </c>
      <c r="O65" s="1323" t="s">
        <v>403</v>
      </c>
      <c r="P65" s="1324" t="s">
        <v>868</v>
      </c>
      <c r="Q65" s="1325">
        <f ca="1">C40+J29</f>
        <v>4077972</v>
      </c>
      <c r="R65" s="1325" t="s">
        <v>818</v>
      </c>
    </row>
    <row r="66" spans="1:18" s="1290" customFormat="1" ht="16.5" thickBot="1">
      <c r="A66" s="927" t="s">
        <v>793</v>
      </c>
      <c r="B66" s="895" t="s">
        <v>728</v>
      </c>
      <c r="C66" s="21">
        <f ca="1">ROUND(C48*F66,0)</f>
        <v>0</v>
      </c>
      <c r="D66" s="909" t="s">
        <v>794</v>
      </c>
      <c r="E66" s="895" t="s">
        <v>712</v>
      </c>
      <c r="F66" s="304">
        <f t="shared" ca="1" si="0"/>
        <v>0.01</v>
      </c>
      <c r="O66" s="1323" t="s">
        <v>404</v>
      </c>
      <c r="P66" s="1324" t="s">
        <v>846</v>
      </c>
      <c r="Q66" s="1325">
        <f ca="1">L60</f>
        <v>0</v>
      </c>
      <c r="R66" s="1325" t="s">
        <v>869</v>
      </c>
    </row>
    <row r="67" spans="1:18" s="1290" customFormat="1" ht="16.5" thickBot="1">
      <c r="A67" s="902" t="s">
        <v>394</v>
      </c>
      <c r="B67" s="912" t="s">
        <v>752</v>
      </c>
      <c r="C67" s="308">
        <f ca="1">C48-C58</f>
        <v>-10260</v>
      </c>
      <c r="D67" s="908" t="s">
        <v>753</v>
      </c>
      <c r="E67" s="913"/>
      <c r="F67" s="914"/>
      <c r="O67" s="1332" t="s">
        <v>405</v>
      </c>
      <c r="P67" s="1324" t="s">
        <v>850</v>
      </c>
      <c r="Q67" s="1368">
        <f ca="1">L51</f>
        <v>2861997</v>
      </c>
      <c r="R67" s="1325" t="s">
        <v>870</v>
      </c>
    </row>
    <row r="68" spans="1:18" s="1290" customFormat="1" ht="16.5" thickBot="1">
      <c r="A68" s="892" t="s">
        <v>395</v>
      </c>
      <c r="B68" s="893" t="s">
        <v>774</v>
      </c>
      <c r="C68" s="293">
        <f ca="1">ROUND(C67*(1-((1+F70)/(1+F68))^F69)/(F68-F70),0)</f>
        <v>-150705</v>
      </c>
      <c r="D68" s="910" t="s">
        <v>758</v>
      </c>
      <c r="E68" s="895" t="s">
        <v>759</v>
      </c>
      <c r="F68" s="304">
        <f ca="1">F40</f>
        <v>5.5E-2</v>
      </c>
      <c r="O68" s="1332" t="s">
        <v>406</v>
      </c>
      <c r="P68" s="1369" t="s">
        <v>871</v>
      </c>
      <c r="Q68" s="1325">
        <f ca="1">ROUND(Q69-Q70*Q71,0)</f>
        <v>157523</v>
      </c>
      <c r="R68" s="1325" t="s">
        <v>414</v>
      </c>
    </row>
    <row r="69" spans="1:18" s="1290" customFormat="1" ht="13.5" thickBot="1">
      <c r="A69" s="896"/>
      <c r="B69" s="897"/>
      <c r="C69" s="298"/>
      <c r="D69" s="915" t="s">
        <v>762</v>
      </c>
      <c r="E69" s="895" t="s">
        <v>763</v>
      </c>
      <c r="F69" s="324">
        <f ca="1">F41</f>
        <v>30.81</v>
      </c>
      <c r="O69" s="1332" t="s">
        <v>411</v>
      </c>
      <c r="P69" s="1369" t="s">
        <v>872</v>
      </c>
      <c r="Q69" s="1325">
        <f ca="1">C39</f>
        <v>195173</v>
      </c>
      <c r="R69" s="1325" t="s">
        <v>818</v>
      </c>
    </row>
    <row r="70" spans="1:18" s="1290" customFormat="1" ht="13.5" thickBot="1">
      <c r="A70" s="899"/>
      <c r="B70" s="900"/>
      <c r="C70" s="302"/>
      <c r="D70" s="911"/>
      <c r="E70" s="895" t="s">
        <v>766</v>
      </c>
      <c r="F70" s="990"/>
      <c r="O70" s="1332" t="s">
        <v>412</v>
      </c>
      <c r="P70" s="1369" t="s">
        <v>873</v>
      </c>
      <c r="Q70" s="1325">
        <f ca="1">C13</f>
        <v>501996</v>
      </c>
      <c r="R70" s="1325" t="s">
        <v>818</v>
      </c>
    </row>
    <row r="71" spans="1:18" s="1290" customFormat="1" ht="13.5" thickBot="1">
      <c r="A71" s="916" t="s">
        <v>396</v>
      </c>
      <c r="B71" s="917" t="s">
        <v>776</v>
      </c>
      <c r="C71" s="327">
        <f ca="1">ROUND(C68/F71,0)</f>
        <v>-1389</v>
      </c>
      <c r="D71" s="918" t="s">
        <v>777</v>
      </c>
      <c r="E71" s="919" t="s">
        <v>778</v>
      </c>
      <c r="F71" s="330">
        <f ca="1">F43</f>
        <v>108.47</v>
      </c>
      <c r="O71" s="1332" t="s">
        <v>413</v>
      </c>
      <c r="P71" s="1369" t="s">
        <v>874</v>
      </c>
      <c r="Q71" s="1335">
        <f ca="1">C76</f>
        <v>7.4999999999999997E-2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37650</v>
      </c>
      <c r="D75" s="1290"/>
      <c r="E75" s="1290"/>
      <c r="F75" s="1290"/>
      <c r="K75" s="1307"/>
      <c r="L75" s="1290"/>
      <c r="O75" s="1323" t="s">
        <v>409</v>
      </c>
      <c r="P75" s="1324" t="s">
        <v>838</v>
      </c>
      <c r="Q75" s="1325">
        <f ca="1">Q65+Q66</f>
        <v>4077972</v>
      </c>
      <c r="R75" s="1325" t="s">
        <v>410</v>
      </c>
    </row>
    <row r="76" spans="1:18">
      <c r="B76" s="333" t="s">
        <v>796</v>
      </c>
      <c r="C76" s="334">
        <f ca="1">INDIRECT("'数据-取费表'!j"&amp;$G$1)</f>
        <v>7.4999999999999997E-2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0.80699999999999994</v>
      </c>
    </row>
    <row r="80" spans="1:18">
      <c r="B80" s="331" t="s">
        <v>800</v>
      </c>
      <c r="C80" s="266">
        <f ca="1">ROUND(C75/C39,3)</f>
        <v>0.193</v>
      </c>
    </row>
    <row r="81" spans="2:3">
      <c r="B81" s="262" t="s">
        <v>801</v>
      </c>
      <c r="C81" s="230"/>
    </row>
    <row r="82" spans="2:3">
      <c r="B82" s="265" t="s">
        <v>802</v>
      </c>
      <c r="C82" s="267">
        <f ca="1">1-C83</f>
        <v>0.877</v>
      </c>
    </row>
    <row r="83" spans="2:3">
      <c r="B83" s="265" t="s">
        <v>803</v>
      </c>
      <c r="C83" s="266">
        <f ca="1">ROUND(C13/C40,3)</f>
        <v>0.123</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91" activePane="bottomLeft" state="frozen"/>
      <selection activeCell="Q80" sqref="Q80"/>
      <selection pane="bottomLeft" activeCell="S22" sqref="S22"/>
    </sheetView>
  </sheetViews>
  <sheetFormatPr defaultColWidth="9" defaultRowHeight="12.75"/>
  <cols>
    <col min="1" max="1" width="11.5" style="122" customWidth="1"/>
    <col min="2" max="2" width="9.25" style="24" customWidth="1"/>
    <col min="3" max="3" width="6" style="24" customWidth="1"/>
    <col min="4" max="4" width="9" style="24"/>
    <col min="5" max="5" width="5" style="24" customWidth="1"/>
    <col min="6" max="6" width="9" style="24"/>
    <col min="7" max="7" width="5" style="24" customWidth="1"/>
    <col min="8" max="8" width="9" style="24"/>
    <col min="9" max="9" width="5" style="24"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0" style="24" hidden="1" customWidth="1"/>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11" t="s">
        <v>2083</v>
      </c>
      <c r="D1" s="3412"/>
      <c r="E1" s="3412"/>
      <c r="F1" s="3412"/>
      <c r="G1" s="3412"/>
      <c r="H1" s="3412"/>
      <c r="I1" s="3412"/>
      <c r="J1" s="3412"/>
      <c r="K1" s="3412"/>
      <c r="L1" s="3412"/>
      <c r="M1" s="3412"/>
      <c r="N1" s="3412"/>
      <c r="O1" s="3412"/>
      <c r="P1" s="3412"/>
      <c r="Q1" s="3412"/>
      <c r="R1" s="3412"/>
      <c r="S1" s="3413"/>
      <c r="T1" s="928" t="s">
        <v>2084</v>
      </c>
    </row>
    <row r="2" spans="1:45" s="624" customFormat="1" ht="38.25">
      <c r="A2" s="929"/>
      <c r="B2" s="621" t="s">
        <v>2085</v>
      </c>
      <c r="C2" s="14" t="str">
        <f t="shared" ref="C2:L2" si="0">C3&amp;"(含)"&amp;"-"&amp;D3</f>
        <v>0(含)-100</v>
      </c>
      <c r="D2" s="622" t="str">
        <f t="shared" si="0"/>
        <v>100(含)-300</v>
      </c>
      <c r="E2" s="622" t="str">
        <f t="shared" si="0"/>
        <v>300(含)-500</v>
      </c>
      <c r="F2" s="622" t="str">
        <f t="shared" si="0"/>
        <v>500(含)-1000</v>
      </c>
      <c r="G2" s="622" t="str">
        <f t="shared" si="0"/>
        <v>1000(含)-1500</v>
      </c>
      <c r="H2" s="622" t="str">
        <f t="shared" si="0"/>
        <v>1500(含)-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100</v>
      </c>
      <c r="E3" s="627">
        <v>300</v>
      </c>
      <c r="F3" s="1219">
        <v>500</v>
      </c>
      <c r="G3" s="1219">
        <v>1000</v>
      </c>
      <c r="H3" s="1219">
        <v>1500</v>
      </c>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98</v>
      </c>
      <c r="D4" s="935">
        <v>99</v>
      </c>
      <c r="E4" s="935">
        <v>100</v>
      </c>
      <c r="F4" s="1223">
        <v>99</v>
      </c>
      <c r="G4" s="1223">
        <v>98</v>
      </c>
      <c r="H4" s="1223">
        <v>97</v>
      </c>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8" customHeight="1">
      <c r="A5" s="924"/>
      <c r="B5" s="3157" t="s">
        <v>3605</v>
      </c>
      <c r="C5" s="939" t="s">
        <v>3575</v>
      </c>
      <c r="D5" s="940" t="s">
        <v>3580</v>
      </c>
      <c r="E5" s="940" t="s">
        <v>3606</v>
      </c>
      <c r="F5" s="1226" t="s">
        <v>3598</v>
      </c>
      <c r="G5" s="1226"/>
      <c r="H5" s="1226"/>
      <c r="I5" s="1226"/>
      <c r="J5" s="1226"/>
      <c r="K5" s="1226"/>
      <c r="L5" s="1227"/>
      <c r="M5" s="1228"/>
      <c r="N5" s="1228"/>
      <c r="O5" s="1226"/>
      <c r="P5" s="1226"/>
      <c r="Q5" s="1226"/>
      <c r="R5" s="1226"/>
      <c r="S5" s="1229"/>
      <c r="T5" s="942">
        <f>'比较法-办公'!K43</f>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99</v>
      </c>
      <c r="E6" s="848">
        <f t="shared" ref="E6:S6" si="2">D6-$T5</f>
        <v>98</v>
      </c>
      <c r="F6" s="1230">
        <f t="shared" si="2"/>
        <v>97</v>
      </c>
      <c r="G6" s="1230">
        <f t="shared" si="2"/>
        <v>96</v>
      </c>
      <c r="H6" s="1230">
        <f t="shared" si="2"/>
        <v>95</v>
      </c>
      <c r="I6" s="1230">
        <f t="shared" si="2"/>
        <v>94</v>
      </c>
      <c r="J6" s="1230">
        <f t="shared" si="2"/>
        <v>93</v>
      </c>
      <c r="K6" s="1230">
        <f t="shared" si="2"/>
        <v>92</v>
      </c>
      <c r="L6" s="1230">
        <f t="shared" si="2"/>
        <v>91</v>
      </c>
      <c r="M6" s="1230">
        <f t="shared" si="2"/>
        <v>90</v>
      </c>
      <c r="N6" s="1230">
        <f t="shared" si="2"/>
        <v>89</v>
      </c>
      <c r="O6" s="1230">
        <f t="shared" si="2"/>
        <v>88</v>
      </c>
      <c r="P6" s="1230">
        <f t="shared" si="2"/>
        <v>87</v>
      </c>
      <c r="Q6" s="1230">
        <f t="shared" si="2"/>
        <v>86</v>
      </c>
      <c r="R6" s="1230">
        <f t="shared" si="2"/>
        <v>85</v>
      </c>
      <c r="S6" s="1230">
        <f t="shared" si="2"/>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3156" t="s">
        <v>3604</v>
      </c>
      <c r="C7" s="939" t="s">
        <v>3603</v>
      </c>
      <c r="D7" s="940" t="s">
        <v>3589</v>
      </c>
      <c r="E7" s="940" t="s">
        <v>3534</v>
      </c>
      <c r="F7" s="1231"/>
      <c r="G7" s="1231"/>
      <c r="H7" s="1231"/>
      <c r="I7" s="1231"/>
      <c r="J7" s="1231"/>
      <c r="K7" s="1231"/>
      <c r="L7" s="1231"/>
      <c r="M7" s="1232"/>
      <c r="N7" s="1233"/>
      <c r="O7" s="1234"/>
      <c r="P7" s="1234"/>
      <c r="Q7" s="1235"/>
      <c r="R7" s="1236"/>
      <c r="S7" s="1237"/>
      <c r="T7" s="630">
        <v>2</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98</v>
      </c>
      <c r="E8" s="848">
        <f t="shared" ref="E8:S8" si="3">D8-$T7</f>
        <v>96</v>
      </c>
      <c r="F8" s="1230">
        <f t="shared" si="3"/>
        <v>94</v>
      </c>
      <c r="G8" s="1230">
        <f t="shared" si="3"/>
        <v>92</v>
      </c>
      <c r="H8" s="1230">
        <f t="shared" si="3"/>
        <v>90</v>
      </c>
      <c r="I8" s="1230">
        <f t="shared" si="3"/>
        <v>88</v>
      </c>
      <c r="J8" s="1230">
        <f t="shared" si="3"/>
        <v>86</v>
      </c>
      <c r="K8" s="1230">
        <f t="shared" si="3"/>
        <v>84</v>
      </c>
      <c r="L8" s="1230">
        <f t="shared" si="3"/>
        <v>82</v>
      </c>
      <c r="M8" s="1230">
        <f t="shared" si="3"/>
        <v>80</v>
      </c>
      <c r="N8" s="1230">
        <f t="shared" si="3"/>
        <v>78</v>
      </c>
      <c r="O8" s="1230">
        <f t="shared" si="3"/>
        <v>76</v>
      </c>
      <c r="P8" s="1230">
        <f t="shared" si="3"/>
        <v>74</v>
      </c>
      <c r="Q8" s="1230">
        <f t="shared" si="3"/>
        <v>72</v>
      </c>
      <c r="R8" s="1230">
        <f t="shared" si="3"/>
        <v>70</v>
      </c>
      <c r="S8" s="1230">
        <f t="shared" si="3"/>
        <v>68</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t="13.5" thickBot="1">
      <c r="A9" s="924"/>
      <c r="B9" s="3156" t="s">
        <v>3607</v>
      </c>
      <c r="C9" s="850" t="s">
        <v>21</v>
      </c>
      <c r="D9" s="844" t="s">
        <v>3596</v>
      </c>
      <c r="E9" s="844"/>
      <c r="F9" s="1231"/>
      <c r="G9" s="1231"/>
      <c r="H9" s="1231"/>
      <c r="I9" s="1231"/>
      <c r="J9" s="1231"/>
      <c r="K9" s="1231"/>
      <c r="L9" s="1238"/>
      <c r="M9" s="1232"/>
      <c r="N9" s="1233"/>
      <c r="O9" s="1234"/>
      <c r="P9" s="1234"/>
      <c r="Q9" s="1235"/>
      <c r="R9" s="1236"/>
      <c r="S9" s="1237"/>
      <c r="T9" s="630">
        <v>6</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hidden="1" thickBot="1">
      <c r="A10" s="924"/>
      <c r="B10" s="933"/>
      <c r="C10" s="943">
        <v>100</v>
      </c>
      <c r="D10" s="714">
        <f>C10-$T9</f>
        <v>94</v>
      </c>
      <c r="E10" s="714">
        <f t="shared" ref="E10:S10" si="4">D10-$T9</f>
        <v>88</v>
      </c>
      <c r="F10" s="1239">
        <f t="shared" si="4"/>
        <v>82</v>
      </c>
      <c r="G10" s="1239">
        <f t="shared" si="4"/>
        <v>76</v>
      </c>
      <c r="H10" s="1239">
        <f t="shared" si="4"/>
        <v>70</v>
      </c>
      <c r="I10" s="1239">
        <f t="shared" si="4"/>
        <v>64</v>
      </c>
      <c r="J10" s="1239">
        <f t="shared" si="4"/>
        <v>58</v>
      </c>
      <c r="K10" s="1239">
        <f t="shared" si="4"/>
        <v>52</v>
      </c>
      <c r="L10" s="1239">
        <f t="shared" si="4"/>
        <v>46</v>
      </c>
      <c r="M10" s="1239">
        <f t="shared" si="4"/>
        <v>40</v>
      </c>
      <c r="N10" s="1239">
        <f t="shared" si="4"/>
        <v>34</v>
      </c>
      <c r="O10" s="1239">
        <f t="shared" si="4"/>
        <v>28</v>
      </c>
      <c r="P10" s="1239">
        <f t="shared" si="4"/>
        <v>22</v>
      </c>
      <c r="Q10" s="1239">
        <f t="shared" si="4"/>
        <v>16</v>
      </c>
      <c r="R10" s="1239">
        <f t="shared" si="4"/>
        <v>10</v>
      </c>
      <c r="S10" s="1239">
        <f t="shared" si="4"/>
        <v>4</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4"/>
      <c r="B11" s="1248" t="s">
        <v>2086</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hidden="1"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4"/>
      <c r="B13" s="1248" t="s">
        <v>2087</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4"/>
      <c r="B15" s="1248" t="s">
        <v>2088</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hidden="1">
      <c r="A17" s="1984" t="s">
        <v>2089</v>
      </c>
      <c r="B17" s="1985" t="s">
        <v>2090</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hidden="1"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2091</v>
      </c>
      <c r="E19" s="1251"/>
      <c r="F19" s="1251"/>
      <c r="G19" s="1251"/>
      <c r="H19" s="995"/>
      <c r="I19" s="151"/>
      <c r="J19" s="151"/>
      <c r="K19" s="151"/>
      <c r="L19" s="151"/>
      <c r="M19" s="151"/>
      <c r="N19" s="151"/>
      <c r="O19" s="151"/>
      <c r="P19" s="151"/>
      <c r="Q19" s="151"/>
      <c r="R19" s="151"/>
      <c r="S19" s="121"/>
    </row>
    <row r="20" spans="1:45" ht="16.5" thickBot="1">
      <c r="A20" s="631" t="s">
        <v>2092</v>
      </c>
      <c r="B20" s="286">
        <f ca="1">IF(D20="——",S22,S22-F20)</f>
        <v>81811</v>
      </c>
      <c r="C20" s="151"/>
      <c r="D20" s="1987" t="s">
        <v>43</v>
      </c>
      <c r="E20" s="1252"/>
      <c r="F20" s="928" t="e">
        <f ca="1">SUMIF(INDIRECT("'"&amp;H20&amp;"'"&amp;"!A:A"),"承租人权益价值",INDIRECT("'"&amp;H20&amp;"'"&amp;"!c:c"))</f>
        <v>#REF!</v>
      </c>
      <c r="G20" s="928" t="s">
        <v>2093</v>
      </c>
      <c r="H20" s="1988"/>
      <c r="I20" s="151"/>
      <c r="J20" s="151"/>
      <c r="K20" s="151"/>
      <c r="L20" s="151"/>
      <c r="M20" s="151"/>
      <c r="N20" s="151"/>
      <c r="O20" s="151"/>
      <c r="P20" s="151"/>
      <c r="Q20" s="151"/>
      <c r="R20" s="151"/>
      <c r="S20" s="121"/>
    </row>
    <row r="21" spans="1:45" ht="15.75">
      <c r="A21" s="631" t="s">
        <v>2094</v>
      </c>
      <c r="B21" s="286">
        <f ca="1">ROUND(B20*10000/B22,0)</f>
        <v>51052</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16024.920000000006</v>
      </c>
      <c r="C22" s="3408" t="s">
        <v>27</v>
      </c>
      <c r="D22" s="3409"/>
      <c r="E22" s="3409"/>
      <c r="F22" s="3409"/>
      <c r="G22" s="3409"/>
      <c r="H22" s="3409"/>
      <c r="I22" s="3409"/>
      <c r="J22" s="3409"/>
      <c r="K22" s="3409"/>
      <c r="L22" s="3409"/>
      <c r="M22" s="3409"/>
      <c r="N22" s="3409"/>
      <c r="O22" s="3409"/>
      <c r="P22" s="3409"/>
      <c r="Q22" s="3410"/>
      <c r="R22" s="21">
        <f ca="1">ROUND(S22*10000/B22,0)</f>
        <v>51052</v>
      </c>
      <c r="S22" s="21">
        <f ca="1">SUM(S24:S10000)</f>
        <v>81811</v>
      </c>
      <c r="T22" s="683">
        <f ca="1">S22-S24</f>
        <v>81284</v>
      </c>
    </row>
    <row r="23" spans="1:45" s="9" customFormat="1" ht="24">
      <c r="A23" s="8" t="s">
        <v>2096</v>
      </c>
      <c r="B23" s="8" t="s">
        <v>2097</v>
      </c>
      <c r="C23" s="8" t="s">
        <v>2098</v>
      </c>
      <c r="D23" s="8" t="str">
        <f>B5</f>
        <v>装修</v>
      </c>
      <c r="E23" s="8" t="s">
        <v>2098</v>
      </c>
      <c r="F23" s="8" t="str">
        <f>B7</f>
        <v>楼层</v>
      </c>
      <c r="G23" s="8" t="s">
        <v>2098</v>
      </c>
      <c r="H23" s="8" t="str">
        <f>B9</f>
        <v>现状用途</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明细表!B4</f>
        <v>2单元621</v>
      </c>
      <c r="B24" s="632">
        <f>明细表!E4</f>
        <v>108.47</v>
      </c>
      <c r="C24" s="2569">
        <v>1</v>
      </c>
      <c r="D24" s="2570" t="s">
        <v>3580</v>
      </c>
      <c r="E24" s="2569">
        <v>1</v>
      </c>
      <c r="F24" s="2570" t="s">
        <v>3534</v>
      </c>
      <c r="G24" s="2569">
        <v>1</v>
      </c>
      <c r="H24" s="2570" t="s">
        <v>3596</v>
      </c>
      <c r="I24" s="2569">
        <v>1</v>
      </c>
      <c r="J24" s="2570"/>
      <c r="K24" s="2569">
        <v>1</v>
      </c>
      <c r="L24" s="2570"/>
      <c r="M24" s="2569">
        <v>1</v>
      </c>
      <c r="N24" s="2570"/>
      <c r="O24" s="2569">
        <v>1</v>
      </c>
      <c r="P24" s="2570"/>
      <c r="Q24" s="2569">
        <v>1</v>
      </c>
      <c r="R24" s="632">
        <f ca="1">结果表!G20</f>
        <v>48576</v>
      </c>
      <c r="S24" s="633">
        <f t="shared" ref="S24:S54" ca="1" si="6">ROUND(R24*B24/10000,0)</f>
        <v>527</v>
      </c>
      <c r="T24" s="683" t="s">
        <v>3596</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明细表!B2</f>
        <v>2单元618</v>
      </c>
      <c r="B25" s="52">
        <f>明细表!E2</f>
        <v>108.47</v>
      </c>
      <c r="C25" s="21">
        <f>IF(B25="",1,(LOOKUP(B25,$3:$3,$4:$4)-LOOKUP($B$24,$3:$3,$4:$4)+100)/100)</f>
        <v>1</v>
      </c>
      <c r="D25" s="2570" t="s">
        <v>3580</v>
      </c>
      <c r="E25" s="21">
        <f>(SUMIF($5:$5,D25,$6:$6)-SUMIF($5:$5,$D$24,$6:$6)+100)/100</f>
        <v>1</v>
      </c>
      <c r="F25" s="2570" t="s">
        <v>3534</v>
      </c>
      <c r="G25" s="21">
        <f>(SUMIF($7:$7,F25,$8:$8)-SUMIF($7:$7,$F$24,$8:$8)+100)/100</f>
        <v>1</v>
      </c>
      <c r="H25" s="634" t="s">
        <v>21</v>
      </c>
      <c r="I25" s="21">
        <f>(SUMIF($9:$9,H25,$10:$10)-SUMIF($9:$9,$H$24,$10:$10)+100)/100</f>
        <v>1.06</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51491</v>
      </c>
      <c r="S25" s="308">
        <f t="shared" ca="1" si="6"/>
        <v>559</v>
      </c>
      <c r="T25" s="683" t="str">
        <f>明细表!G2</f>
        <v>办公</v>
      </c>
      <c r="U25" s="683">
        <f>明细表!D2</f>
        <v>5</v>
      </c>
    </row>
    <row r="26" spans="1:45">
      <c r="A26" s="142" t="str">
        <f>明细表!B3</f>
        <v>2单元619</v>
      </c>
      <c r="B26" s="52">
        <f>明细表!E3</f>
        <v>108.47</v>
      </c>
      <c r="C26" s="21">
        <f t="shared" ref="C26:C89" si="7">IF(B26="",1,(LOOKUP(B26,$3:$3,$4:$4)-LOOKUP($B$24,$3:$3,$4:$4)+100)/100)</f>
        <v>1</v>
      </c>
      <c r="D26" s="2570" t="s">
        <v>3580</v>
      </c>
      <c r="E26" s="21">
        <f t="shared" ref="E26:E89" si="8">(SUMIF($5:$5,D26,$6:$6)-SUMIF($5:$5,$D$24,$6:$6)+100)/100</f>
        <v>1</v>
      </c>
      <c r="F26" s="2570" t="s">
        <v>3534</v>
      </c>
      <c r="G26" s="21">
        <f t="shared" ref="G26:G89" si="9">(SUMIF($7:$7,F26,$8:$8)-SUMIF($7:$7,$F$24,$8:$8)+100)/100</f>
        <v>1</v>
      </c>
      <c r="H26" s="634" t="s">
        <v>21</v>
      </c>
      <c r="I26" s="21">
        <f t="shared" ref="I26:I89" si="10">(SUMIF($9:$9,H26,$10:$10)-SUMIF($9:$9,$H$24,$10:$10)+100)/100</f>
        <v>1.06</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ca="1" si="15">IF(B26="",0,ROUND($R$24*C26*E26*G26*I26*K26*M26*O26*Q26,0))</f>
        <v>51491</v>
      </c>
      <c r="S26" s="308">
        <f t="shared" ca="1" si="6"/>
        <v>559</v>
      </c>
      <c r="T26" s="683" t="str">
        <f>明细表!G3</f>
        <v>办公</v>
      </c>
      <c r="U26" s="683">
        <f>明细表!D3</f>
        <v>5</v>
      </c>
    </row>
    <row r="27" spans="1:45">
      <c r="A27" s="142"/>
      <c r="B27" s="52"/>
      <c r="C27" s="21">
        <f t="shared" si="7"/>
        <v>1</v>
      </c>
      <c r="D27" s="634"/>
      <c r="E27" s="21">
        <f t="shared" si="8"/>
        <v>0.01</v>
      </c>
      <c r="F27" s="634"/>
      <c r="G27" s="21">
        <f t="shared" si="9"/>
        <v>0.04</v>
      </c>
      <c r="H27" s="634"/>
      <c r="I27" s="21">
        <f t="shared" si="10"/>
        <v>0.06</v>
      </c>
      <c r="J27" s="634"/>
      <c r="K27" s="21">
        <f t="shared" si="11"/>
        <v>1</v>
      </c>
      <c r="L27" s="634"/>
      <c r="M27" s="21">
        <f t="shared" si="12"/>
        <v>1</v>
      </c>
      <c r="N27" s="634"/>
      <c r="O27" s="21">
        <f t="shared" si="13"/>
        <v>1</v>
      </c>
      <c r="P27" s="634"/>
      <c r="Q27" s="21">
        <f t="shared" si="14"/>
        <v>1</v>
      </c>
      <c r="R27" s="21">
        <f t="shared" si="15"/>
        <v>0</v>
      </c>
      <c r="S27" s="308">
        <f t="shared" si="6"/>
        <v>0</v>
      </c>
      <c r="T27" s="683" t="str">
        <f>明细表!G4</f>
        <v>公寓</v>
      </c>
      <c r="U27" s="683">
        <f>明细表!D4</f>
        <v>5</v>
      </c>
    </row>
    <row r="28" spans="1:45">
      <c r="A28" s="142" t="str">
        <f>明细表!B5</f>
        <v>2单元622</v>
      </c>
      <c r="B28" s="52">
        <f>明细表!E5</f>
        <v>108.47</v>
      </c>
      <c r="C28" s="21">
        <f t="shared" si="7"/>
        <v>1</v>
      </c>
      <c r="D28" s="2570" t="s">
        <v>3580</v>
      </c>
      <c r="E28" s="21">
        <f t="shared" si="8"/>
        <v>1</v>
      </c>
      <c r="F28" s="2570" t="s">
        <v>3534</v>
      </c>
      <c r="G28" s="21">
        <f t="shared" si="9"/>
        <v>1</v>
      </c>
      <c r="H28" s="634" t="s">
        <v>21</v>
      </c>
      <c r="I28" s="21">
        <f t="shared" si="10"/>
        <v>1.06</v>
      </c>
      <c r="J28" s="634"/>
      <c r="K28" s="21">
        <f t="shared" si="11"/>
        <v>1</v>
      </c>
      <c r="L28" s="634"/>
      <c r="M28" s="21">
        <f t="shared" si="12"/>
        <v>1</v>
      </c>
      <c r="N28" s="634"/>
      <c r="O28" s="21">
        <f t="shared" si="13"/>
        <v>1</v>
      </c>
      <c r="P28" s="634"/>
      <c r="Q28" s="21">
        <f t="shared" si="14"/>
        <v>1</v>
      </c>
      <c r="R28" s="21">
        <f t="shared" ca="1" si="15"/>
        <v>51491</v>
      </c>
      <c r="S28" s="308">
        <f t="shared" ca="1" si="6"/>
        <v>559</v>
      </c>
      <c r="T28" s="683" t="str">
        <f>明细表!G5</f>
        <v>办公</v>
      </c>
      <c r="U28" s="683">
        <f>明细表!D5</f>
        <v>5</v>
      </c>
    </row>
    <row r="29" spans="1:45">
      <c r="A29" s="142" t="str">
        <f>明细表!B6</f>
        <v>2单元623</v>
      </c>
      <c r="B29" s="52">
        <f>明细表!E6</f>
        <v>138.01</v>
      </c>
      <c r="C29" s="21">
        <f t="shared" si="7"/>
        <v>1</v>
      </c>
      <c r="D29" s="2570" t="s">
        <v>3580</v>
      </c>
      <c r="E29" s="21">
        <f t="shared" si="8"/>
        <v>1</v>
      </c>
      <c r="F29" s="2570" t="s">
        <v>3534</v>
      </c>
      <c r="G29" s="21">
        <f t="shared" si="9"/>
        <v>1</v>
      </c>
      <c r="H29" s="634" t="s">
        <v>21</v>
      </c>
      <c r="I29" s="21">
        <f t="shared" si="10"/>
        <v>1.06</v>
      </c>
      <c r="J29" s="634"/>
      <c r="K29" s="21">
        <f t="shared" si="11"/>
        <v>1</v>
      </c>
      <c r="L29" s="634"/>
      <c r="M29" s="21">
        <f t="shared" si="12"/>
        <v>1</v>
      </c>
      <c r="N29" s="634"/>
      <c r="O29" s="21">
        <f t="shared" si="13"/>
        <v>1</v>
      </c>
      <c r="P29" s="634"/>
      <c r="Q29" s="21">
        <f t="shared" si="14"/>
        <v>1</v>
      </c>
      <c r="R29" s="21">
        <f t="shared" ca="1" si="15"/>
        <v>51491</v>
      </c>
      <c r="S29" s="308">
        <f t="shared" ca="1" si="6"/>
        <v>711</v>
      </c>
      <c r="T29" s="683" t="str">
        <f>明细表!G6</f>
        <v>办公</v>
      </c>
      <c r="U29" s="683">
        <f>明细表!D6</f>
        <v>5</v>
      </c>
    </row>
    <row r="30" spans="1:45">
      <c r="A30" s="142" t="str">
        <f>明细表!B7</f>
        <v>2单元625</v>
      </c>
      <c r="B30" s="52">
        <f>明细表!E7</f>
        <v>138.01</v>
      </c>
      <c r="C30" s="21">
        <f t="shared" si="7"/>
        <v>1</v>
      </c>
      <c r="D30" s="2570" t="s">
        <v>3580</v>
      </c>
      <c r="E30" s="21">
        <f t="shared" si="8"/>
        <v>1</v>
      </c>
      <c r="F30" s="2570" t="s">
        <v>3534</v>
      </c>
      <c r="G30" s="21">
        <f t="shared" si="9"/>
        <v>1</v>
      </c>
      <c r="H30" s="634" t="s">
        <v>21</v>
      </c>
      <c r="I30" s="21">
        <f t="shared" si="10"/>
        <v>1.06</v>
      </c>
      <c r="J30" s="634"/>
      <c r="K30" s="21">
        <f t="shared" si="11"/>
        <v>1</v>
      </c>
      <c r="L30" s="634"/>
      <c r="M30" s="21">
        <f t="shared" si="12"/>
        <v>1</v>
      </c>
      <c r="N30" s="634"/>
      <c r="O30" s="21">
        <f t="shared" si="13"/>
        <v>1</v>
      </c>
      <c r="P30" s="634"/>
      <c r="Q30" s="21">
        <f t="shared" si="14"/>
        <v>1</v>
      </c>
      <c r="R30" s="21">
        <f t="shared" ca="1" si="15"/>
        <v>51491</v>
      </c>
      <c r="S30" s="308">
        <f t="shared" ca="1" si="6"/>
        <v>711</v>
      </c>
      <c r="T30" s="683" t="str">
        <f>明细表!G7</f>
        <v>办公</v>
      </c>
      <c r="U30" s="683">
        <f>明细表!D7</f>
        <v>5</v>
      </c>
    </row>
    <row r="31" spans="1:45">
      <c r="A31" s="142" t="str">
        <f>明细表!B8</f>
        <v>2单元626</v>
      </c>
      <c r="B31" s="52">
        <f>明细表!E8</f>
        <v>201.75</v>
      </c>
      <c r="C31" s="21">
        <f t="shared" si="7"/>
        <v>1</v>
      </c>
      <c r="D31" s="2570" t="s">
        <v>3580</v>
      </c>
      <c r="E31" s="21">
        <f t="shared" si="8"/>
        <v>1</v>
      </c>
      <c r="F31" s="2570" t="s">
        <v>3534</v>
      </c>
      <c r="G31" s="21">
        <f t="shared" si="9"/>
        <v>1</v>
      </c>
      <c r="H31" s="634" t="s">
        <v>21</v>
      </c>
      <c r="I31" s="21">
        <f t="shared" si="10"/>
        <v>1.06</v>
      </c>
      <c r="J31" s="634"/>
      <c r="K31" s="21">
        <f t="shared" si="11"/>
        <v>1</v>
      </c>
      <c r="L31" s="634"/>
      <c r="M31" s="21">
        <f t="shared" si="12"/>
        <v>1</v>
      </c>
      <c r="N31" s="634"/>
      <c r="O31" s="21">
        <f t="shared" si="13"/>
        <v>1</v>
      </c>
      <c r="P31" s="634"/>
      <c r="Q31" s="21">
        <f t="shared" si="14"/>
        <v>1</v>
      </c>
      <c r="R31" s="21">
        <f t="shared" ca="1" si="15"/>
        <v>51491</v>
      </c>
      <c r="S31" s="308">
        <f t="shared" ca="1" si="6"/>
        <v>1039</v>
      </c>
      <c r="T31" s="683" t="str">
        <f>明细表!G8</f>
        <v>办公</v>
      </c>
      <c r="U31" s="683">
        <f>明细表!D8</f>
        <v>5</v>
      </c>
    </row>
    <row r="32" spans="1:45">
      <c r="A32" s="142" t="str">
        <f>明细表!B9</f>
        <v>2单元701</v>
      </c>
      <c r="B32" s="52">
        <f>明细表!E9</f>
        <v>206.15</v>
      </c>
      <c r="C32" s="21">
        <f t="shared" si="7"/>
        <v>1</v>
      </c>
      <c r="D32" s="2570" t="s">
        <v>3580</v>
      </c>
      <c r="E32" s="21">
        <f t="shared" si="8"/>
        <v>1</v>
      </c>
      <c r="F32" s="2570" t="s">
        <v>3534</v>
      </c>
      <c r="G32" s="21">
        <f t="shared" si="9"/>
        <v>1</v>
      </c>
      <c r="H32" s="634" t="s">
        <v>3596</v>
      </c>
      <c r="I32" s="21">
        <f t="shared" si="10"/>
        <v>1</v>
      </c>
      <c r="J32" s="634"/>
      <c r="K32" s="21">
        <f t="shared" si="11"/>
        <v>1</v>
      </c>
      <c r="L32" s="634"/>
      <c r="M32" s="21">
        <f t="shared" si="12"/>
        <v>1</v>
      </c>
      <c r="N32" s="634"/>
      <c r="O32" s="21">
        <f t="shared" si="13"/>
        <v>1</v>
      </c>
      <c r="P32" s="634"/>
      <c r="Q32" s="21">
        <f t="shared" si="14"/>
        <v>1</v>
      </c>
      <c r="R32" s="21">
        <f t="shared" ca="1" si="15"/>
        <v>48576</v>
      </c>
      <c r="S32" s="308">
        <f t="shared" ca="1" si="6"/>
        <v>1001</v>
      </c>
      <c r="T32" s="683" t="str">
        <f>明细表!G9</f>
        <v>公寓</v>
      </c>
      <c r="U32" s="683">
        <f>明细表!D9</f>
        <v>6</v>
      </c>
    </row>
    <row r="33" spans="1:21">
      <c r="A33" s="142" t="str">
        <f>明细表!B10</f>
        <v>2单元709</v>
      </c>
      <c r="B33" s="52">
        <f>明细表!E10</f>
        <v>109.06</v>
      </c>
      <c r="C33" s="21">
        <f t="shared" si="7"/>
        <v>1</v>
      </c>
      <c r="D33" s="2570" t="s">
        <v>3580</v>
      </c>
      <c r="E33" s="21">
        <f t="shared" si="8"/>
        <v>1</v>
      </c>
      <c r="F33" s="2570" t="s">
        <v>3534</v>
      </c>
      <c r="G33" s="21">
        <f t="shared" si="9"/>
        <v>1</v>
      </c>
      <c r="H33" s="634" t="s">
        <v>3596</v>
      </c>
      <c r="I33" s="21">
        <f t="shared" si="10"/>
        <v>1</v>
      </c>
      <c r="J33" s="634"/>
      <c r="K33" s="21">
        <f t="shared" si="11"/>
        <v>1</v>
      </c>
      <c r="L33" s="634"/>
      <c r="M33" s="21">
        <f t="shared" si="12"/>
        <v>1</v>
      </c>
      <c r="N33" s="634"/>
      <c r="O33" s="21">
        <f t="shared" si="13"/>
        <v>1</v>
      </c>
      <c r="P33" s="634"/>
      <c r="Q33" s="21">
        <f t="shared" si="14"/>
        <v>1</v>
      </c>
      <c r="R33" s="21">
        <f t="shared" ca="1" si="15"/>
        <v>48576</v>
      </c>
      <c r="S33" s="308">
        <f t="shared" ca="1" si="6"/>
        <v>530</v>
      </c>
      <c r="T33" s="683" t="str">
        <f>明细表!G10</f>
        <v>公寓</v>
      </c>
      <c r="U33" s="683">
        <f>明细表!D10</f>
        <v>6</v>
      </c>
    </row>
    <row r="34" spans="1:21">
      <c r="A34" s="142" t="str">
        <f>明细表!B11</f>
        <v>2单元718</v>
      </c>
      <c r="B34" s="52">
        <f>明细表!E11</f>
        <v>108.47</v>
      </c>
      <c r="C34" s="21">
        <f t="shared" si="7"/>
        <v>1</v>
      </c>
      <c r="D34" s="2570" t="s">
        <v>3580</v>
      </c>
      <c r="E34" s="21">
        <f t="shared" si="8"/>
        <v>1</v>
      </c>
      <c r="F34" s="2570" t="s">
        <v>3534</v>
      </c>
      <c r="G34" s="21">
        <f t="shared" si="9"/>
        <v>1</v>
      </c>
      <c r="H34" s="634" t="s">
        <v>21</v>
      </c>
      <c r="I34" s="21">
        <f t="shared" si="10"/>
        <v>1.06</v>
      </c>
      <c r="J34" s="634"/>
      <c r="K34" s="21">
        <f t="shared" si="11"/>
        <v>1</v>
      </c>
      <c r="L34" s="634"/>
      <c r="M34" s="21">
        <f t="shared" si="12"/>
        <v>1</v>
      </c>
      <c r="N34" s="634"/>
      <c r="O34" s="21">
        <f t="shared" si="13"/>
        <v>1</v>
      </c>
      <c r="P34" s="634"/>
      <c r="Q34" s="21">
        <f t="shared" si="14"/>
        <v>1</v>
      </c>
      <c r="R34" s="21">
        <f t="shared" ca="1" si="15"/>
        <v>51491</v>
      </c>
      <c r="S34" s="308">
        <f t="shared" ca="1" si="6"/>
        <v>559</v>
      </c>
      <c r="T34" s="683" t="str">
        <f>明细表!G11</f>
        <v>办公</v>
      </c>
      <c r="U34" s="683">
        <f>明细表!D11</f>
        <v>6</v>
      </c>
    </row>
    <row r="35" spans="1:21">
      <c r="A35" s="142" t="str">
        <f>明细表!B12</f>
        <v>2单元719</v>
      </c>
      <c r="B35" s="52">
        <f>明细表!E12</f>
        <v>108.47</v>
      </c>
      <c r="C35" s="21">
        <f t="shared" si="7"/>
        <v>1</v>
      </c>
      <c r="D35" s="2570" t="s">
        <v>3580</v>
      </c>
      <c r="E35" s="21">
        <f t="shared" si="8"/>
        <v>1</v>
      </c>
      <c r="F35" s="2570" t="s">
        <v>3534</v>
      </c>
      <c r="G35" s="21">
        <f t="shared" si="9"/>
        <v>1</v>
      </c>
      <c r="H35" s="634" t="s">
        <v>21</v>
      </c>
      <c r="I35" s="21">
        <f t="shared" si="10"/>
        <v>1.06</v>
      </c>
      <c r="J35" s="634"/>
      <c r="K35" s="21">
        <f t="shared" si="11"/>
        <v>1</v>
      </c>
      <c r="L35" s="634"/>
      <c r="M35" s="21">
        <f t="shared" si="12"/>
        <v>1</v>
      </c>
      <c r="N35" s="634"/>
      <c r="O35" s="21">
        <f t="shared" si="13"/>
        <v>1</v>
      </c>
      <c r="P35" s="634"/>
      <c r="Q35" s="21">
        <f t="shared" si="14"/>
        <v>1</v>
      </c>
      <c r="R35" s="21">
        <f t="shared" ca="1" si="15"/>
        <v>51491</v>
      </c>
      <c r="S35" s="308">
        <f t="shared" ca="1" si="6"/>
        <v>559</v>
      </c>
      <c r="T35" s="683" t="str">
        <f>明细表!G12</f>
        <v>办公</v>
      </c>
      <c r="U35" s="683">
        <f>明细表!D12</f>
        <v>6</v>
      </c>
    </row>
    <row r="36" spans="1:21">
      <c r="A36" s="142" t="str">
        <f>明细表!B13</f>
        <v>2单元721</v>
      </c>
      <c r="B36" s="52">
        <f>明细表!E13</f>
        <v>108.47</v>
      </c>
      <c r="C36" s="21">
        <f t="shared" si="7"/>
        <v>1</v>
      </c>
      <c r="D36" s="2570" t="s">
        <v>3580</v>
      </c>
      <c r="E36" s="21">
        <f t="shared" si="8"/>
        <v>1</v>
      </c>
      <c r="F36" s="2570" t="s">
        <v>3534</v>
      </c>
      <c r="G36" s="21">
        <f t="shared" si="9"/>
        <v>1</v>
      </c>
      <c r="H36" s="634" t="s">
        <v>21</v>
      </c>
      <c r="I36" s="21">
        <f t="shared" si="10"/>
        <v>1.06</v>
      </c>
      <c r="J36" s="634"/>
      <c r="K36" s="21">
        <f t="shared" si="11"/>
        <v>1</v>
      </c>
      <c r="L36" s="634"/>
      <c r="M36" s="21">
        <f t="shared" si="12"/>
        <v>1</v>
      </c>
      <c r="N36" s="634"/>
      <c r="O36" s="21">
        <f t="shared" si="13"/>
        <v>1</v>
      </c>
      <c r="P36" s="634"/>
      <c r="Q36" s="21">
        <f t="shared" si="14"/>
        <v>1</v>
      </c>
      <c r="R36" s="21">
        <f t="shared" ca="1" si="15"/>
        <v>51491</v>
      </c>
      <c r="S36" s="308">
        <f t="shared" ca="1" si="6"/>
        <v>559</v>
      </c>
      <c r="T36" s="683" t="str">
        <f>明细表!G13</f>
        <v>办公</v>
      </c>
      <c r="U36" s="683">
        <f>明细表!D13</f>
        <v>6</v>
      </c>
    </row>
    <row r="37" spans="1:21">
      <c r="A37" s="142" t="str">
        <f>明细表!B14</f>
        <v>2单元722</v>
      </c>
      <c r="B37" s="52">
        <f>明细表!E14</f>
        <v>108.47</v>
      </c>
      <c r="C37" s="21">
        <f t="shared" si="7"/>
        <v>1</v>
      </c>
      <c r="D37" s="2570" t="s">
        <v>3580</v>
      </c>
      <c r="E37" s="21">
        <f t="shared" si="8"/>
        <v>1</v>
      </c>
      <c r="F37" s="2570" t="s">
        <v>3534</v>
      </c>
      <c r="G37" s="21">
        <f t="shared" si="9"/>
        <v>1</v>
      </c>
      <c r="H37" s="634" t="s">
        <v>21</v>
      </c>
      <c r="I37" s="21">
        <f t="shared" si="10"/>
        <v>1.06</v>
      </c>
      <c r="J37" s="634"/>
      <c r="K37" s="21">
        <f t="shared" si="11"/>
        <v>1</v>
      </c>
      <c r="L37" s="634"/>
      <c r="M37" s="21">
        <f t="shared" si="12"/>
        <v>1</v>
      </c>
      <c r="N37" s="634"/>
      <c r="O37" s="21">
        <f t="shared" si="13"/>
        <v>1</v>
      </c>
      <c r="P37" s="634"/>
      <c r="Q37" s="21">
        <f t="shared" si="14"/>
        <v>1</v>
      </c>
      <c r="R37" s="21">
        <f t="shared" ca="1" si="15"/>
        <v>51491</v>
      </c>
      <c r="S37" s="308">
        <f t="shared" ca="1" si="6"/>
        <v>559</v>
      </c>
      <c r="T37" s="683" t="str">
        <f>明细表!G14</f>
        <v>办公</v>
      </c>
      <c r="U37" s="683">
        <f>明细表!D14</f>
        <v>6</v>
      </c>
    </row>
    <row r="38" spans="1:21">
      <c r="A38" s="142" t="str">
        <f>明细表!B15</f>
        <v>2单元726</v>
      </c>
      <c r="B38" s="52">
        <f>明细表!E15</f>
        <v>201.75</v>
      </c>
      <c r="C38" s="21">
        <f t="shared" si="7"/>
        <v>1</v>
      </c>
      <c r="D38" s="2570" t="s">
        <v>3580</v>
      </c>
      <c r="E38" s="21">
        <f t="shared" si="8"/>
        <v>1</v>
      </c>
      <c r="F38" s="2570" t="s">
        <v>3534</v>
      </c>
      <c r="G38" s="21">
        <f t="shared" si="9"/>
        <v>1</v>
      </c>
      <c r="H38" s="634" t="s">
        <v>3596</v>
      </c>
      <c r="I38" s="21">
        <f t="shared" si="10"/>
        <v>1</v>
      </c>
      <c r="J38" s="634"/>
      <c r="K38" s="21">
        <f t="shared" si="11"/>
        <v>1</v>
      </c>
      <c r="L38" s="634"/>
      <c r="M38" s="21">
        <f t="shared" si="12"/>
        <v>1</v>
      </c>
      <c r="N38" s="634"/>
      <c r="O38" s="21">
        <f t="shared" si="13"/>
        <v>1</v>
      </c>
      <c r="P38" s="634"/>
      <c r="Q38" s="21">
        <f t="shared" si="14"/>
        <v>1</v>
      </c>
      <c r="R38" s="21">
        <f t="shared" ca="1" si="15"/>
        <v>48576</v>
      </c>
      <c r="S38" s="308">
        <f t="shared" ca="1" si="6"/>
        <v>980</v>
      </c>
      <c r="T38" s="683" t="str">
        <f>明细表!G15</f>
        <v>公寓</v>
      </c>
      <c r="U38" s="683">
        <f>明细表!D15</f>
        <v>6</v>
      </c>
    </row>
    <row r="39" spans="1:21">
      <c r="A39" s="142" t="str">
        <f>明细表!B16</f>
        <v>2单元809</v>
      </c>
      <c r="B39" s="52">
        <f>明细表!E16</f>
        <v>142.4</v>
      </c>
      <c r="C39" s="21">
        <f t="shared" si="7"/>
        <v>1</v>
      </c>
      <c r="D39" s="2570" t="s">
        <v>3580</v>
      </c>
      <c r="E39" s="21">
        <f t="shared" si="8"/>
        <v>1</v>
      </c>
      <c r="F39" s="634" t="s">
        <v>3589</v>
      </c>
      <c r="G39" s="21">
        <f t="shared" si="9"/>
        <v>1.02</v>
      </c>
      <c r="H39" s="634" t="s">
        <v>3596</v>
      </c>
      <c r="I39" s="21">
        <f t="shared" si="10"/>
        <v>1</v>
      </c>
      <c r="J39" s="634"/>
      <c r="K39" s="21">
        <f t="shared" si="11"/>
        <v>1</v>
      </c>
      <c r="L39" s="634"/>
      <c r="M39" s="21">
        <f t="shared" si="12"/>
        <v>1</v>
      </c>
      <c r="N39" s="634"/>
      <c r="O39" s="21">
        <f t="shared" si="13"/>
        <v>1</v>
      </c>
      <c r="P39" s="634"/>
      <c r="Q39" s="21">
        <f t="shared" si="14"/>
        <v>1</v>
      </c>
      <c r="R39" s="21">
        <f t="shared" ca="1" si="15"/>
        <v>49548</v>
      </c>
      <c r="S39" s="308">
        <f t="shared" ca="1" si="6"/>
        <v>706</v>
      </c>
      <c r="T39" s="683" t="str">
        <f>明细表!G16</f>
        <v>公寓</v>
      </c>
      <c r="U39" s="683">
        <f>明细表!D16</f>
        <v>7</v>
      </c>
    </row>
    <row r="40" spans="1:21">
      <c r="A40" s="142" t="str">
        <f>明细表!B17</f>
        <v>2单元810</v>
      </c>
      <c r="B40" s="52">
        <f>明细表!E17</f>
        <v>108.47</v>
      </c>
      <c r="C40" s="21">
        <f t="shared" si="7"/>
        <v>1</v>
      </c>
      <c r="D40" s="2570" t="s">
        <v>3580</v>
      </c>
      <c r="E40" s="21">
        <f t="shared" si="8"/>
        <v>1</v>
      </c>
      <c r="F40" s="634" t="s">
        <v>3589</v>
      </c>
      <c r="G40" s="21">
        <f t="shared" si="9"/>
        <v>1.02</v>
      </c>
      <c r="H40" s="634" t="s">
        <v>21</v>
      </c>
      <c r="I40" s="21">
        <f t="shared" si="10"/>
        <v>1.06</v>
      </c>
      <c r="J40" s="634"/>
      <c r="K40" s="21">
        <f t="shared" si="11"/>
        <v>1</v>
      </c>
      <c r="L40" s="634"/>
      <c r="M40" s="21">
        <f t="shared" si="12"/>
        <v>1</v>
      </c>
      <c r="N40" s="634"/>
      <c r="O40" s="21">
        <f t="shared" si="13"/>
        <v>1</v>
      </c>
      <c r="P40" s="634"/>
      <c r="Q40" s="21">
        <f t="shared" si="14"/>
        <v>1</v>
      </c>
      <c r="R40" s="21">
        <f t="shared" ca="1" si="15"/>
        <v>52520</v>
      </c>
      <c r="S40" s="308">
        <f t="shared" ca="1" si="6"/>
        <v>570</v>
      </c>
      <c r="T40" s="683" t="str">
        <f>明细表!G17</f>
        <v>办公</v>
      </c>
      <c r="U40" s="683">
        <f>明细表!D17</f>
        <v>7</v>
      </c>
    </row>
    <row r="41" spans="1:21">
      <c r="A41" s="142" t="str">
        <f>明细表!B18</f>
        <v>2单元811</v>
      </c>
      <c r="B41" s="52">
        <f>明细表!E18</f>
        <v>108.47</v>
      </c>
      <c r="C41" s="21">
        <f t="shared" si="7"/>
        <v>1</v>
      </c>
      <c r="D41" s="2570" t="s">
        <v>3580</v>
      </c>
      <c r="E41" s="21">
        <f t="shared" si="8"/>
        <v>1</v>
      </c>
      <c r="F41" s="634" t="s">
        <v>3589</v>
      </c>
      <c r="G41" s="21">
        <f t="shared" si="9"/>
        <v>1.02</v>
      </c>
      <c r="H41" s="634" t="s">
        <v>21</v>
      </c>
      <c r="I41" s="21">
        <f t="shared" si="10"/>
        <v>1.06</v>
      </c>
      <c r="J41" s="634"/>
      <c r="K41" s="21">
        <f t="shared" si="11"/>
        <v>1</v>
      </c>
      <c r="L41" s="634"/>
      <c r="M41" s="21">
        <f t="shared" si="12"/>
        <v>1</v>
      </c>
      <c r="N41" s="634"/>
      <c r="O41" s="21">
        <f t="shared" si="13"/>
        <v>1</v>
      </c>
      <c r="P41" s="634"/>
      <c r="Q41" s="21">
        <f t="shared" si="14"/>
        <v>1</v>
      </c>
      <c r="R41" s="21">
        <f t="shared" ca="1" si="15"/>
        <v>52520</v>
      </c>
      <c r="S41" s="308">
        <f t="shared" ca="1" si="6"/>
        <v>570</v>
      </c>
      <c r="T41" s="683" t="str">
        <f>明细表!G18</f>
        <v>办公</v>
      </c>
      <c r="U41" s="683">
        <f>明细表!D18</f>
        <v>7</v>
      </c>
    </row>
    <row r="42" spans="1:21">
      <c r="A42" s="142" t="str">
        <f>明细表!B19</f>
        <v>2单元815</v>
      </c>
      <c r="B42" s="52">
        <f>明细表!E19</f>
        <v>108.47</v>
      </c>
      <c r="C42" s="21">
        <f t="shared" si="7"/>
        <v>1</v>
      </c>
      <c r="D42" s="2570" t="s">
        <v>3580</v>
      </c>
      <c r="E42" s="21">
        <f t="shared" si="8"/>
        <v>1</v>
      </c>
      <c r="F42" s="634" t="s">
        <v>3589</v>
      </c>
      <c r="G42" s="21">
        <f t="shared" si="9"/>
        <v>1.02</v>
      </c>
      <c r="H42" s="634" t="s">
        <v>3596</v>
      </c>
      <c r="I42" s="21">
        <f t="shared" si="10"/>
        <v>1</v>
      </c>
      <c r="J42" s="634"/>
      <c r="K42" s="21">
        <f t="shared" si="11"/>
        <v>1</v>
      </c>
      <c r="L42" s="634"/>
      <c r="M42" s="21">
        <f t="shared" si="12"/>
        <v>1</v>
      </c>
      <c r="N42" s="634"/>
      <c r="O42" s="21">
        <f t="shared" si="13"/>
        <v>1</v>
      </c>
      <c r="P42" s="634"/>
      <c r="Q42" s="21">
        <f t="shared" si="14"/>
        <v>1</v>
      </c>
      <c r="R42" s="21">
        <f t="shared" ca="1" si="15"/>
        <v>49548</v>
      </c>
      <c r="S42" s="308">
        <f t="shared" ca="1" si="6"/>
        <v>537</v>
      </c>
      <c r="T42" s="683" t="str">
        <f>明细表!G19</f>
        <v>公寓</v>
      </c>
      <c r="U42" s="683">
        <f>明细表!D19</f>
        <v>7</v>
      </c>
    </row>
    <row r="43" spans="1:21">
      <c r="A43" s="142" t="str">
        <f>明细表!B20</f>
        <v>2单元816</v>
      </c>
      <c r="B43" s="52">
        <f>明细表!E20</f>
        <v>108.47</v>
      </c>
      <c r="C43" s="21">
        <f t="shared" si="7"/>
        <v>1</v>
      </c>
      <c r="D43" s="2570" t="s">
        <v>3580</v>
      </c>
      <c r="E43" s="21">
        <f t="shared" si="8"/>
        <v>1</v>
      </c>
      <c r="F43" s="634" t="s">
        <v>3589</v>
      </c>
      <c r="G43" s="21">
        <f t="shared" si="9"/>
        <v>1.02</v>
      </c>
      <c r="H43" s="634" t="s">
        <v>3596</v>
      </c>
      <c r="I43" s="21">
        <f t="shared" si="10"/>
        <v>1</v>
      </c>
      <c r="J43" s="634"/>
      <c r="K43" s="21">
        <f t="shared" si="11"/>
        <v>1</v>
      </c>
      <c r="L43" s="634"/>
      <c r="M43" s="21">
        <f t="shared" si="12"/>
        <v>1</v>
      </c>
      <c r="N43" s="634"/>
      <c r="O43" s="21">
        <f t="shared" si="13"/>
        <v>1</v>
      </c>
      <c r="P43" s="634"/>
      <c r="Q43" s="21">
        <f t="shared" si="14"/>
        <v>1</v>
      </c>
      <c r="R43" s="21">
        <f t="shared" ca="1" si="15"/>
        <v>49548</v>
      </c>
      <c r="S43" s="308">
        <f t="shared" ca="1" si="6"/>
        <v>537</v>
      </c>
      <c r="T43" s="683" t="str">
        <f>明细表!G20</f>
        <v>公寓</v>
      </c>
      <c r="U43" s="683">
        <f>明细表!D20</f>
        <v>7</v>
      </c>
    </row>
    <row r="44" spans="1:21">
      <c r="A44" s="142" t="str">
        <f>明细表!B21</f>
        <v>2单元817</v>
      </c>
      <c r="B44" s="52">
        <f>明细表!E21</f>
        <v>142.4</v>
      </c>
      <c r="C44" s="21">
        <f t="shared" si="7"/>
        <v>1</v>
      </c>
      <c r="D44" s="2570" t="s">
        <v>3580</v>
      </c>
      <c r="E44" s="21">
        <f t="shared" si="8"/>
        <v>1</v>
      </c>
      <c r="F44" s="634" t="s">
        <v>3589</v>
      </c>
      <c r="G44" s="21">
        <f t="shared" si="9"/>
        <v>1.02</v>
      </c>
      <c r="H44" s="634" t="s">
        <v>3596</v>
      </c>
      <c r="I44" s="21">
        <f t="shared" si="10"/>
        <v>1</v>
      </c>
      <c r="J44" s="634"/>
      <c r="K44" s="21">
        <f t="shared" si="11"/>
        <v>1</v>
      </c>
      <c r="L44" s="634"/>
      <c r="M44" s="21">
        <f t="shared" si="12"/>
        <v>1</v>
      </c>
      <c r="N44" s="634"/>
      <c r="O44" s="21">
        <f t="shared" si="13"/>
        <v>1</v>
      </c>
      <c r="P44" s="634"/>
      <c r="Q44" s="21">
        <f t="shared" si="14"/>
        <v>1</v>
      </c>
      <c r="R44" s="21">
        <f t="shared" ca="1" si="15"/>
        <v>49548</v>
      </c>
      <c r="S44" s="308">
        <f t="shared" ca="1" si="6"/>
        <v>706</v>
      </c>
      <c r="T44" s="683" t="str">
        <f>明细表!G21</f>
        <v>公寓</v>
      </c>
      <c r="U44" s="683">
        <f>明细表!D21</f>
        <v>7</v>
      </c>
    </row>
    <row r="45" spans="1:21">
      <c r="A45" s="142" t="str">
        <f>明细表!B22</f>
        <v>2单元901</v>
      </c>
      <c r="B45" s="52">
        <f>明细表!E22</f>
        <v>208.9</v>
      </c>
      <c r="C45" s="21">
        <f t="shared" si="7"/>
        <v>1</v>
      </c>
      <c r="D45" s="2570" t="s">
        <v>3580</v>
      </c>
      <c r="E45" s="21">
        <f t="shared" si="8"/>
        <v>1</v>
      </c>
      <c r="F45" s="634" t="s">
        <v>3589</v>
      </c>
      <c r="G45" s="21">
        <f t="shared" si="9"/>
        <v>1.02</v>
      </c>
      <c r="H45" s="634" t="s">
        <v>3596</v>
      </c>
      <c r="I45" s="21">
        <f t="shared" si="10"/>
        <v>1</v>
      </c>
      <c r="J45" s="634"/>
      <c r="K45" s="21">
        <f t="shared" si="11"/>
        <v>1</v>
      </c>
      <c r="L45" s="634"/>
      <c r="M45" s="21">
        <f t="shared" si="12"/>
        <v>1</v>
      </c>
      <c r="N45" s="634"/>
      <c r="O45" s="21">
        <f t="shared" si="13"/>
        <v>1</v>
      </c>
      <c r="P45" s="634"/>
      <c r="Q45" s="21">
        <f t="shared" si="14"/>
        <v>1</v>
      </c>
      <c r="R45" s="21">
        <f t="shared" ca="1" si="15"/>
        <v>49548</v>
      </c>
      <c r="S45" s="308">
        <f t="shared" ca="1" si="6"/>
        <v>1035</v>
      </c>
      <c r="T45" s="683" t="str">
        <f>明细表!G22</f>
        <v>公寓</v>
      </c>
      <c r="U45" s="683">
        <f>明细表!D22</f>
        <v>8</v>
      </c>
    </row>
    <row r="46" spans="1:21">
      <c r="A46" s="142" t="str">
        <f>明细表!B23</f>
        <v>2单元909</v>
      </c>
      <c r="B46" s="52">
        <f>明细表!E23</f>
        <v>142.4</v>
      </c>
      <c r="C46" s="21">
        <f t="shared" si="7"/>
        <v>1</v>
      </c>
      <c r="D46" s="2570" t="s">
        <v>3580</v>
      </c>
      <c r="E46" s="21">
        <f t="shared" si="8"/>
        <v>1</v>
      </c>
      <c r="F46" s="634" t="s">
        <v>3589</v>
      </c>
      <c r="G46" s="21">
        <f t="shared" si="9"/>
        <v>1.02</v>
      </c>
      <c r="H46" s="634" t="s">
        <v>3596</v>
      </c>
      <c r="I46" s="21">
        <f t="shared" si="10"/>
        <v>1</v>
      </c>
      <c r="J46" s="634"/>
      <c r="K46" s="21">
        <f t="shared" si="11"/>
        <v>1</v>
      </c>
      <c r="L46" s="634"/>
      <c r="M46" s="21">
        <f t="shared" si="12"/>
        <v>1</v>
      </c>
      <c r="N46" s="634"/>
      <c r="O46" s="21">
        <f t="shared" si="13"/>
        <v>1</v>
      </c>
      <c r="P46" s="634"/>
      <c r="Q46" s="21">
        <f t="shared" si="14"/>
        <v>1</v>
      </c>
      <c r="R46" s="21">
        <f t="shared" ca="1" si="15"/>
        <v>49548</v>
      </c>
      <c r="S46" s="308">
        <f t="shared" ca="1" si="6"/>
        <v>706</v>
      </c>
      <c r="T46" s="683" t="str">
        <f>明细表!G23</f>
        <v>公寓</v>
      </c>
      <c r="U46" s="683">
        <f>明细表!D23</f>
        <v>8</v>
      </c>
    </row>
    <row r="47" spans="1:21">
      <c r="A47" s="142" t="str">
        <f>明细表!B24</f>
        <v>2单元910</v>
      </c>
      <c r="B47" s="52">
        <f>明细表!E24</f>
        <v>108.47</v>
      </c>
      <c r="C47" s="21">
        <f t="shared" si="7"/>
        <v>1</v>
      </c>
      <c r="D47" s="2570" t="s">
        <v>3580</v>
      </c>
      <c r="E47" s="21">
        <f t="shared" si="8"/>
        <v>1</v>
      </c>
      <c r="F47" s="634" t="s">
        <v>3589</v>
      </c>
      <c r="G47" s="21">
        <f t="shared" si="9"/>
        <v>1.02</v>
      </c>
      <c r="H47" s="634" t="s">
        <v>3596</v>
      </c>
      <c r="I47" s="21">
        <f t="shared" si="10"/>
        <v>1</v>
      </c>
      <c r="J47" s="634"/>
      <c r="K47" s="21">
        <f t="shared" si="11"/>
        <v>1</v>
      </c>
      <c r="L47" s="634"/>
      <c r="M47" s="21">
        <f t="shared" si="12"/>
        <v>1</v>
      </c>
      <c r="N47" s="634"/>
      <c r="O47" s="21">
        <f t="shared" si="13"/>
        <v>1</v>
      </c>
      <c r="P47" s="634"/>
      <c r="Q47" s="21">
        <f t="shared" si="14"/>
        <v>1</v>
      </c>
      <c r="R47" s="21">
        <f t="shared" ca="1" si="15"/>
        <v>49548</v>
      </c>
      <c r="S47" s="308">
        <f t="shared" ca="1" si="6"/>
        <v>537</v>
      </c>
      <c r="T47" s="683" t="str">
        <f>明细表!G24</f>
        <v>公寓</v>
      </c>
      <c r="U47" s="683">
        <f>明细表!D24</f>
        <v>8</v>
      </c>
    </row>
    <row r="48" spans="1:21">
      <c r="A48" s="142" t="str">
        <f>明细表!B25</f>
        <v>2单元911</v>
      </c>
      <c r="B48" s="52">
        <f>明细表!E25</f>
        <v>108.47</v>
      </c>
      <c r="C48" s="21">
        <f t="shared" si="7"/>
        <v>1</v>
      </c>
      <c r="D48" s="2570" t="s">
        <v>3580</v>
      </c>
      <c r="E48" s="21">
        <f t="shared" si="8"/>
        <v>1</v>
      </c>
      <c r="F48" s="634" t="s">
        <v>3589</v>
      </c>
      <c r="G48" s="21">
        <f t="shared" si="9"/>
        <v>1.02</v>
      </c>
      <c r="H48" s="634" t="s">
        <v>3596</v>
      </c>
      <c r="I48" s="21">
        <f t="shared" si="10"/>
        <v>1</v>
      </c>
      <c r="J48" s="634"/>
      <c r="K48" s="21">
        <f t="shared" si="11"/>
        <v>1</v>
      </c>
      <c r="L48" s="634"/>
      <c r="M48" s="21">
        <f t="shared" si="12"/>
        <v>1</v>
      </c>
      <c r="N48" s="634"/>
      <c r="O48" s="21">
        <f t="shared" si="13"/>
        <v>1</v>
      </c>
      <c r="P48" s="634"/>
      <c r="Q48" s="21">
        <f t="shared" si="14"/>
        <v>1</v>
      </c>
      <c r="R48" s="21">
        <f t="shared" ca="1" si="15"/>
        <v>49548</v>
      </c>
      <c r="S48" s="308">
        <f t="shared" ca="1" si="6"/>
        <v>537</v>
      </c>
      <c r="T48" s="683" t="str">
        <f>明细表!G25</f>
        <v>公寓</v>
      </c>
      <c r="U48" s="683">
        <f>明细表!D25</f>
        <v>8</v>
      </c>
    </row>
    <row r="49" spans="1:21">
      <c r="A49" s="142" t="str">
        <f>明细表!B26</f>
        <v>2单元916</v>
      </c>
      <c r="B49" s="52">
        <f>明细表!E26</f>
        <v>108.47</v>
      </c>
      <c r="C49" s="21">
        <f t="shared" si="7"/>
        <v>1</v>
      </c>
      <c r="D49" s="2570" t="s">
        <v>3580</v>
      </c>
      <c r="E49" s="21">
        <f t="shared" si="8"/>
        <v>1</v>
      </c>
      <c r="F49" s="634" t="s">
        <v>3589</v>
      </c>
      <c r="G49" s="21">
        <f t="shared" si="9"/>
        <v>1.02</v>
      </c>
      <c r="H49" s="634" t="s">
        <v>3596</v>
      </c>
      <c r="I49" s="21">
        <f t="shared" si="10"/>
        <v>1</v>
      </c>
      <c r="J49" s="634"/>
      <c r="K49" s="21">
        <f t="shared" si="11"/>
        <v>1</v>
      </c>
      <c r="L49" s="634"/>
      <c r="M49" s="21">
        <f t="shared" si="12"/>
        <v>1</v>
      </c>
      <c r="N49" s="634"/>
      <c r="O49" s="21">
        <f t="shared" si="13"/>
        <v>1</v>
      </c>
      <c r="P49" s="634"/>
      <c r="Q49" s="21">
        <f t="shared" si="14"/>
        <v>1</v>
      </c>
      <c r="R49" s="21">
        <f t="shared" ca="1" si="15"/>
        <v>49548</v>
      </c>
      <c r="S49" s="308">
        <f t="shared" ca="1" si="6"/>
        <v>537</v>
      </c>
      <c r="T49" s="683" t="str">
        <f>明细表!G26</f>
        <v>公寓</v>
      </c>
      <c r="U49" s="683">
        <f>明细表!D26</f>
        <v>8</v>
      </c>
    </row>
    <row r="50" spans="1:21">
      <c r="A50" s="142" t="str">
        <f>明细表!B27</f>
        <v>2单元1003</v>
      </c>
      <c r="B50" s="52">
        <f>明细表!E27</f>
        <v>109.06</v>
      </c>
      <c r="C50" s="21">
        <f t="shared" si="7"/>
        <v>1</v>
      </c>
      <c r="D50" s="2570" t="s">
        <v>3580</v>
      </c>
      <c r="E50" s="21">
        <f t="shared" si="8"/>
        <v>1</v>
      </c>
      <c r="F50" s="634" t="s">
        <v>3589</v>
      </c>
      <c r="G50" s="21">
        <f t="shared" si="9"/>
        <v>1.02</v>
      </c>
      <c r="H50" s="634" t="s">
        <v>3596</v>
      </c>
      <c r="I50" s="21">
        <f t="shared" si="10"/>
        <v>1</v>
      </c>
      <c r="J50" s="634"/>
      <c r="K50" s="21">
        <f t="shared" si="11"/>
        <v>1</v>
      </c>
      <c r="L50" s="634"/>
      <c r="M50" s="21">
        <f t="shared" si="12"/>
        <v>1</v>
      </c>
      <c r="N50" s="634"/>
      <c r="O50" s="21">
        <f t="shared" si="13"/>
        <v>1</v>
      </c>
      <c r="P50" s="634"/>
      <c r="Q50" s="21">
        <f t="shared" si="14"/>
        <v>1</v>
      </c>
      <c r="R50" s="21">
        <f t="shared" ca="1" si="15"/>
        <v>49548</v>
      </c>
      <c r="S50" s="308">
        <f t="shared" ca="1" si="6"/>
        <v>540</v>
      </c>
      <c r="T50" s="683" t="str">
        <f>明细表!G27</f>
        <v>公寓</v>
      </c>
      <c r="U50" s="683">
        <f>明细表!D27</f>
        <v>9</v>
      </c>
    </row>
    <row r="51" spans="1:21">
      <c r="A51" s="142" t="str">
        <f>明细表!B28</f>
        <v>2单元1005</v>
      </c>
      <c r="B51" s="52">
        <f>明细表!E28</f>
        <v>109.06</v>
      </c>
      <c r="C51" s="21">
        <f t="shared" si="7"/>
        <v>1</v>
      </c>
      <c r="D51" s="2570" t="s">
        <v>3580</v>
      </c>
      <c r="E51" s="21">
        <f t="shared" si="8"/>
        <v>1</v>
      </c>
      <c r="F51" s="634" t="s">
        <v>3589</v>
      </c>
      <c r="G51" s="21">
        <f t="shared" si="9"/>
        <v>1.02</v>
      </c>
      <c r="H51" s="634" t="s">
        <v>3596</v>
      </c>
      <c r="I51" s="21">
        <f t="shared" si="10"/>
        <v>1</v>
      </c>
      <c r="J51" s="634"/>
      <c r="K51" s="21">
        <f t="shared" si="11"/>
        <v>1</v>
      </c>
      <c r="L51" s="634"/>
      <c r="M51" s="21">
        <f t="shared" si="12"/>
        <v>1</v>
      </c>
      <c r="N51" s="634"/>
      <c r="O51" s="21">
        <f t="shared" si="13"/>
        <v>1</v>
      </c>
      <c r="P51" s="634"/>
      <c r="Q51" s="21">
        <f t="shared" si="14"/>
        <v>1</v>
      </c>
      <c r="R51" s="21">
        <f t="shared" ca="1" si="15"/>
        <v>49548</v>
      </c>
      <c r="S51" s="308">
        <f t="shared" ca="1" si="6"/>
        <v>540</v>
      </c>
      <c r="T51" s="683" t="str">
        <f>明细表!G28</f>
        <v>公寓</v>
      </c>
      <c r="U51" s="683">
        <f>明细表!D28</f>
        <v>9</v>
      </c>
    </row>
    <row r="52" spans="1:21">
      <c r="A52" s="142" t="str">
        <f>明细表!B29</f>
        <v>2单元1007</v>
      </c>
      <c r="B52" s="52">
        <f>明细表!E29</f>
        <v>109.06</v>
      </c>
      <c r="C52" s="21">
        <f t="shared" si="7"/>
        <v>1</v>
      </c>
      <c r="D52" s="2570" t="s">
        <v>3580</v>
      </c>
      <c r="E52" s="21">
        <f t="shared" si="8"/>
        <v>1</v>
      </c>
      <c r="F52" s="634" t="s">
        <v>3589</v>
      </c>
      <c r="G52" s="21">
        <f t="shared" si="9"/>
        <v>1.02</v>
      </c>
      <c r="H52" s="634" t="s">
        <v>3596</v>
      </c>
      <c r="I52" s="21">
        <f t="shared" si="10"/>
        <v>1</v>
      </c>
      <c r="J52" s="634"/>
      <c r="K52" s="21">
        <f t="shared" si="11"/>
        <v>1</v>
      </c>
      <c r="L52" s="634"/>
      <c r="M52" s="21">
        <f t="shared" si="12"/>
        <v>1</v>
      </c>
      <c r="N52" s="634"/>
      <c r="O52" s="21">
        <f t="shared" si="13"/>
        <v>1</v>
      </c>
      <c r="P52" s="634"/>
      <c r="Q52" s="21">
        <f t="shared" si="14"/>
        <v>1</v>
      </c>
      <c r="R52" s="21">
        <f t="shared" ca="1" si="15"/>
        <v>49548</v>
      </c>
      <c r="S52" s="308">
        <f t="shared" ca="1" si="6"/>
        <v>540</v>
      </c>
      <c r="T52" s="683" t="str">
        <f>明细表!G29</f>
        <v>公寓</v>
      </c>
      <c r="U52" s="683">
        <f>明细表!D29</f>
        <v>9</v>
      </c>
    </row>
    <row r="53" spans="1:21">
      <c r="A53" s="142" t="str">
        <f>明细表!B30</f>
        <v>2单元1009</v>
      </c>
      <c r="B53" s="52">
        <f>明细表!E30</f>
        <v>142.4</v>
      </c>
      <c r="C53" s="21">
        <f t="shared" si="7"/>
        <v>1</v>
      </c>
      <c r="D53" s="2570" t="s">
        <v>3580</v>
      </c>
      <c r="E53" s="21">
        <f t="shared" si="8"/>
        <v>1</v>
      </c>
      <c r="F53" s="634" t="s">
        <v>3589</v>
      </c>
      <c r="G53" s="21">
        <f t="shared" si="9"/>
        <v>1.02</v>
      </c>
      <c r="H53" s="634" t="s">
        <v>3596</v>
      </c>
      <c r="I53" s="21">
        <f t="shared" si="10"/>
        <v>1</v>
      </c>
      <c r="J53" s="634"/>
      <c r="K53" s="21">
        <f t="shared" si="11"/>
        <v>1</v>
      </c>
      <c r="L53" s="634"/>
      <c r="M53" s="21">
        <f t="shared" si="12"/>
        <v>1</v>
      </c>
      <c r="N53" s="634"/>
      <c r="O53" s="21">
        <f t="shared" si="13"/>
        <v>1</v>
      </c>
      <c r="P53" s="634"/>
      <c r="Q53" s="21">
        <f t="shared" si="14"/>
        <v>1</v>
      </c>
      <c r="R53" s="21">
        <f t="shared" ca="1" si="15"/>
        <v>49548</v>
      </c>
      <c r="S53" s="308">
        <f t="shared" ca="1" si="6"/>
        <v>706</v>
      </c>
      <c r="T53" s="683" t="str">
        <f>明细表!G30</f>
        <v>公寓</v>
      </c>
      <c r="U53" s="683">
        <f>明细表!D30</f>
        <v>9</v>
      </c>
    </row>
    <row r="54" spans="1:21">
      <c r="A54" s="142" t="str">
        <f>明细表!B31</f>
        <v>2单元1010</v>
      </c>
      <c r="B54" s="52">
        <f>明细表!E31</f>
        <v>108.47</v>
      </c>
      <c r="C54" s="21">
        <f t="shared" si="7"/>
        <v>1</v>
      </c>
      <c r="D54" s="2570" t="s">
        <v>3580</v>
      </c>
      <c r="E54" s="21">
        <f t="shared" si="8"/>
        <v>1</v>
      </c>
      <c r="F54" s="634" t="s">
        <v>3589</v>
      </c>
      <c r="G54" s="21">
        <f t="shared" si="9"/>
        <v>1.02</v>
      </c>
      <c r="H54" s="634" t="s">
        <v>3596</v>
      </c>
      <c r="I54" s="21">
        <f t="shared" si="10"/>
        <v>1</v>
      </c>
      <c r="J54" s="634"/>
      <c r="K54" s="21">
        <f t="shared" si="11"/>
        <v>1</v>
      </c>
      <c r="L54" s="634"/>
      <c r="M54" s="21">
        <f t="shared" si="12"/>
        <v>1</v>
      </c>
      <c r="N54" s="634"/>
      <c r="O54" s="21">
        <f t="shared" si="13"/>
        <v>1</v>
      </c>
      <c r="P54" s="634"/>
      <c r="Q54" s="21">
        <f t="shared" si="14"/>
        <v>1</v>
      </c>
      <c r="R54" s="21">
        <f t="shared" ca="1" si="15"/>
        <v>49548</v>
      </c>
      <c r="S54" s="308">
        <f t="shared" ca="1" si="6"/>
        <v>537</v>
      </c>
      <c r="T54" s="683" t="str">
        <f>明细表!G31</f>
        <v>公寓</v>
      </c>
      <c r="U54" s="683">
        <f>明细表!D31</f>
        <v>9</v>
      </c>
    </row>
    <row r="55" spans="1:21">
      <c r="A55" s="142" t="str">
        <f>明细表!B32</f>
        <v>2单元1011</v>
      </c>
      <c r="B55" s="52">
        <f>明细表!E32</f>
        <v>108.47</v>
      </c>
      <c r="C55" s="21">
        <f t="shared" si="7"/>
        <v>1</v>
      </c>
      <c r="D55" s="2570" t="s">
        <v>3580</v>
      </c>
      <c r="E55" s="21">
        <f t="shared" si="8"/>
        <v>1</v>
      </c>
      <c r="F55" s="634" t="s">
        <v>3589</v>
      </c>
      <c r="G55" s="21">
        <f t="shared" si="9"/>
        <v>1.02</v>
      </c>
      <c r="H55" s="634" t="s">
        <v>3596</v>
      </c>
      <c r="I55" s="21">
        <f t="shared" si="10"/>
        <v>1</v>
      </c>
      <c r="J55" s="634"/>
      <c r="K55" s="21">
        <f t="shared" si="11"/>
        <v>1</v>
      </c>
      <c r="L55" s="634"/>
      <c r="M55" s="21">
        <f t="shared" si="12"/>
        <v>1</v>
      </c>
      <c r="N55" s="634"/>
      <c r="O55" s="21">
        <f t="shared" si="13"/>
        <v>1</v>
      </c>
      <c r="P55" s="634"/>
      <c r="Q55" s="21">
        <f t="shared" si="14"/>
        <v>1</v>
      </c>
      <c r="R55" s="21">
        <f t="shared" ca="1" si="15"/>
        <v>49548</v>
      </c>
      <c r="S55" s="308">
        <f t="shared" ref="S55:S77" ca="1" si="16">ROUND(R55*B55/10000,0)</f>
        <v>537</v>
      </c>
      <c r="T55" s="683" t="str">
        <f>明细表!G32</f>
        <v>公寓</v>
      </c>
      <c r="U55" s="683">
        <f>明细表!D32</f>
        <v>9</v>
      </c>
    </row>
    <row r="56" spans="1:21">
      <c r="A56" s="142" t="str">
        <f>明细表!B33</f>
        <v>2单元1012</v>
      </c>
      <c r="B56" s="52">
        <f>明细表!E33</f>
        <v>100.31</v>
      </c>
      <c r="C56" s="21">
        <f t="shared" si="7"/>
        <v>1</v>
      </c>
      <c r="D56" s="2570" t="s">
        <v>3580</v>
      </c>
      <c r="E56" s="21">
        <f t="shared" si="8"/>
        <v>1</v>
      </c>
      <c r="F56" s="634" t="s">
        <v>3589</v>
      </c>
      <c r="G56" s="21">
        <f t="shared" si="9"/>
        <v>1.02</v>
      </c>
      <c r="H56" s="634" t="s">
        <v>3596</v>
      </c>
      <c r="I56" s="21">
        <f t="shared" si="10"/>
        <v>1</v>
      </c>
      <c r="J56" s="634"/>
      <c r="K56" s="21">
        <f t="shared" si="11"/>
        <v>1</v>
      </c>
      <c r="L56" s="634"/>
      <c r="M56" s="21">
        <f t="shared" si="12"/>
        <v>1</v>
      </c>
      <c r="N56" s="634"/>
      <c r="O56" s="21">
        <f t="shared" si="13"/>
        <v>1</v>
      </c>
      <c r="P56" s="634"/>
      <c r="Q56" s="21">
        <f t="shared" si="14"/>
        <v>1</v>
      </c>
      <c r="R56" s="21">
        <f t="shared" ca="1" si="15"/>
        <v>49548</v>
      </c>
      <c r="S56" s="308">
        <f t="shared" ca="1" si="16"/>
        <v>497</v>
      </c>
      <c r="T56" s="683" t="str">
        <f>明细表!G33</f>
        <v>公寓</v>
      </c>
      <c r="U56" s="683">
        <f>明细表!D33</f>
        <v>9</v>
      </c>
    </row>
    <row r="57" spans="1:21">
      <c r="A57" s="142" t="str">
        <f>明细表!B34</f>
        <v>2单元1015</v>
      </c>
      <c r="B57" s="52">
        <f>明细表!E34</f>
        <v>108.47</v>
      </c>
      <c r="C57" s="21">
        <f t="shared" si="7"/>
        <v>1</v>
      </c>
      <c r="D57" s="2570" t="s">
        <v>3580</v>
      </c>
      <c r="E57" s="21">
        <f t="shared" si="8"/>
        <v>1</v>
      </c>
      <c r="F57" s="634" t="s">
        <v>3589</v>
      </c>
      <c r="G57" s="21">
        <f t="shared" si="9"/>
        <v>1.02</v>
      </c>
      <c r="H57" s="634" t="s">
        <v>3596</v>
      </c>
      <c r="I57" s="21">
        <f t="shared" si="10"/>
        <v>1</v>
      </c>
      <c r="J57" s="634"/>
      <c r="K57" s="21">
        <f t="shared" si="11"/>
        <v>1</v>
      </c>
      <c r="L57" s="634"/>
      <c r="M57" s="21">
        <f t="shared" si="12"/>
        <v>1</v>
      </c>
      <c r="N57" s="634"/>
      <c r="O57" s="21">
        <f t="shared" si="13"/>
        <v>1</v>
      </c>
      <c r="P57" s="634"/>
      <c r="Q57" s="21">
        <f t="shared" si="14"/>
        <v>1</v>
      </c>
      <c r="R57" s="21">
        <f t="shared" ca="1" si="15"/>
        <v>49548</v>
      </c>
      <c r="S57" s="308">
        <f t="shared" ca="1" si="16"/>
        <v>537</v>
      </c>
      <c r="T57" s="683" t="str">
        <f>明细表!G34</f>
        <v>公寓</v>
      </c>
      <c r="U57" s="683">
        <f>明细表!D34</f>
        <v>9</v>
      </c>
    </row>
    <row r="58" spans="1:21">
      <c r="A58" s="142" t="str">
        <f>明细表!B35</f>
        <v>2单元1016</v>
      </c>
      <c r="B58" s="52">
        <f>明细表!E35</f>
        <v>108.47</v>
      </c>
      <c r="C58" s="21">
        <f t="shared" si="7"/>
        <v>1</v>
      </c>
      <c r="D58" s="2570" t="s">
        <v>3580</v>
      </c>
      <c r="E58" s="21">
        <f t="shared" si="8"/>
        <v>1</v>
      </c>
      <c r="F58" s="634" t="s">
        <v>3589</v>
      </c>
      <c r="G58" s="21">
        <f t="shared" si="9"/>
        <v>1.02</v>
      </c>
      <c r="H58" s="634" t="s">
        <v>3596</v>
      </c>
      <c r="I58" s="21">
        <f t="shared" si="10"/>
        <v>1</v>
      </c>
      <c r="J58" s="634"/>
      <c r="K58" s="21">
        <f t="shared" si="11"/>
        <v>1</v>
      </c>
      <c r="L58" s="634"/>
      <c r="M58" s="21">
        <f t="shared" si="12"/>
        <v>1</v>
      </c>
      <c r="N58" s="634"/>
      <c r="O58" s="21">
        <f t="shared" si="13"/>
        <v>1</v>
      </c>
      <c r="P58" s="634"/>
      <c r="Q58" s="21">
        <f t="shared" si="14"/>
        <v>1</v>
      </c>
      <c r="R58" s="21">
        <f t="shared" ca="1" si="15"/>
        <v>49548</v>
      </c>
      <c r="S58" s="308">
        <f t="shared" ca="1" si="16"/>
        <v>537</v>
      </c>
      <c r="T58" s="683" t="str">
        <f>明细表!G35</f>
        <v>公寓</v>
      </c>
      <c r="U58" s="683">
        <f>明细表!D35</f>
        <v>9</v>
      </c>
    </row>
    <row r="59" spans="1:21">
      <c r="A59" s="142" t="str">
        <f>明细表!B36</f>
        <v>2单元1017</v>
      </c>
      <c r="B59" s="52">
        <f>明细表!E36</f>
        <v>142.4</v>
      </c>
      <c r="C59" s="21">
        <f t="shared" si="7"/>
        <v>1</v>
      </c>
      <c r="D59" s="2570" t="s">
        <v>3580</v>
      </c>
      <c r="E59" s="21">
        <f t="shared" si="8"/>
        <v>1</v>
      </c>
      <c r="F59" s="634" t="s">
        <v>3589</v>
      </c>
      <c r="G59" s="21">
        <f t="shared" si="9"/>
        <v>1.02</v>
      </c>
      <c r="H59" s="634" t="s">
        <v>3596</v>
      </c>
      <c r="I59" s="21">
        <f t="shared" si="10"/>
        <v>1</v>
      </c>
      <c r="J59" s="634"/>
      <c r="K59" s="21">
        <f t="shared" si="11"/>
        <v>1</v>
      </c>
      <c r="L59" s="634"/>
      <c r="M59" s="21">
        <f t="shared" si="12"/>
        <v>1</v>
      </c>
      <c r="N59" s="634"/>
      <c r="O59" s="21">
        <f t="shared" si="13"/>
        <v>1</v>
      </c>
      <c r="P59" s="634"/>
      <c r="Q59" s="21">
        <f t="shared" si="14"/>
        <v>1</v>
      </c>
      <c r="R59" s="21">
        <f t="shared" ca="1" si="15"/>
        <v>49548</v>
      </c>
      <c r="S59" s="308">
        <f t="shared" ca="1" si="16"/>
        <v>706</v>
      </c>
      <c r="T59" s="683" t="str">
        <f>明细表!G36</f>
        <v>公寓</v>
      </c>
      <c r="U59" s="683">
        <f>明细表!D36</f>
        <v>9</v>
      </c>
    </row>
    <row r="60" spans="1:21">
      <c r="A60" s="142" t="str">
        <f>明细表!B37</f>
        <v>2单元1107</v>
      </c>
      <c r="B60" s="52">
        <f>明细表!E37</f>
        <v>109.06</v>
      </c>
      <c r="C60" s="21">
        <f t="shared" si="7"/>
        <v>1</v>
      </c>
      <c r="D60" s="2570" t="s">
        <v>3580</v>
      </c>
      <c r="E60" s="21">
        <f t="shared" si="8"/>
        <v>1</v>
      </c>
      <c r="F60" s="634" t="s">
        <v>3589</v>
      </c>
      <c r="G60" s="21">
        <f t="shared" si="9"/>
        <v>1.02</v>
      </c>
      <c r="H60" s="634" t="s">
        <v>3596</v>
      </c>
      <c r="I60" s="21">
        <f t="shared" si="10"/>
        <v>1</v>
      </c>
      <c r="J60" s="634"/>
      <c r="K60" s="21">
        <f t="shared" si="11"/>
        <v>1</v>
      </c>
      <c r="L60" s="634"/>
      <c r="M60" s="21">
        <f t="shared" si="12"/>
        <v>1</v>
      </c>
      <c r="N60" s="634"/>
      <c r="O60" s="21">
        <f t="shared" si="13"/>
        <v>1</v>
      </c>
      <c r="P60" s="634"/>
      <c r="Q60" s="21">
        <f t="shared" si="14"/>
        <v>1</v>
      </c>
      <c r="R60" s="21">
        <f t="shared" ca="1" si="15"/>
        <v>49548</v>
      </c>
      <c r="S60" s="308">
        <f t="shared" ca="1" si="16"/>
        <v>540</v>
      </c>
      <c r="T60" s="683" t="str">
        <f>明细表!G37</f>
        <v>公寓</v>
      </c>
      <c r="U60" s="683">
        <f>明细表!D37</f>
        <v>10</v>
      </c>
    </row>
    <row r="61" spans="1:21">
      <c r="A61" s="142" t="str">
        <f>明细表!B38</f>
        <v>2单元1112</v>
      </c>
      <c r="B61" s="52">
        <f>明细表!E38</f>
        <v>100.31</v>
      </c>
      <c r="C61" s="21">
        <f t="shared" si="7"/>
        <v>1</v>
      </c>
      <c r="D61" s="2570" t="s">
        <v>3580</v>
      </c>
      <c r="E61" s="21">
        <f t="shared" si="8"/>
        <v>1</v>
      </c>
      <c r="F61" s="634" t="s">
        <v>3589</v>
      </c>
      <c r="G61" s="21">
        <f t="shared" si="9"/>
        <v>1.02</v>
      </c>
      <c r="H61" s="634" t="s">
        <v>3596</v>
      </c>
      <c r="I61" s="21">
        <f t="shared" si="10"/>
        <v>1</v>
      </c>
      <c r="J61" s="634"/>
      <c r="K61" s="21">
        <f t="shared" si="11"/>
        <v>1</v>
      </c>
      <c r="L61" s="634"/>
      <c r="M61" s="21">
        <f t="shared" si="12"/>
        <v>1</v>
      </c>
      <c r="N61" s="634"/>
      <c r="O61" s="21">
        <f t="shared" si="13"/>
        <v>1</v>
      </c>
      <c r="P61" s="634"/>
      <c r="Q61" s="21">
        <f t="shared" si="14"/>
        <v>1</v>
      </c>
      <c r="R61" s="21">
        <f t="shared" ca="1" si="15"/>
        <v>49548</v>
      </c>
      <c r="S61" s="308">
        <f t="shared" ca="1" si="16"/>
        <v>497</v>
      </c>
      <c r="T61" s="683" t="str">
        <f>明细表!G38</f>
        <v>公寓</v>
      </c>
      <c r="U61" s="683">
        <f>明细表!D38</f>
        <v>10</v>
      </c>
    </row>
    <row r="62" spans="1:21">
      <c r="A62" s="142" t="str">
        <f>明细表!B39</f>
        <v>2单元1207</v>
      </c>
      <c r="B62" s="52">
        <f>明细表!E39</f>
        <v>109.06</v>
      </c>
      <c r="C62" s="21">
        <f t="shared" si="7"/>
        <v>1</v>
      </c>
      <c r="D62" s="2570" t="s">
        <v>3580</v>
      </c>
      <c r="E62" s="21">
        <f t="shared" si="8"/>
        <v>1</v>
      </c>
      <c r="F62" s="634" t="s">
        <v>3589</v>
      </c>
      <c r="G62" s="21">
        <f t="shared" si="9"/>
        <v>1.02</v>
      </c>
      <c r="H62" s="634" t="s">
        <v>3596</v>
      </c>
      <c r="I62" s="21">
        <f t="shared" si="10"/>
        <v>1</v>
      </c>
      <c r="J62" s="634"/>
      <c r="K62" s="21">
        <f t="shared" si="11"/>
        <v>1</v>
      </c>
      <c r="L62" s="634"/>
      <c r="M62" s="21">
        <f t="shared" si="12"/>
        <v>1</v>
      </c>
      <c r="N62" s="634"/>
      <c r="O62" s="21">
        <f t="shared" si="13"/>
        <v>1</v>
      </c>
      <c r="P62" s="634"/>
      <c r="Q62" s="21">
        <f t="shared" si="14"/>
        <v>1</v>
      </c>
      <c r="R62" s="21">
        <f t="shared" ca="1" si="15"/>
        <v>49548</v>
      </c>
      <c r="S62" s="308">
        <f t="shared" ca="1" si="16"/>
        <v>540</v>
      </c>
      <c r="T62" s="683" t="str">
        <f>明细表!G39</f>
        <v>公寓</v>
      </c>
      <c r="U62" s="683">
        <f>明细表!D39</f>
        <v>11</v>
      </c>
    </row>
    <row r="63" spans="1:21">
      <c r="A63" s="142" t="str">
        <f>明细表!B40</f>
        <v>2单元1208</v>
      </c>
      <c r="B63" s="52">
        <f>明细表!E40</f>
        <v>208.9</v>
      </c>
      <c r="C63" s="21">
        <f t="shared" si="7"/>
        <v>1</v>
      </c>
      <c r="D63" s="2570" t="s">
        <v>3580</v>
      </c>
      <c r="E63" s="21">
        <f t="shared" si="8"/>
        <v>1</v>
      </c>
      <c r="F63" s="634" t="s">
        <v>3589</v>
      </c>
      <c r="G63" s="21">
        <f t="shared" si="9"/>
        <v>1.02</v>
      </c>
      <c r="H63" s="634" t="s">
        <v>3596</v>
      </c>
      <c r="I63" s="21">
        <f t="shared" si="10"/>
        <v>1</v>
      </c>
      <c r="J63" s="634"/>
      <c r="K63" s="21">
        <f t="shared" si="11"/>
        <v>1</v>
      </c>
      <c r="L63" s="634"/>
      <c r="M63" s="21">
        <f t="shared" si="12"/>
        <v>1</v>
      </c>
      <c r="N63" s="634"/>
      <c r="O63" s="21">
        <f t="shared" si="13"/>
        <v>1</v>
      </c>
      <c r="P63" s="634"/>
      <c r="Q63" s="21">
        <f t="shared" si="14"/>
        <v>1</v>
      </c>
      <c r="R63" s="21">
        <f t="shared" ca="1" si="15"/>
        <v>49548</v>
      </c>
      <c r="S63" s="308">
        <f t="shared" ca="1" si="16"/>
        <v>1035</v>
      </c>
      <c r="T63" s="683" t="str">
        <f>明细表!G40</f>
        <v>公寓</v>
      </c>
      <c r="U63" s="683">
        <f>明细表!D40</f>
        <v>11</v>
      </c>
    </row>
    <row r="64" spans="1:21">
      <c r="A64" s="142" t="str">
        <f>明细表!B41</f>
        <v>2单元1210</v>
      </c>
      <c r="B64" s="52">
        <f>明细表!E41</f>
        <v>108.47</v>
      </c>
      <c r="C64" s="21">
        <f t="shared" si="7"/>
        <v>1</v>
      </c>
      <c r="D64" s="2570" t="s">
        <v>3580</v>
      </c>
      <c r="E64" s="21">
        <f t="shared" si="8"/>
        <v>1</v>
      </c>
      <c r="F64" s="634" t="s">
        <v>3589</v>
      </c>
      <c r="G64" s="21">
        <f t="shared" si="9"/>
        <v>1.02</v>
      </c>
      <c r="H64" s="634" t="s">
        <v>3596</v>
      </c>
      <c r="I64" s="21">
        <f t="shared" si="10"/>
        <v>1</v>
      </c>
      <c r="J64" s="634"/>
      <c r="K64" s="21">
        <f t="shared" si="11"/>
        <v>1</v>
      </c>
      <c r="L64" s="634"/>
      <c r="M64" s="21">
        <f t="shared" si="12"/>
        <v>1</v>
      </c>
      <c r="N64" s="634"/>
      <c r="O64" s="21">
        <f t="shared" si="13"/>
        <v>1</v>
      </c>
      <c r="P64" s="634"/>
      <c r="Q64" s="21">
        <f t="shared" si="14"/>
        <v>1</v>
      </c>
      <c r="R64" s="21">
        <f t="shared" ca="1" si="15"/>
        <v>49548</v>
      </c>
      <c r="S64" s="308">
        <f t="shared" ca="1" si="16"/>
        <v>537</v>
      </c>
      <c r="T64" s="683" t="str">
        <f>明细表!G41</f>
        <v>公寓</v>
      </c>
      <c r="U64" s="683">
        <f>明细表!D41</f>
        <v>11</v>
      </c>
    </row>
    <row r="65" spans="1:21">
      <c r="A65" s="142" t="str">
        <f>明细表!B42</f>
        <v>2单元1212</v>
      </c>
      <c r="B65" s="52">
        <f>明细表!E42</f>
        <v>100.31</v>
      </c>
      <c r="C65" s="21">
        <f t="shared" si="7"/>
        <v>1</v>
      </c>
      <c r="D65" s="2570" t="s">
        <v>3580</v>
      </c>
      <c r="E65" s="21">
        <f t="shared" si="8"/>
        <v>1</v>
      </c>
      <c r="F65" s="634" t="s">
        <v>3589</v>
      </c>
      <c r="G65" s="21">
        <f t="shared" si="9"/>
        <v>1.02</v>
      </c>
      <c r="H65" s="634" t="s">
        <v>3596</v>
      </c>
      <c r="I65" s="21">
        <f t="shared" si="10"/>
        <v>1</v>
      </c>
      <c r="J65" s="634"/>
      <c r="K65" s="21">
        <f t="shared" si="11"/>
        <v>1</v>
      </c>
      <c r="L65" s="634"/>
      <c r="M65" s="21">
        <f t="shared" si="12"/>
        <v>1</v>
      </c>
      <c r="N65" s="634"/>
      <c r="O65" s="21">
        <f t="shared" si="13"/>
        <v>1</v>
      </c>
      <c r="P65" s="634"/>
      <c r="Q65" s="21">
        <f t="shared" si="14"/>
        <v>1</v>
      </c>
      <c r="R65" s="21">
        <f t="shared" ca="1" si="15"/>
        <v>49548</v>
      </c>
      <c r="S65" s="308">
        <f t="shared" ca="1" si="16"/>
        <v>497</v>
      </c>
      <c r="T65" s="683" t="str">
        <f>明细表!G42</f>
        <v>公寓</v>
      </c>
      <c r="U65" s="683">
        <f>明细表!D42</f>
        <v>11</v>
      </c>
    </row>
    <row r="66" spans="1:21">
      <c r="A66" s="142" t="str">
        <f>明细表!B43</f>
        <v>2单元1216</v>
      </c>
      <c r="B66" s="52">
        <f>明细表!E43</f>
        <v>108.47</v>
      </c>
      <c r="C66" s="21">
        <f t="shared" si="7"/>
        <v>1</v>
      </c>
      <c r="D66" s="2570" t="s">
        <v>3580</v>
      </c>
      <c r="E66" s="21">
        <f t="shared" si="8"/>
        <v>1</v>
      </c>
      <c r="F66" s="634" t="s">
        <v>3589</v>
      </c>
      <c r="G66" s="21">
        <f t="shared" si="9"/>
        <v>1.02</v>
      </c>
      <c r="H66" s="634" t="s">
        <v>3596</v>
      </c>
      <c r="I66" s="21">
        <f t="shared" si="10"/>
        <v>1</v>
      </c>
      <c r="J66" s="634"/>
      <c r="K66" s="21">
        <f t="shared" si="11"/>
        <v>1</v>
      </c>
      <c r="L66" s="634"/>
      <c r="M66" s="21">
        <f t="shared" si="12"/>
        <v>1</v>
      </c>
      <c r="N66" s="634"/>
      <c r="O66" s="21">
        <f t="shared" si="13"/>
        <v>1</v>
      </c>
      <c r="P66" s="634"/>
      <c r="Q66" s="21">
        <f t="shared" si="14"/>
        <v>1</v>
      </c>
      <c r="R66" s="21">
        <f t="shared" ca="1" si="15"/>
        <v>49548</v>
      </c>
      <c r="S66" s="308">
        <f t="shared" ca="1" si="16"/>
        <v>537</v>
      </c>
      <c r="T66" s="683" t="str">
        <f>明细表!G43</f>
        <v>公寓</v>
      </c>
      <c r="U66" s="683">
        <f>明细表!D43</f>
        <v>11</v>
      </c>
    </row>
    <row r="67" spans="1:21">
      <c r="A67" s="142" t="str">
        <f>明细表!B44</f>
        <v>2单元1217</v>
      </c>
      <c r="B67" s="52">
        <f>明细表!E44</f>
        <v>142.4</v>
      </c>
      <c r="C67" s="21">
        <f t="shared" si="7"/>
        <v>1</v>
      </c>
      <c r="D67" s="2570" t="s">
        <v>3580</v>
      </c>
      <c r="E67" s="21">
        <f t="shared" si="8"/>
        <v>1</v>
      </c>
      <c r="F67" s="634" t="s">
        <v>3589</v>
      </c>
      <c r="G67" s="21">
        <f t="shared" si="9"/>
        <v>1.02</v>
      </c>
      <c r="H67" s="634" t="s">
        <v>3596</v>
      </c>
      <c r="I67" s="21">
        <f t="shared" si="10"/>
        <v>1</v>
      </c>
      <c r="J67" s="634"/>
      <c r="K67" s="21">
        <f t="shared" si="11"/>
        <v>1</v>
      </c>
      <c r="L67" s="634"/>
      <c r="M67" s="21">
        <f t="shared" si="12"/>
        <v>1</v>
      </c>
      <c r="N67" s="634"/>
      <c r="O67" s="21">
        <f t="shared" si="13"/>
        <v>1</v>
      </c>
      <c r="P67" s="634"/>
      <c r="Q67" s="21">
        <f t="shared" si="14"/>
        <v>1</v>
      </c>
      <c r="R67" s="21">
        <f t="shared" ca="1" si="15"/>
        <v>49548</v>
      </c>
      <c r="S67" s="308">
        <f t="shared" ca="1" si="16"/>
        <v>706</v>
      </c>
      <c r="T67" s="683" t="str">
        <f>明细表!G44</f>
        <v>公寓</v>
      </c>
      <c r="U67" s="683">
        <f>明细表!D44</f>
        <v>11</v>
      </c>
    </row>
    <row r="68" spans="1:21">
      <c r="A68" s="142" t="str">
        <f>明细表!B45</f>
        <v>2单元1602</v>
      </c>
      <c r="B68" s="52">
        <f>明细表!E45</f>
        <v>109.06</v>
      </c>
      <c r="C68" s="21">
        <f t="shared" si="7"/>
        <v>1</v>
      </c>
      <c r="D68" s="2570" t="s">
        <v>3580</v>
      </c>
      <c r="E68" s="21">
        <f t="shared" si="8"/>
        <v>1</v>
      </c>
      <c r="F68" s="634" t="s">
        <v>3603</v>
      </c>
      <c r="G68" s="21">
        <f t="shared" si="9"/>
        <v>1.04</v>
      </c>
      <c r="H68" s="634" t="s">
        <v>21</v>
      </c>
      <c r="I68" s="21">
        <f t="shared" si="10"/>
        <v>1.06</v>
      </c>
      <c r="J68" s="634"/>
      <c r="K68" s="21">
        <f t="shared" si="11"/>
        <v>1</v>
      </c>
      <c r="L68" s="634"/>
      <c r="M68" s="21">
        <f t="shared" si="12"/>
        <v>1</v>
      </c>
      <c r="N68" s="634"/>
      <c r="O68" s="21">
        <f t="shared" si="13"/>
        <v>1</v>
      </c>
      <c r="P68" s="634"/>
      <c r="Q68" s="21">
        <f t="shared" si="14"/>
        <v>1</v>
      </c>
      <c r="R68" s="21">
        <f t="shared" ca="1" si="15"/>
        <v>53550</v>
      </c>
      <c r="S68" s="308">
        <f t="shared" ca="1" si="16"/>
        <v>584</v>
      </c>
      <c r="T68" s="683" t="str">
        <f>明细表!G45</f>
        <v>办公</v>
      </c>
      <c r="U68" s="683">
        <f>明细表!D45</f>
        <v>14</v>
      </c>
    </row>
    <row r="69" spans="1:21">
      <c r="A69" s="142" t="str">
        <f>明细表!B46</f>
        <v>2单元1603</v>
      </c>
      <c r="B69" s="52">
        <f>明细表!E46</f>
        <v>109.06</v>
      </c>
      <c r="C69" s="21">
        <f t="shared" si="7"/>
        <v>1</v>
      </c>
      <c r="D69" s="2570" t="s">
        <v>3580</v>
      </c>
      <c r="E69" s="21">
        <f t="shared" si="8"/>
        <v>1</v>
      </c>
      <c r="F69" s="634" t="s">
        <v>3603</v>
      </c>
      <c r="G69" s="21">
        <f t="shared" si="9"/>
        <v>1.04</v>
      </c>
      <c r="H69" s="634" t="s">
        <v>21</v>
      </c>
      <c r="I69" s="21">
        <f t="shared" si="10"/>
        <v>1.06</v>
      </c>
      <c r="J69" s="634"/>
      <c r="K69" s="21">
        <f t="shared" si="11"/>
        <v>1</v>
      </c>
      <c r="L69" s="634"/>
      <c r="M69" s="21">
        <f t="shared" si="12"/>
        <v>1</v>
      </c>
      <c r="N69" s="634"/>
      <c r="O69" s="21">
        <f t="shared" si="13"/>
        <v>1</v>
      </c>
      <c r="P69" s="634"/>
      <c r="Q69" s="21">
        <f t="shared" si="14"/>
        <v>1</v>
      </c>
      <c r="R69" s="21">
        <f t="shared" ca="1" si="15"/>
        <v>53550</v>
      </c>
      <c r="S69" s="308">
        <f t="shared" ca="1" si="16"/>
        <v>584</v>
      </c>
      <c r="T69" s="683" t="str">
        <f>明细表!G46</f>
        <v>办公</v>
      </c>
      <c r="U69" s="683">
        <f>明细表!D46</f>
        <v>14</v>
      </c>
    </row>
    <row r="70" spans="1:21">
      <c r="A70" s="142" t="str">
        <f>明细表!B47</f>
        <v>2单元1605</v>
      </c>
      <c r="B70" s="52">
        <f>明细表!E47</f>
        <v>109.06</v>
      </c>
      <c r="C70" s="21">
        <f t="shared" si="7"/>
        <v>1</v>
      </c>
      <c r="D70" s="2570" t="s">
        <v>3580</v>
      </c>
      <c r="E70" s="21">
        <f t="shared" si="8"/>
        <v>1</v>
      </c>
      <c r="F70" s="634" t="s">
        <v>3603</v>
      </c>
      <c r="G70" s="21">
        <f t="shared" si="9"/>
        <v>1.04</v>
      </c>
      <c r="H70" s="634" t="s">
        <v>21</v>
      </c>
      <c r="I70" s="21">
        <f t="shared" si="10"/>
        <v>1.06</v>
      </c>
      <c r="J70" s="634"/>
      <c r="K70" s="21">
        <f t="shared" si="11"/>
        <v>1</v>
      </c>
      <c r="L70" s="634"/>
      <c r="M70" s="21">
        <f t="shared" si="12"/>
        <v>1</v>
      </c>
      <c r="N70" s="634"/>
      <c r="O70" s="21">
        <f t="shared" si="13"/>
        <v>1</v>
      </c>
      <c r="P70" s="634"/>
      <c r="Q70" s="21">
        <f t="shared" si="14"/>
        <v>1</v>
      </c>
      <c r="R70" s="21">
        <f t="shared" ca="1" si="15"/>
        <v>53550</v>
      </c>
      <c r="S70" s="308">
        <f t="shared" ca="1" si="16"/>
        <v>584</v>
      </c>
      <c r="T70" s="683" t="str">
        <f>明细表!G47</f>
        <v>办公</v>
      </c>
      <c r="U70" s="683">
        <f>明细表!D47</f>
        <v>14</v>
      </c>
    </row>
    <row r="71" spans="1:21">
      <c r="A71" s="142" t="str">
        <f>明细表!B48</f>
        <v>2单元1606</v>
      </c>
      <c r="B71" s="52">
        <f>明细表!E48</f>
        <v>109.06</v>
      </c>
      <c r="C71" s="21">
        <f t="shared" si="7"/>
        <v>1</v>
      </c>
      <c r="D71" s="2570" t="s">
        <v>3580</v>
      </c>
      <c r="E71" s="21">
        <f t="shared" si="8"/>
        <v>1</v>
      </c>
      <c r="F71" s="634" t="s">
        <v>3603</v>
      </c>
      <c r="G71" s="21">
        <f t="shared" si="9"/>
        <v>1.04</v>
      </c>
      <c r="H71" s="634" t="s">
        <v>21</v>
      </c>
      <c r="I71" s="21">
        <f t="shared" si="10"/>
        <v>1.06</v>
      </c>
      <c r="J71" s="634"/>
      <c r="K71" s="21">
        <f t="shared" si="11"/>
        <v>1</v>
      </c>
      <c r="L71" s="634"/>
      <c r="M71" s="21">
        <f t="shared" si="12"/>
        <v>1</v>
      </c>
      <c r="N71" s="634"/>
      <c r="O71" s="21">
        <f t="shared" si="13"/>
        <v>1</v>
      </c>
      <c r="P71" s="634"/>
      <c r="Q71" s="21">
        <f t="shared" si="14"/>
        <v>1</v>
      </c>
      <c r="R71" s="21">
        <f t="shared" ca="1" si="15"/>
        <v>53550</v>
      </c>
      <c r="S71" s="308">
        <f t="shared" ca="1" si="16"/>
        <v>584</v>
      </c>
      <c r="T71" s="683" t="str">
        <f>明细表!G48</f>
        <v>办公</v>
      </c>
      <c r="U71" s="683">
        <f>明细表!D48</f>
        <v>14</v>
      </c>
    </row>
    <row r="72" spans="1:21">
      <c r="A72" s="142" t="str">
        <f>明细表!B49</f>
        <v>2单元1607</v>
      </c>
      <c r="B72" s="52">
        <f>明细表!E49</f>
        <v>109.06</v>
      </c>
      <c r="C72" s="21">
        <f t="shared" si="7"/>
        <v>1</v>
      </c>
      <c r="D72" s="2570" t="s">
        <v>3580</v>
      </c>
      <c r="E72" s="21">
        <f t="shared" si="8"/>
        <v>1</v>
      </c>
      <c r="F72" s="634" t="s">
        <v>3603</v>
      </c>
      <c r="G72" s="21">
        <f t="shared" si="9"/>
        <v>1.04</v>
      </c>
      <c r="H72" s="634" t="s">
        <v>21</v>
      </c>
      <c r="I72" s="21">
        <f t="shared" si="10"/>
        <v>1.06</v>
      </c>
      <c r="J72" s="634"/>
      <c r="K72" s="21">
        <f t="shared" si="11"/>
        <v>1</v>
      </c>
      <c r="L72" s="634"/>
      <c r="M72" s="21">
        <f t="shared" si="12"/>
        <v>1</v>
      </c>
      <c r="N72" s="634"/>
      <c r="O72" s="21">
        <f t="shared" si="13"/>
        <v>1</v>
      </c>
      <c r="P72" s="634"/>
      <c r="Q72" s="21">
        <f t="shared" si="14"/>
        <v>1</v>
      </c>
      <c r="R72" s="21">
        <f t="shared" ca="1" si="15"/>
        <v>53550</v>
      </c>
      <c r="S72" s="308">
        <f t="shared" ca="1" si="16"/>
        <v>584</v>
      </c>
      <c r="T72" s="683" t="str">
        <f>明细表!G49</f>
        <v>办公</v>
      </c>
      <c r="U72" s="683">
        <f>明细表!D49</f>
        <v>14</v>
      </c>
    </row>
    <row r="73" spans="1:21">
      <c r="A73" s="142" t="str">
        <f>明细表!B50</f>
        <v>2单元1608</v>
      </c>
      <c r="B73" s="52">
        <f>明细表!E50</f>
        <v>208.9</v>
      </c>
      <c r="C73" s="21">
        <f t="shared" si="7"/>
        <v>1</v>
      </c>
      <c r="D73" s="2570" t="s">
        <v>3580</v>
      </c>
      <c r="E73" s="21">
        <f t="shared" si="8"/>
        <v>1</v>
      </c>
      <c r="F73" s="634" t="s">
        <v>3603</v>
      </c>
      <c r="G73" s="21">
        <f t="shared" si="9"/>
        <v>1.04</v>
      </c>
      <c r="H73" s="634" t="s">
        <v>21</v>
      </c>
      <c r="I73" s="21">
        <f t="shared" si="10"/>
        <v>1.06</v>
      </c>
      <c r="J73" s="634"/>
      <c r="K73" s="21">
        <f t="shared" si="11"/>
        <v>1</v>
      </c>
      <c r="L73" s="634"/>
      <c r="M73" s="21">
        <f t="shared" si="12"/>
        <v>1</v>
      </c>
      <c r="N73" s="634"/>
      <c r="O73" s="21">
        <f t="shared" si="13"/>
        <v>1</v>
      </c>
      <c r="P73" s="634"/>
      <c r="Q73" s="21">
        <f t="shared" si="14"/>
        <v>1</v>
      </c>
      <c r="R73" s="21">
        <f t="shared" ca="1" si="15"/>
        <v>53550</v>
      </c>
      <c r="S73" s="308">
        <f t="shared" ca="1" si="16"/>
        <v>1119</v>
      </c>
      <c r="T73" s="683" t="str">
        <f>明细表!G50</f>
        <v>办公</v>
      </c>
      <c r="U73" s="683">
        <f>明细表!D50</f>
        <v>14</v>
      </c>
    </row>
    <row r="74" spans="1:21">
      <c r="A74" s="142" t="str">
        <f>明细表!B51</f>
        <v>2单元1610</v>
      </c>
      <c r="B74" s="52">
        <f>明细表!E51</f>
        <v>108.47</v>
      </c>
      <c r="C74" s="21">
        <f t="shared" si="7"/>
        <v>1</v>
      </c>
      <c r="D74" s="2570" t="s">
        <v>3580</v>
      </c>
      <c r="E74" s="21">
        <f t="shared" si="8"/>
        <v>1</v>
      </c>
      <c r="F74" s="634" t="s">
        <v>3603</v>
      </c>
      <c r="G74" s="21">
        <f t="shared" si="9"/>
        <v>1.04</v>
      </c>
      <c r="H74" s="634" t="s">
        <v>3596</v>
      </c>
      <c r="I74" s="21">
        <f t="shared" si="10"/>
        <v>1</v>
      </c>
      <c r="J74" s="634"/>
      <c r="K74" s="21">
        <f t="shared" si="11"/>
        <v>1</v>
      </c>
      <c r="L74" s="634"/>
      <c r="M74" s="21">
        <f t="shared" si="12"/>
        <v>1</v>
      </c>
      <c r="N74" s="634"/>
      <c r="O74" s="21">
        <f t="shared" si="13"/>
        <v>1</v>
      </c>
      <c r="P74" s="634"/>
      <c r="Q74" s="21">
        <f t="shared" si="14"/>
        <v>1</v>
      </c>
      <c r="R74" s="21">
        <f t="shared" ca="1" si="15"/>
        <v>50519</v>
      </c>
      <c r="S74" s="308">
        <f t="shared" ca="1" si="16"/>
        <v>548</v>
      </c>
      <c r="T74" s="683" t="str">
        <f>明细表!G51</f>
        <v>公寓</v>
      </c>
      <c r="U74" s="683">
        <f>明细表!D51</f>
        <v>14</v>
      </c>
    </row>
    <row r="75" spans="1:21">
      <c r="A75" s="142" t="str">
        <f>明细表!B52</f>
        <v>2单元1611</v>
      </c>
      <c r="B75" s="52">
        <f>明细表!E52</f>
        <v>108.47</v>
      </c>
      <c r="C75" s="21">
        <f t="shared" si="7"/>
        <v>1</v>
      </c>
      <c r="D75" s="2570" t="s">
        <v>3580</v>
      </c>
      <c r="E75" s="21">
        <f t="shared" si="8"/>
        <v>1</v>
      </c>
      <c r="F75" s="634" t="s">
        <v>3603</v>
      </c>
      <c r="G75" s="21">
        <f t="shared" si="9"/>
        <v>1.04</v>
      </c>
      <c r="H75" s="634" t="s">
        <v>3596</v>
      </c>
      <c r="I75" s="21">
        <f t="shared" si="10"/>
        <v>1</v>
      </c>
      <c r="J75" s="634"/>
      <c r="K75" s="21">
        <f t="shared" si="11"/>
        <v>1</v>
      </c>
      <c r="L75" s="634"/>
      <c r="M75" s="21">
        <f t="shared" si="12"/>
        <v>1</v>
      </c>
      <c r="N75" s="634"/>
      <c r="O75" s="21">
        <f t="shared" si="13"/>
        <v>1</v>
      </c>
      <c r="P75" s="634"/>
      <c r="Q75" s="21">
        <f t="shared" si="14"/>
        <v>1</v>
      </c>
      <c r="R75" s="21">
        <f t="shared" ca="1" si="15"/>
        <v>50519</v>
      </c>
      <c r="S75" s="308">
        <f t="shared" ca="1" si="16"/>
        <v>548</v>
      </c>
      <c r="T75" s="683" t="str">
        <f>明细表!G52</f>
        <v>公寓</v>
      </c>
      <c r="U75" s="683">
        <f>明细表!D52</f>
        <v>14</v>
      </c>
    </row>
    <row r="76" spans="1:21">
      <c r="A76" s="142" t="str">
        <f>明细表!B53</f>
        <v>2单元1612</v>
      </c>
      <c r="B76" s="52">
        <f>明细表!E53</f>
        <v>100.31</v>
      </c>
      <c r="C76" s="21">
        <f t="shared" si="7"/>
        <v>1</v>
      </c>
      <c r="D76" s="2570" t="s">
        <v>3580</v>
      </c>
      <c r="E76" s="21">
        <f t="shared" si="8"/>
        <v>1</v>
      </c>
      <c r="F76" s="634" t="s">
        <v>3603</v>
      </c>
      <c r="G76" s="21">
        <f t="shared" si="9"/>
        <v>1.04</v>
      </c>
      <c r="H76" s="634" t="s">
        <v>3596</v>
      </c>
      <c r="I76" s="21">
        <f t="shared" si="10"/>
        <v>1</v>
      </c>
      <c r="J76" s="634"/>
      <c r="K76" s="21">
        <f t="shared" si="11"/>
        <v>1</v>
      </c>
      <c r="L76" s="634"/>
      <c r="M76" s="21">
        <f t="shared" si="12"/>
        <v>1</v>
      </c>
      <c r="N76" s="634"/>
      <c r="O76" s="21">
        <f t="shared" si="13"/>
        <v>1</v>
      </c>
      <c r="P76" s="634"/>
      <c r="Q76" s="21">
        <f t="shared" si="14"/>
        <v>1</v>
      </c>
      <c r="R76" s="21">
        <f t="shared" ca="1" si="15"/>
        <v>50519</v>
      </c>
      <c r="S76" s="308">
        <f t="shared" ca="1" si="16"/>
        <v>507</v>
      </c>
      <c r="T76" s="683" t="str">
        <f>明细表!G53</f>
        <v>公寓</v>
      </c>
      <c r="U76" s="683">
        <f>明细表!D53</f>
        <v>14</v>
      </c>
    </row>
    <row r="77" spans="1:21">
      <c r="A77" s="142" t="str">
        <f>明细表!B54</f>
        <v>2单元1615</v>
      </c>
      <c r="B77" s="52">
        <f>明细表!E54</f>
        <v>108.47</v>
      </c>
      <c r="C77" s="21">
        <f t="shared" si="7"/>
        <v>1</v>
      </c>
      <c r="D77" s="2570" t="s">
        <v>3580</v>
      </c>
      <c r="E77" s="21">
        <f t="shared" si="8"/>
        <v>1</v>
      </c>
      <c r="F77" s="634" t="s">
        <v>3603</v>
      </c>
      <c r="G77" s="21">
        <f t="shared" si="9"/>
        <v>1.04</v>
      </c>
      <c r="H77" s="634" t="s">
        <v>3596</v>
      </c>
      <c r="I77" s="21">
        <f t="shared" si="10"/>
        <v>1</v>
      </c>
      <c r="J77" s="634"/>
      <c r="K77" s="21">
        <f t="shared" si="11"/>
        <v>1</v>
      </c>
      <c r="L77" s="634"/>
      <c r="M77" s="21">
        <f t="shared" si="12"/>
        <v>1</v>
      </c>
      <c r="N77" s="634"/>
      <c r="O77" s="21">
        <f t="shared" si="13"/>
        <v>1</v>
      </c>
      <c r="P77" s="634"/>
      <c r="Q77" s="21">
        <f t="shared" si="14"/>
        <v>1</v>
      </c>
      <c r="R77" s="21">
        <f t="shared" ca="1" si="15"/>
        <v>50519</v>
      </c>
      <c r="S77" s="308">
        <f t="shared" ca="1" si="16"/>
        <v>548</v>
      </c>
      <c r="T77" s="683" t="str">
        <f>明细表!G54</f>
        <v>公寓</v>
      </c>
      <c r="U77" s="683">
        <f>明细表!D54</f>
        <v>14</v>
      </c>
    </row>
    <row r="78" spans="1:21">
      <c r="A78" s="142" t="str">
        <f>明细表!B55</f>
        <v>2单元1617</v>
      </c>
      <c r="B78" s="52">
        <f>明细表!E55</f>
        <v>142.4</v>
      </c>
      <c r="C78" s="21">
        <f t="shared" si="7"/>
        <v>1</v>
      </c>
      <c r="D78" s="2570" t="s">
        <v>3580</v>
      </c>
      <c r="E78" s="21">
        <f t="shared" si="8"/>
        <v>1</v>
      </c>
      <c r="F78" s="634" t="s">
        <v>3603</v>
      </c>
      <c r="G78" s="21">
        <f t="shared" si="9"/>
        <v>1.04</v>
      </c>
      <c r="H78" s="634" t="s">
        <v>3596</v>
      </c>
      <c r="I78" s="21">
        <f t="shared" si="10"/>
        <v>1</v>
      </c>
      <c r="J78" s="634"/>
      <c r="K78" s="21">
        <f t="shared" si="11"/>
        <v>1</v>
      </c>
      <c r="L78" s="634"/>
      <c r="M78" s="21">
        <f t="shared" si="12"/>
        <v>1</v>
      </c>
      <c r="N78" s="634"/>
      <c r="O78" s="21">
        <f t="shared" si="13"/>
        <v>1</v>
      </c>
      <c r="P78" s="634"/>
      <c r="Q78" s="21">
        <f t="shared" si="14"/>
        <v>1</v>
      </c>
      <c r="R78" s="21">
        <f t="shared" ca="1" si="15"/>
        <v>50519</v>
      </c>
      <c r="S78" s="308">
        <f t="shared" ref="S78:S122" ca="1" si="17">ROUND(R78*B78/10000,0)</f>
        <v>719</v>
      </c>
      <c r="T78" s="683" t="str">
        <f>明细表!G55</f>
        <v>公寓</v>
      </c>
      <c r="U78" s="683">
        <f>明细表!D55</f>
        <v>14</v>
      </c>
    </row>
    <row r="79" spans="1:21">
      <c r="A79" s="142" t="str">
        <f>明细表!B56</f>
        <v>2单元1703</v>
      </c>
      <c r="B79" s="52">
        <f>明细表!E56</f>
        <v>109.06</v>
      </c>
      <c r="C79" s="21">
        <f t="shared" si="7"/>
        <v>1</v>
      </c>
      <c r="D79" s="2570" t="s">
        <v>3580</v>
      </c>
      <c r="E79" s="21">
        <f t="shared" si="8"/>
        <v>1</v>
      </c>
      <c r="F79" s="634" t="s">
        <v>3603</v>
      </c>
      <c r="G79" s="21">
        <f t="shared" si="9"/>
        <v>1.04</v>
      </c>
      <c r="H79" s="634" t="s">
        <v>3596</v>
      </c>
      <c r="I79" s="21">
        <f t="shared" si="10"/>
        <v>1</v>
      </c>
      <c r="J79" s="634"/>
      <c r="K79" s="21">
        <f t="shared" si="11"/>
        <v>1</v>
      </c>
      <c r="L79" s="634"/>
      <c r="M79" s="21">
        <f t="shared" si="12"/>
        <v>1</v>
      </c>
      <c r="N79" s="634"/>
      <c r="O79" s="21">
        <f t="shared" si="13"/>
        <v>1</v>
      </c>
      <c r="P79" s="634"/>
      <c r="Q79" s="21">
        <f t="shared" si="14"/>
        <v>1</v>
      </c>
      <c r="R79" s="21">
        <f t="shared" ca="1" si="15"/>
        <v>50519</v>
      </c>
      <c r="S79" s="308">
        <f t="shared" ca="1" si="17"/>
        <v>551</v>
      </c>
      <c r="T79" s="683" t="str">
        <f>明细表!G56</f>
        <v>公寓</v>
      </c>
      <c r="U79" s="683">
        <f>明细表!D56</f>
        <v>15</v>
      </c>
    </row>
    <row r="80" spans="1:21">
      <c r="A80" s="142" t="str">
        <f>明细表!B57</f>
        <v>2单元1707</v>
      </c>
      <c r="B80" s="52">
        <f>明细表!E57</f>
        <v>109.06</v>
      </c>
      <c r="C80" s="21">
        <f t="shared" si="7"/>
        <v>1</v>
      </c>
      <c r="D80" s="2570" t="s">
        <v>3580</v>
      </c>
      <c r="E80" s="21">
        <f t="shared" si="8"/>
        <v>1</v>
      </c>
      <c r="F80" s="634" t="s">
        <v>3603</v>
      </c>
      <c r="G80" s="21">
        <f t="shared" si="9"/>
        <v>1.04</v>
      </c>
      <c r="H80" s="634" t="s">
        <v>3596</v>
      </c>
      <c r="I80" s="21">
        <f t="shared" si="10"/>
        <v>1</v>
      </c>
      <c r="J80" s="634"/>
      <c r="K80" s="21">
        <f t="shared" si="11"/>
        <v>1</v>
      </c>
      <c r="L80" s="634"/>
      <c r="M80" s="21">
        <f t="shared" si="12"/>
        <v>1</v>
      </c>
      <c r="N80" s="634"/>
      <c r="O80" s="21">
        <f t="shared" si="13"/>
        <v>1</v>
      </c>
      <c r="P80" s="634"/>
      <c r="Q80" s="21">
        <f t="shared" si="14"/>
        <v>1</v>
      </c>
      <c r="R80" s="21">
        <f t="shared" ca="1" si="15"/>
        <v>50519</v>
      </c>
      <c r="S80" s="308">
        <f t="shared" ca="1" si="17"/>
        <v>551</v>
      </c>
      <c r="T80" s="683" t="str">
        <f>明细表!G57</f>
        <v>公寓</v>
      </c>
      <c r="U80" s="683">
        <f>明细表!D57</f>
        <v>15</v>
      </c>
    </row>
    <row r="81" spans="1:21">
      <c r="A81" s="142" t="str">
        <f>明细表!B58</f>
        <v>2单元1708</v>
      </c>
      <c r="B81" s="52">
        <f>明细表!E58</f>
        <v>208.9</v>
      </c>
      <c r="C81" s="21">
        <f t="shared" si="7"/>
        <v>1</v>
      </c>
      <c r="D81" s="2570" t="s">
        <v>3580</v>
      </c>
      <c r="E81" s="21">
        <f t="shared" si="8"/>
        <v>1</v>
      </c>
      <c r="F81" s="634" t="s">
        <v>3603</v>
      </c>
      <c r="G81" s="21">
        <f t="shared" si="9"/>
        <v>1.04</v>
      </c>
      <c r="H81" s="634" t="s">
        <v>3596</v>
      </c>
      <c r="I81" s="21">
        <f t="shared" si="10"/>
        <v>1</v>
      </c>
      <c r="J81" s="634"/>
      <c r="K81" s="21">
        <f t="shared" si="11"/>
        <v>1</v>
      </c>
      <c r="L81" s="634"/>
      <c r="M81" s="21">
        <f t="shared" si="12"/>
        <v>1</v>
      </c>
      <c r="N81" s="634"/>
      <c r="O81" s="21">
        <f t="shared" si="13"/>
        <v>1</v>
      </c>
      <c r="P81" s="634"/>
      <c r="Q81" s="21">
        <f t="shared" si="14"/>
        <v>1</v>
      </c>
      <c r="R81" s="21">
        <f t="shared" ca="1" si="15"/>
        <v>50519</v>
      </c>
      <c r="S81" s="308">
        <f t="shared" ca="1" si="17"/>
        <v>1055</v>
      </c>
      <c r="T81" s="683" t="str">
        <f>明细表!G58</f>
        <v>公寓</v>
      </c>
      <c r="U81" s="683">
        <f>明细表!D58</f>
        <v>15</v>
      </c>
    </row>
    <row r="82" spans="1:21">
      <c r="A82" s="142" t="str">
        <f>明细表!B59</f>
        <v>2单元1710</v>
      </c>
      <c r="B82" s="52">
        <f>明细表!E59</f>
        <v>108.47</v>
      </c>
      <c r="C82" s="21">
        <f t="shared" si="7"/>
        <v>1</v>
      </c>
      <c r="D82" s="2570" t="s">
        <v>3580</v>
      </c>
      <c r="E82" s="21">
        <f t="shared" si="8"/>
        <v>1</v>
      </c>
      <c r="F82" s="634" t="s">
        <v>3603</v>
      </c>
      <c r="G82" s="21">
        <f t="shared" si="9"/>
        <v>1.04</v>
      </c>
      <c r="H82" s="634" t="s">
        <v>3596</v>
      </c>
      <c r="I82" s="21">
        <f t="shared" si="10"/>
        <v>1</v>
      </c>
      <c r="J82" s="634"/>
      <c r="K82" s="21">
        <f t="shared" si="11"/>
        <v>1</v>
      </c>
      <c r="L82" s="634"/>
      <c r="M82" s="21">
        <f t="shared" si="12"/>
        <v>1</v>
      </c>
      <c r="N82" s="634"/>
      <c r="O82" s="21">
        <f t="shared" si="13"/>
        <v>1</v>
      </c>
      <c r="P82" s="634"/>
      <c r="Q82" s="21">
        <f t="shared" si="14"/>
        <v>1</v>
      </c>
      <c r="R82" s="21">
        <f t="shared" ca="1" si="15"/>
        <v>50519</v>
      </c>
      <c r="S82" s="308">
        <f t="shared" ca="1" si="17"/>
        <v>548</v>
      </c>
      <c r="T82" s="683" t="str">
        <f>明细表!G59</f>
        <v>公寓</v>
      </c>
      <c r="U82" s="683">
        <f>明细表!D59</f>
        <v>15</v>
      </c>
    </row>
    <row r="83" spans="1:21">
      <c r="A83" s="142" t="str">
        <f>明细表!B60</f>
        <v>2单元1711</v>
      </c>
      <c r="B83" s="52">
        <f>明细表!E60</f>
        <v>108.47</v>
      </c>
      <c r="C83" s="21">
        <f t="shared" si="7"/>
        <v>1</v>
      </c>
      <c r="D83" s="2570" t="s">
        <v>3580</v>
      </c>
      <c r="E83" s="21">
        <f t="shared" si="8"/>
        <v>1</v>
      </c>
      <c r="F83" s="634" t="s">
        <v>3603</v>
      </c>
      <c r="G83" s="21">
        <f t="shared" si="9"/>
        <v>1.04</v>
      </c>
      <c r="H83" s="634" t="s">
        <v>3596</v>
      </c>
      <c r="I83" s="21">
        <f t="shared" si="10"/>
        <v>1</v>
      </c>
      <c r="J83" s="634"/>
      <c r="K83" s="21">
        <f t="shared" si="11"/>
        <v>1</v>
      </c>
      <c r="L83" s="634"/>
      <c r="M83" s="21">
        <f t="shared" si="12"/>
        <v>1</v>
      </c>
      <c r="N83" s="634"/>
      <c r="O83" s="21">
        <f t="shared" si="13"/>
        <v>1</v>
      </c>
      <c r="P83" s="634"/>
      <c r="Q83" s="21">
        <f t="shared" si="14"/>
        <v>1</v>
      </c>
      <c r="R83" s="21">
        <f t="shared" ca="1" si="15"/>
        <v>50519</v>
      </c>
      <c r="S83" s="308">
        <f t="shared" ca="1" si="17"/>
        <v>548</v>
      </c>
      <c r="T83" s="683" t="str">
        <f>明细表!G60</f>
        <v>公寓</v>
      </c>
      <c r="U83" s="683">
        <f>明细表!D60</f>
        <v>15</v>
      </c>
    </row>
    <row r="84" spans="1:21">
      <c r="A84" s="142" t="str">
        <f>明细表!B61</f>
        <v>2单元1712</v>
      </c>
      <c r="B84" s="52">
        <f>明细表!E61</f>
        <v>100.31</v>
      </c>
      <c r="C84" s="21">
        <f t="shared" si="7"/>
        <v>1</v>
      </c>
      <c r="D84" s="2570" t="s">
        <v>3580</v>
      </c>
      <c r="E84" s="21">
        <f t="shared" si="8"/>
        <v>1</v>
      </c>
      <c r="F84" s="634" t="s">
        <v>3603</v>
      </c>
      <c r="G84" s="21">
        <f t="shared" si="9"/>
        <v>1.04</v>
      </c>
      <c r="H84" s="634" t="s">
        <v>3596</v>
      </c>
      <c r="I84" s="21">
        <f t="shared" si="10"/>
        <v>1</v>
      </c>
      <c r="J84" s="634"/>
      <c r="K84" s="21">
        <f t="shared" si="11"/>
        <v>1</v>
      </c>
      <c r="L84" s="634"/>
      <c r="M84" s="21">
        <f t="shared" si="12"/>
        <v>1</v>
      </c>
      <c r="N84" s="634"/>
      <c r="O84" s="21">
        <f t="shared" si="13"/>
        <v>1</v>
      </c>
      <c r="P84" s="634"/>
      <c r="Q84" s="21">
        <f t="shared" si="14"/>
        <v>1</v>
      </c>
      <c r="R84" s="21">
        <f t="shared" ca="1" si="15"/>
        <v>50519</v>
      </c>
      <c r="S84" s="308">
        <f t="shared" ca="1" si="17"/>
        <v>507</v>
      </c>
      <c r="T84" s="683" t="str">
        <f>明细表!G61</f>
        <v>公寓</v>
      </c>
      <c r="U84" s="683">
        <f>明细表!D61</f>
        <v>15</v>
      </c>
    </row>
    <row r="85" spans="1:21">
      <c r="A85" s="142" t="str">
        <f>明细表!B62</f>
        <v>2单元1716</v>
      </c>
      <c r="B85" s="52">
        <f>明细表!E62</f>
        <v>108.47</v>
      </c>
      <c r="C85" s="21">
        <f t="shared" si="7"/>
        <v>1</v>
      </c>
      <c r="D85" s="2570" t="s">
        <v>3580</v>
      </c>
      <c r="E85" s="21">
        <f t="shared" si="8"/>
        <v>1</v>
      </c>
      <c r="F85" s="634" t="s">
        <v>3603</v>
      </c>
      <c r="G85" s="21">
        <f t="shared" si="9"/>
        <v>1.04</v>
      </c>
      <c r="H85" s="634" t="s">
        <v>3596</v>
      </c>
      <c r="I85" s="21">
        <f t="shared" si="10"/>
        <v>1</v>
      </c>
      <c r="J85" s="634"/>
      <c r="K85" s="21">
        <f t="shared" si="11"/>
        <v>1</v>
      </c>
      <c r="L85" s="634"/>
      <c r="M85" s="21">
        <f t="shared" si="12"/>
        <v>1</v>
      </c>
      <c r="N85" s="634"/>
      <c r="O85" s="21">
        <f t="shared" si="13"/>
        <v>1</v>
      </c>
      <c r="P85" s="634"/>
      <c r="Q85" s="21">
        <f t="shared" si="14"/>
        <v>1</v>
      </c>
      <c r="R85" s="21">
        <f t="shared" ca="1" si="15"/>
        <v>50519</v>
      </c>
      <c r="S85" s="308">
        <f t="shared" ca="1" si="17"/>
        <v>548</v>
      </c>
      <c r="T85" s="683" t="str">
        <f>明细表!G62</f>
        <v>公寓</v>
      </c>
      <c r="U85" s="683">
        <f>明细表!D62</f>
        <v>15</v>
      </c>
    </row>
    <row r="86" spans="1:21">
      <c r="A86" s="142" t="str">
        <f>明细表!B63</f>
        <v>2单元1717</v>
      </c>
      <c r="B86" s="52">
        <f>明细表!E63</f>
        <v>142.4</v>
      </c>
      <c r="C86" s="21">
        <f t="shared" si="7"/>
        <v>1</v>
      </c>
      <c r="D86" s="2570" t="s">
        <v>3580</v>
      </c>
      <c r="E86" s="21">
        <f t="shared" si="8"/>
        <v>1</v>
      </c>
      <c r="F86" s="634" t="s">
        <v>3603</v>
      </c>
      <c r="G86" s="21">
        <f t="shared" si="9"/>
        <v>1.04</v>
      </c>
      <c r="H86" s="634" t="s">
        <v>3596</v>
      </c>
      <c r="I86" s="21">
        <f t="shared" si="10"/>
        <v>1</v>
      </c>
      <c r="J86" s="634"/>
      <c r="K86" s="21">
        <f t="shared" si="11"/>
        <v>1</v>
      </c>
      <c r="L86" s="634"/>
      <c r="M86" s="21">
        <f t="shared" si="12"/>
        <v>1</v>
      </c>
      <c r="N86" s="634"/>
      <c r="O86" s="21">
        <f t="shared" si="13"/>
        <v>1</v>
      </c>
      <c r="P86" s="634"/>
      <c r="Q86" s="21">
        <f t="shared" si="14"/>
        <v>1</v>
      </c>
      <c r="R86" s="21">
        <f t="shared" ca="1" si="15"/>
        <v>50519</v>
      </c>
      <c r="S86" s="308">
        <f t="shared" ca="1" si="17"/>
        <v>719</v>
      </c>
      <c r="T86" s="683" t="str">
        <f>明细表!G63</f>
        <v>公寓</v>
      </c>
      <c r="U86" s="683">
        <f>明细表!D63</f>
        <v>15</v>
      </c>
    </row>
    <row r="87" spans="1:21">
      <c r="A87" s="142" t="str">
        <f>明细表!B64</f>
        <v>2单元1801</v>
      </c>
      <c r="B87" s="52">
        <f>明细表!E64</f>
        <v>208.9</v>
      </c>
      <c r="C87" s="21">
        <f t="shared" si="7"/>
        <v>1</v>
      </c>
      <c r="D87" s="2570" t="s">
        <v>3580</v>
      </c>
      <c r="E87" s="21">
        <f t="shared" si="8"/>
        <v>1</v>
      </c>
      <c r="F87" s="634" t="s">
        <v>3603</v>
      </c>
      <c r="G87" s="21">
        <f t="shared" si="9"/>
        <v>1.04</v>
      </c>
      <c r="H87" s="634" t="s">
        <v>3596</v>
      </c>
      <c r="I87" s="21">
        <f t="shared" si="10"/>
        <v>1</v>
      </c>
      <c r="J87" s="634"/>
      <c r="K87" s="21">
        <f t="shared" si="11"/>
        <v>1</v>
      </c>
      <c r="L87" s="634"/>
      <c r="M87" s="21">
        <f t="shared" si="12"/>
        <v>1</v>
      </c>
      <c r="N87" s="634"/>
      <c r="O87" s="21">
        <f t="shared" si="13"/>
        <v>1</v>
      </c>
      <c r="P87" s="634"/>
      <c r="Q87" s="21">
        <f t="shared" si="14"/>
        <v>1</v>
      </c>
      <c r="R87" s="21">
        <f t="shared" ca="1" si="15"/>
        <v>50519</v>
      </c>
      <c r="S87" s="308">
        <f t="shared" ca="1" si="17"/>
        <v>1055</v>
      </c>
      <c r="T87" s="683" t="str">
        <f>明细表!G64</f>
        <v>公寓</v>
      </c>
      <c r="U87" s="683">
        <f>明细表!D64</f>
        <v>16</v>
      </c>
    </row>
    <row r="88" spans="1:21">
      <c r="A88" s="142" t="str">
        <f>明细表!B65</f>
        <v>2单元1805</v>
      </c>
      <c r="B88" s="52">
        <f>明细表!E65</f>
        <v>218.12</v>
      </c>
      <c r="C88" s="21">
        <f t="shared" si="7"/>
        <v>1</v>
      </c>
      <c r="D88" s="2570" t="s">
        <v>3580</v>
      </c>
      <c r="E88" s="21">
        <f t="shared" si="8"/>
        <v>1</v>
      </c>
      <c r="F88" s="634" t="s">
        <v>3603</v>
      </c>
      <c r="G88" s="21">
        <f t="shared" si="9"/>
        <v>1.04</v>
      </c>
      <c r="H88" s="634" t="s">
        <v>3596</v>
      </c>
      <c r="I88" s="21">
        <f t="shared" si="10"/>
        <v>1</v>
      </c>
      <c r="J88" s="634"/>
      <c r="K88" s="21">
        <f t="shared" si="11"/>
        <v>1</v>
      </c>
      <c r="L88" s="634"/>
      <c r="M88" s="21">
        <f t="shared" si="12"/>
        <v>1</v>
      </c>
      <c r="N88" s="634"/>
      <c r="O88" s="21">
        <f t="shared" si="13"/>
        <v>1</v>
      </c>
      <c r="P88" s="634"/>
      <c r="Q88" s="21">
        <f t="shared" si="14"/>
        <v>1</v>
      </c>
      <c r="R88" s="21">
        <f t="shared" ca="1" si="15"/>
        <v>50519</v>
      </c>
      <c r="S88" s="308">
        <f t="shared" ca="1" si="17"/>
        <v>1102</v>
      </c>
      <c r="T88" s="683" t="str">
        <f>明细表!G65</f>
        <v>公寓</v>
      </c>
      <c r="U88" s="683">
        <f>明细表!D65</f>
        <v>16</v>
      </c>
    </row>
    <row r="89" spans="1:21">
      <c r="A89" s="142" t="str">
        <f>明细表!B66</f>
        <v>2单元1806</v>
      </c>
      <c r="B89" s="52">
        <f>明细表!E66</f>
        <v>208.9</v>
      </c>
      <c r="C89" s="21">
        <f t="shared" si="7"/>
        <v>1</v>
      </c>
      <c r="D89" s="2570" t="s">
        <v>3580</v>
      </c>
      <c r="E89" s="21">
        <f t="shared" si="8"/>
        <v>1</v>
      </c>
      <c r="F89" s="634" t="s">
        <v>3603</v>
      </c>
      <c r="G89" s="21">
        <f t="shared" si="9"/>
        <v>1.04</v>
      </c>
      <c r="H89" s="634" t="s">
        <v>3596</v>
      </c>
      <c r="I89" s="21">
        <f t="shared" si="10"/>
        <v>1</v>
      </c>
      <c r="J89" s="634"/>
      <c r="K89" s="21">
        <f t="shared" si="11"/>
        <v>1</v>
      </c>
      <c r="L89" s="634"/>
      <c r="M89" s="21">
        <f t="shared" si="12"/>
        <v>1</v>
      </c>
      <c r="N89" s="634"/>
      <c r="O89" s="21">
        <f t="shared" si="13"/>
        <v>1</v>
      </c>
      <c r="P89" s="634"/>
      <c r="Q89" s="21">
        <f t="shared" si="14"/>
        <v>1</v>
      </c>
      <c r="R89" s="21">
        <f t="shared" ca="1" si="15"/>
        <v>50519</v>
      </c>
      <c r="S89" s="308">
        <f t="shared" ca="1" si="17"/>
        <v>1055</v>
      </c>
      <c r="T89" s="683" t="str">
        <f>明细表!G66</f>
        <v>公寓</v>
      </c>
      <c r="U89" s="683">
        <f>明细表!D66</f>
        <v>16</v>
      </c>
    </row>
    <row r="90" spans="1:21">
      <c r="A90" s="142" t="str">
        <f>明细表!B67</f>
        <v>2单元1807</v>
      </c>
      <c r="B90" s="52">
        <f>明细表!E67</f>
        <v>250.89</v>
      </c>
      <c r="C90" s="21">
        <f t="shared" ref="C90:C153" si="18">IF(B90="",1,(LOOKUP(B90,$3:$3,$4:$4)-LOOKUP($B$24,$3:$3,$4:$4)+100)/100)</f>
        <v>1</v>
      </c>
      <c r="D90" s="2570" t="s">
        <v>3580</v>
      </c>
      <c r="E90" s="21">
        <f t="shared" ref="E90:E153" si="19">(SUMIF($5:$5,D90,$6:$6)-SUMIF($5:$5,$D$24,$6:$6)+100)/100</f>
        <v>1</v>
      </c>
      <c r="F90" s="634" t="s">
        <v>3603</v>
      </c>
      <c r="G90" s="21">
        <f t="shared" ref="G90:G153" si="20">(SUMIF($7:$7,F90,$8:$8)-SUMIF($7:$7,$F$24,$8:$8)+100)/100</f>
        <v>1.04</v>
      </c>
      <c r="H90" s="634" t="s">
        <v>3596</v>
      </c>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ca="1" si="26">IF(B90="",0,ROUND($R$24*C90*E90*G90*I90*K90*M90*O90*Q90,0))</f>
        <v>50519</v>
      </c>
      <c r="S90" s="308">
        <f t="shared" ca="1" si="17"/>
        <v>1267</v>
      </c>
      <c r="T90" s="683" t="str">
        <f>明细表!G67</f>
        <v>公寓</v>
      </c>
      <c r="U90" s="683">
        <f>明细表!D67</f>
        <v>16</v>
      </c>
    </row>
    <row r="91" spans="1:21">
      <c r="A91" s="142" t="str">
        <f>明细表!B68</f>
        <v>2单元1808</v>
      </c>
      <c r="B91" s="52">
        <f>明细表!E68</f>
        <v>108.47</v>
      </c>
      <c r="C91" s="21">
        <f t="shared" si="18"/>
        <v>1</v>
      </c>
      <c r="D91" s="2570" t="s">
        <v>3580</v>
      </c>
      <c r="E91" s="21">
        <f t="shared" si="19"/>
        <v>1</v>
      </c>
      <c r="F91" s="634" t="s">
        <v>3603</v>
      </c>
      <c r="G91" s="21">
        <f t="shared" si="20"/>
        <v>1.04</v>
      </c>
      <c r="H91" s="634" t="s">
        <v>3596</v>
      </c>
      <c r="I91" s="21">
        <f t="shared" si="21"/>
        <v>1</v>
      </c>
      <c r="J91" s="634"/>
      <c r="K91" s="21">
        <f t="shared" si="22"/>
        <v>1</v>
      </c>
      <c r="L91" s="634"/>
      <c r="M91" s="21">
        <f t="shared" si="23"/>
        <v>1</v>
      </c>
      <c r="N91" s="634"/>
      <c r="O91" s="21">
        <f t="shared" si="24"/>
        <v>1</v>
      </c>
      <c r="P91" s="634"/>
      <c r="Q91" s="21">
        <f t="shared" si="25"/>
        <v>1</v>
      </c>
      <c r="R91" s="21">
        <f t="shared" ca="1" si="26"/>
        <v>50519</v>
      </c>
      <c r="S91" s="308">
        <f t="shared" ca="1" si="17"/>
        <v>548</v>
      </c>
      <c r="T91" s="683" t="str">
        <f>明细表!G68</f>
        <v>公寓</v>
      </c>
      <c r="U91" s="683">
        <f>明细表!D68</f>
        <v>16</v>
      </c>
    </row>
    <row r="92" spans="1:21">
      <c r="A92" s="142" t="str">
        <f>明细表!B69</f>
        <v>2单元1810</v>
      </c>
      <c r="B92" s="52">
        <f>明细表!E69</f>
        <v>250.89</v>
      </c>
      <c r="C92" s="21">
        <f t="shared" si="18"/>
        <v>1</v>
      </c>
      <c r="D92" s="2570" t="s">
        <v>3580</v>
      </c>
      <c r="E92" s="21">
        <f t="shared" si="19"/>
        <v>1</v>
      </c>
      <c r="F92" s="634" t="s">
        <v>3603</v>
      </c>
      <c r="G92" s="21">
        <f t="shared" si="20"/>
        <v>1.04</v>
      </c>
      <c r="H92" s="634" t="s">
        <v>3596</v>
      </c>
      <c r="I92" s="21">
        <f t="shared" si="21"/>
        <v>1</v>
      </c>
      <c r="J92" s="634"/>
      <c r="K92" s="21">
        <f t="shared" si="22"/>
        <v>1</v>
      </c>
      <c r="L92" s="634"/>
      <c r="M92" s="21">
        <f t="shared" si="23"/>
        <v>1</v>
      </c>
      <c r="N92" s="634"/>
      <c r="O92" s="21">
        <f t="shared" si="24"/>
        <v>1</v>
      </c>
      <c r="P92" s="634"/>
      <c r="Q92" s="21">
        <f t="shared" si="25"/>
        <v>1</v>
      </c>
      <c r="R92" s="21">
        <f t="shared" ca="1" si="26"/>
        <v>50519</v>
      </c>
      <c r="S92" s="308">
        <f t="shared" ca="1" si="17"/>
        <v>1267</v>
      </c>
      <c r="T92" s="683" t="str">
        <f>明细表!G69</f>
        <v>公寓</v>
      </c>
      <c r="U92" s="683">
        <f>明细表!D69</f>
        <v>16</v>
      </c>
    </row>
    <row r="93" spans="1:21">
      <c r="A93" s="142" t="str">
        <f>明细表!B70</f>
        <v>6单元201</v>
      </c>
      <c r="B93" s="52">
        <f>明细表!E70</f>
        <v>125.44</v>
      </c>
      <c r="C93" s="21">
        <f t="shared" si="18"/>
        <v>1</v>
      </c>
      <c r="D93" s="2570" t="s">
        <v>3580</v>
      </c>
      <c r="E93" s="21">
        <f t="shared" si="19"/>
        <v>1</v>
      </c>
      <c r="F93" s="634" t="s">
        <v>3534</v>
      </c>
      <c r="G93" s="21">
        <f t="shared" si="20"/>
        <v>1</v>
      </c>
      <c r="H93" s="634" t="s">
        <v>21</v>
      </c>
      <c r="I93" s="21">
        <f t="shared" si="21"/>
        <v>1.06</v>
      </c>
      <c r="J93" s="634"/>
      <c r="K93" s="21">
        <f t="shared" si="22"/>
        <v>1</v>
      </c>
      <c r="L93" s="634"/>
      <c r="M93" s="21">
        <f t="shared" si="23"/>
        <v>1</v>
      </c>
      <c r="N93" s="634"/>
      <c r="O93" s="21">
        <f t="shared" si="24"/>
        <v>1</v>
      </c>
      <c r="P93" s="634"/>
      <c r="Q93" s="21">
        <f t="shared" si="25"/>
        <v>1</v>
      </c>
      <c r="R93" s="21">
        <f t="shared" ca="1" si="26"/>
        <v>51491</v>
      </c>
      <c r="S93" s="308">
        <f t="shared" ca="1" si="17"/>
        <v>646</v>
      </c>
      <c r="T93" s="683" t="str">
        <f>明细表!G70</f>
        <v>办公</v>
      </c>
      <c r="U93" s="683">
        <f>明细表!D70</f>
        <v>2</v>
      </c>
    </row>
    <row r="94" spans="1:21">
      <c r="A94" s="142" t="str">
        <f>明细表!B71</f>
        <v>6单元202</v>
      </c>
      <c r="B94" s="52">
        <f>明细表!E71</f>
        <v>211.49</v>
      </c>
      <c r="C94" s="21">
        <f t="shared" si="18"/>
        <v>1</v>
      </c>
      <c r="D94" s="2570" t="s">
        <v>3580</v>
      </c>
      <c r="E94" s="21">
        <f t="shared" si="19"/>
        <v>1</v>
      </c>
      <c r="F94" s="634" t="s">
        <v>3534</v>
      </c>
      <c r="G94" s="21">
        <f t="shared" si="20"/>
        <v>1</v>
      </c>
      <c r="H94" s="634" t="s">
        <v>21</v>
      </c>
      <c r="I94" s="21">
        <f t="shared" si="21"/>
        <v>1.06</v>
      </c>
      <c r="J94" s="634"/>
      <c r="K94" s="21">
        <f t="shared" si="22"/>
        <v>1</v>
      </c>
      <c r="L94" s="634"/>
      <c r="M94" s="21">
        <f t="shared" si="23"/>
        <v>1</v>
      </c>
      <c r="N94" s="634"/>
      <c r="O94" s="21">
        <f t="shared" si="24"/>
        <v>1</v>
      </c>
      <c r="P94" s="634"/>
      <c r="Q94" s="21">
        <f t="shared" si="25"/>
        <v>1</v>
      </c>
      <c r="R94" s="21">
        <f t="shared" ca="1" si="26"/>
        <v>51491</v>
      </c>
      <c r="S94" s="308">
        <f t="shared" ca="1" si="17"/>
        <v>1089</v>
      </c>
      <c r="T94" s="683" t="str">
        <f>明细表!G71</f>
        <v>办公</v>
      </c>
      <c r="U94" s="683">
        <f>明细表!D71</f>
        <v>2</v>
      </c>
    </row>
    <row r="95" spans="1:21">
      <c r="A95" s="142" t="str">
        <f>明细表!B72</f>
        <v>6单元203</v>
      </c>
      <c r="B95" s="52">
        <f>明细表!E72</f>
        <v>211.49</v>
      </c>
      <c r="C95" s="21">
        <f t="shared" si="18"/>
        <v>1</v>
      </c>
      <c r="D95" s="2570" t="s">
        <v>3580</v>
      </c>
      <c r="E95" s="21">
        <f t="shared" si="19"/>
        <v>1</v>
      </c>
      <c r="F95" s="634" t="s">
        <v>3534</v>
      </c>
      <c r="G95" s="21">
        <f t="shared" si="20"/>
        <v>1</v>
      </c>
      <c r="H95" s="634" t="s">
        <v>21</v>
      </c>
      <c r="I95" s="21">
        <f t="shared" si="21"/>
        <v>1.06</v>
      </c>
      <c r="J95" s="634"/>
      <c r="K95" s="21">
        <f t="shared" si="22"/>
        <v>1</v>
      </c>
      <c r="L95" s="634"/>
      <c r="M95" s="21">
        <f t="shared" si="23"/>
        <v>1</v>
      </c>
      <c r="N95" s="634"/>
      <c r="O95" s="21">
        <f t="shared" si="24"/>
        <v>1</v>
      </c>
      <c r="P95" s="634"/>
      <c r="Q95" s="21">
        <f t="shared" si="25"/>
        <v>1</v>
      </c>
      <c r="R95" s="21">
        <f t="shared" ca="1" si="26"/>
        <v>51491</v>
      </c>
      <c r="S95" s="308">
        <f t="shared" ca="1" si="17"/>
        <v>1089</v>
      </c>
      <c r="T95" s="683" t="str">
        <f>明细表!G72</f>
        <v>办公</v>
      </c>
      <c r="U95" s="683">
        <f>明细表!D72</f>
        <v>2</v>
      </c>
    </row>
    <row r="96" spans="1:21">
      <c r="A96" s="142" t="str">
        <f>明细表!B73</f>
        <v>6单元205</v>
      </c>
      <c r="B96" s="52">
        <f>明细表!E73</f>
        <v>125.44</v>
      </c>
      <c r="C96" s="21">
        <f t="shared" si="18"/>
        <v>1</v>
      </c>
      <c r="D96" s="2570" t="s">
        <v>3580</v>
      </c>
      <c r="E96" s="21">
        <f t="shared" si="19"/>
        <v>1</v>
      </c>
      <c r="F96" s="634" t="s">
        <v>3534</v>
      </c>
      <c r="G96" s="21">
        <f t="shared" si="20"/>
        <v>1</v>
      </c>
      <c r="H96" s="634" t="s">
        <v>21</v>
      </c>
      <c r="I96" s="21">
        <f t="shared" si="21"/>
        <v>1.06</v>
      </c>
      <c r="J96" s="634"/>
      <c r="K96" s="21">
        <f t="shared" si="22"/>
        <v>1</v>
      </c>
      <c r="L96" s="634"/>
      <c r="M96" s="21">
        <f t="shared" si="23"/>
        <v>1</v>
      </c>
      <c r="N96" s="634"/>
      <c r="O96" s="21">
        <f t="shared" si="24"/>
        <v>1</v>
      </c>
      <c r="P96" s="634"/>
      <c r="Q96" s="21">
        <f t="shared" si="25"/>
        <v>1</v>
      </c>
      <c r="R96" s="21">
        <f t="shared" ca="1" si="26"/>
        <v>51491</v>
      </c>
      <c r="S96" s="308">
        <f t="shared" ca="1" si="17"/>
        <v>646</v>
      </c>
      <c r="T96" s="683" t="str">
        <f>明细表!G73</f>
        <v>办公</v>
      </c>
      <c r="U96" s="683">
        <f>明细表!D73</f>
        <v>2</v>
      </c>
    </row>
    <row r="97" spans="1:21">
      <c r="A97" s="142" t="str">
        <f>明细表!B74</f>
        <v>6单元206</v>
      </c>
      <c r="B97" s="52">
        <f>明细表!E74</f>
        <v>125.44</v>
      </c>
      <c r="C97" s="21">
        <f t="shared" si="18"/>
        <v>1</v>
      </c>
      <c r="D97" s="2570" t="s">
        <v>3580</v>
      </c>
      <c r="E97" s="21">
        <f t="shared" si="19"/>
        <v>1</v>
      </c>
      <c r="F97" s="634" t="s">
        <v>3534</v>
      </c>
      <c r="G97" s="21">
        <f t="shared" si="20"/>
        <v>1</v>
      </c>
      <c r="H97" s="634" t="s">
        <v>21</v>
      </c>
      <c r="I97" s="21">
        <f t="shared" si="21"/>
        <v>1.06</v>
      </c>
      <c r="J97" s="634"/>
      <c r="K97" s="21">
        <f t="shared" si="22"/>
        <v>1</v>
      </c>
      <c r="L97" s="634"/>
      <c r="M97" s="21">
        <f t="shared" si="23"/>
        <v>1</v>
      </c>
      <c r="N97" s="634"/>
      <c r="O97" s="21">
        <f t="shared" si="24"/>
        <v>1</v>
      </c>
      <c r="P97" s="634"/>
      <c r="Q97" s="21">
        <f t="shared" si="25"/>
        <v>1</v>
      </c>
      <c r="R97" s="21">
        <f t="shared" ca="1" si="26"/>
        <v>51491</v>
      </c>
      <c r="S97" s="308">
        <f t="shared" ca="1" si="17"/>
        <v>646</v>
      </c>
      <c r="T97" s="683" t="str">
        <f>明细表!G74</f>
        <v>办公</v>
      </c>
      <c r="U97" s="683">
        <f>明细表!D74</f>
        <v>2</v>
      </c>
    </row>
    <row r="98" spans="1:21">
      <c r="A98" s="142" t="str">
        <f>明细表!B75</f>
        <v>6单元207</v>
      </c>
      <c r="B98" s="52">
        <f>明细表!E75</f>
        <v>164.06</v>
      </c>
      <c r="C98" s="21">
        <f t="shared" si="18"/>
        <v>1</v>
      </c>
      <c r="D98" s="2570" t="s">
        <v>3580</v>
      </c>
      <c r="E98" s="21">
        <f t="shared" si="19"/>
        <v>1</v>
      </c>
      <c r="F98" s="634" t="s">
        <v>3534</v>
      </c>
      <c r="G98" s="21">
        <f t="shared" si="20"/>
        <v>1</v>
      </c>
      <c r="H98" s="634" t="s">
        <v>21</v>
      </c>
      <c r="I98" s="21">
        <f t="shared" si="21"/>
        <v>1.06</v>
      </c>
      <c r="J98" s="634"/>
      <c r="K98" s="21">
        <f t="shared" si="22"/>
        <v>1</v>
      </c>
      <c r="L98" s="634"/>
      <c r="M98" s="21">
        <f t="shared" si="23"/>
        <v>1</v>
      </c>
      <c r="N98" s="634"/>
      <c r="O98" s="21">
        <f t="shared" si="24"/>
        <v>1</v>
      </c>
      <c r="P98" s="634"/>
      <c r="Q98" s="21">
        <f t="shared" si="25"/>
        <v>1</v>
      </c>
      <c r="R98" s="21">
        <f t="shared" ca="1" si="26"/>
        <v>51491</v>
      </c>
      <c r="S98" s="308">
        <f t="shared" ca="1" si="17"/>
        <v>845</v>
      </c>
      <c r="T98" s="683" t="str">
        <f>明细表!G75</f>
        <v>办公</v>
      </c>
      <c r="U98" s="683">
        <f>明细表!D75</f>
        <v>2</v>
      </c>
    </row>
    <row r="99" spans="1:21">
      <c r="A99" s="142" t="str">
        <f>明细表!B76</f>
        <v>6单元208</v>
      </c>
      <c r="B99" s="52">
        <f>明细表!E76</f>
        <v>169.88</v>
      </c>
      <c r="C99" s="21">
        <f t="shared" si="18"/>
        <v>1</v>
      </c>
      <c r="D99" s="2570" t="s">
        <v>3580</v>
      </c>
      <c r="E99" s="21">
        <f t="shared" si="19"/>
        <v>1</v>
      </c>
      <c r="F99" s="634" t="s">
        <v>3534</v>
      </c>
      <c r="G99" s="21">
        <f t="shared" si="20"/>
        <v>1</v>
      </c>
      <c r="H99" s="634" t="s">
        <v>21</v>
      </c>
      <c r="I99" s="21">
        <f t="shared" si="21"/>
        <v>1.06</v>
      </c>
      <c r="J99" s="634"/>
      <c r="K99" s="21">
        <f t="shared" si="22"/>
        <v>1</v>
      </c>
      <c r="L99" s="634"/>
      <c r="M99" s="21">
        <f t="shared" si="23"/>
        <v>1</v>
      </c>
      <c r="N99" s="634"/>
      <c r="O99" s="21">
        <f t="shared" si="24"/>
        <v>1</v>
      </c>
      <c r="P99" s="634"/>
      <c r="Q99" s="21">
        <f t="shared" si="25"/>
        <v>1</v>
      </c>
      <c r="R99" s="21">
        <f t="shared" ca="1" si="26"/>
        <v>51491</v>
      </c>
      <c r="S99" s="308">
        <f t="shared" ca="1" si="17"/>
        <v>875</v>
      </c>
      <c r="T99" s="683" t="str">
        <f>明细表!G76</f>
        <v>办公</v>
      </c>
      <c r="U99" s="683">
        <f>明细表!D76</f>
        <v>2</v>
      </c>
    </row>
    <row r="100" spans="1:21">
      <c r="A100" s="142" t="str">
        <f>明细表!B77</f>
        <v>6单元209</v>
      </c>
      <c r="B100" s="52">
        <f>明细表!E77</f>
        <v>125.44</v>
      </c>
      <c r="C100" s="21">
        <f t="shared" si="18"/>
        <v>1</v>
      </c>
      <c r="D100" s="2570" t="s">
        <v>3580</v>
      </c>
      <c r="E100" s="21">
        <f t="shared" si="19"/>
        <v>1</v>
      </c>
      <c r="F100" s="634" t="s">
        <v>3534</v>
      </c>
      <c r="G100" s="21">
        <f t="shared" si="20"/>
        <v>1</v>
      </c>
      <c r="H100" s="634" t="s">
        <v>21</v>
      </c>
      <c r="I100" s="21">
        <f t="shared" si="21"/>
        <v>1.06</v>
      </c>
      <c r="J100" s="634"/>
      <c r="K100" s="21">
        <f t="shared" si="22"/>
        <v>1</v>
      </c>
      <c r="L100" s="634"/>
      <c r="M100" s="21">
        <f t="shared" si="23"/>
        <v>1</v>
      </c>
      <c r="N100" s="634"/>
      <c r="O100" s="21">
        <f t="shared" si="24"/>
        <v>1</v>
      </c>
      <c r="P100" s="634"/>
      <c r="Q100" s="21">
        <f t="shared" si="25"/>
        <v>1</v>
      </c>
      <c r="R100" s="21">
        <f t="shared" ca="1" si="26"/>
        <v>51491</v>
      </c>
      <c r="S100" s="308">
        <f t="shared" ca="1" si="17"/>
        <v>646</v>
      </c>
      <c r="T100" s="683" t="str">
        <f>明细表!G77</f>
        <v>办公</v>
      </c>
      <c r="U100" s="683">
        <f>明细表!D77</f>
        <v>2</v>
      </c>
    </row>
    <row r="101" spans="1:21">
      <c r="A101" s="142" t="str">
        <f>明细表!B78</f>
        <v>6单元808</v>
      </c>
      <c r="B101" s="52">
        <f>明细表!E78</f>
        <v>234.74</v>
      </c>
      <c r="C101" s="21">
        <f t="shared" si="18"/>
        <v>1</v>
      </c>
      <c r="D101" s="2570" t="s">
        <v>3580</v>
      </c>
      <c r="E101" s="21">
        <f t="shared" si="19"/>
        <v>1</v>
      </c>
      <c r="F101" s="634" t="s">
        <v>3589</v>
      </c>
      <c r="G101" s="21">
        <f t="shared" si="20"/>
        <v>1.02</v>
      </c>
      <c r="H101" s="634" t="s">
        <v>21</v>
      </c>
      <c r="I101" s="21">
        <f t="shared" si="21"/>
        <v>1.06</v>
      </c>
      <c r="J101" s="634"/>
      <c r="K101" s="21">
        <f t="shared" si="22"/>
        <v>1</v>
      </c>
      <c r="L101" s="634"/>
      <c r="M101" s="21">
        <f t="shared" si="23"/>
        <v>1</v>
      </c>
      <c r="N101" s="634"/>
      <c r="O101" s="21">
        <f t="shared" si="24"/>
        <v>1</v>
      </c>
      <c r="P101" s="634"/>
      <c r="Q101" s="21">
        <f t="shared" si="25"/>
        <v>1</v>
      </c>
      <c r="R101" s="21">
        <f t="shared" ca="1" si="26"/>
        <v>52520</v>
      </c>
      <c r="S101" s="308">
        <f t="shared" ca="1" si="17"/>
        <v>1233</v>
      </c>
      <c r="T101" s="683" t="str">
        <f>明细表!G78</f>
        <v>办公</v>
      </c>
      <c r="U101" s="683">
        <f>明细表!D78</f>
        <v>7</v>
      </c>
    </row>
    <row r="102" spans="1:21">
      <c r="A102" s="142" t="str">
        <f>明细表!B79</f>
        <v>6单元1101</v>
      </c>
      <c r="B102" s="52">
        <f>明细表!E79</f>
        <v>125.44</v>
      </c>
      <c r="C102" s="21">
        <f t="shared" si="18"/>
        <v>1</v>
      </c>
      <c r="D102" s="2570" t="s">
        <v>3580</v>
      </c>
      <c r="E102" s="21">
        <f t="shared" si="19"/>
        <v>1</v>
      </c>
      <c r="F102" s="634" t="s">
        <v>3589</v>
      </c>
      <c r="G102" s="21">
        <f t="shared" si="20"/>
        <v>1.02</v>
      </c>
      <c r="H102" s="634" t="s">
        <v>21</v>
      </c>
      <c r="I102" s="21">
        <f t="shared" si="21"/>
        <v>1.06</v>
      </c>
      <c r="J102" s="634"/>
      <c r="K102" s="21">
        <f t="shared" si="22"/>
        <v>1</v>
      </c>
      <c r="L102" s="634"/>
      <c r="M102" s="21">
        <f t="shared" si="23"/>
        <v>1</v>
      </c>
      <c r="N102" s="634"/>
      <c r="O102" s="21">
        <f t="shared" si="24"/>
        <v>1</v>
      </c>
      <c r="P102" s="634"/>
      <c r="Q102" s="21">
        <f t="shared" si="25"/>
        <v>1</v>
      </c>
      <c r="R102" s="21">
        <f t="shared" ca="1" si="26"/>
        <v>52520</v>
      </c>
      <c r="S102" s="308">
        <f t="shared" ca="1" si="17"/>
        <v>659</v>
      </c>
      <c r="T102" s="683" t="str">
        <f>明细表!G79</f>
        <v>办公</v>
      </c>
      <c r="U102" s="683">
        <f>明细表!D79</f>
        <v>10</v>
      </c>
    </row>
    <row r="103" spans="1:21">
      <c r="A103" s="142" t="str">
        <f>明细表!B80</f>
        <v>6单元1102</v>
      </c>
      <c r="B103" s="52">
        <f>明细表!E80</f>
        <v>211.49</v>
      </c>
      <c r="C103" s="21">
        <f t="shared" si="18"/>
        <v>1</v>
      </c>
      <c r="D103" s="2570" t="s">
        <v>3580</v>
      </c>
      <c r="E103" s="21">
        <f t="shared" si="19"/>
        <v>1</v>
      </c>
      <c r="F103" s="634" t="s">
        <v>3589</v>
      </c>
      <c r="G103" s="21">
        <f t="shared" si="20"/>
        <v>1.02</v>
      </c>
      <c r="H103" s="634" t="s">
        <v>21</v>
      </c>
      <c r="I103" s="21">
        <f t="shared" si="21"/>
        <v>1.06</v>
      </c>
      <c r="J103" s="634"/>
      <c r="K103" s="21">
        <f t="shared" si="22"/>
        <v>1</v>
      </c>
      <c r="L103" s="634"/>
      <c r="M103" s="21">
        <f t="shared" si="23"/>
        <v>1</v>
      </c>
      <c r="N103" s="634"/>
      <c r="O103" s="21">
        <f t="shared" si="24"/>
        <v>1</v>
      </c>
      <c r="P103" s="634"/>
      <c r="Q103" s="21">
        <f t="shared" si="25"/>
        <v>1</v>
      </c>
      <c r="R103" s="21">
        <f t="shared" ca="1" si="26"/>
        <v>52520</v>
      </c>
      <c r="S103" s="308">
        <f t="shared" ca="1" si="17"/>
        <v>1111</v>
      </c>
      <c r="T103" s="683" t="str">
        <f>明细表!G80</f>
        <v>办公</v>
      </c>
      <c r="U103" s="683">
        <f>明细表!D80</f>
        <v>10</v>
      </c>
    </row>
    <row r="104" spans="1:21">
      <c r="A104" s="142" t="str">
        <f>明细表!B81</f>
        <v>6单元1103</v>
      </c>
      <c r="B104" s="52">
        <f>明细表!E81</f>
        <v>211.49</v>
      </c>
      <c r="C104" s="21">
        <f t="shared" si="18"/>
        <v>1</v>
      </c>
      <c r="D104" s="634" t="s">
        <v>3598</v>
      </c>
      <c r="E104" s="21">
        <f t="shared" si="19"/>
        <v>0.98</v>
      </c>
      <c r="F104" s="634" t="s">
        <v>3589</v>
      </c>
      <c r="G104" s="21">
        <f t="shared" si="20"/>
        <v>1.02</v>
      </c>
      <c r="H104" s="634" t="s">
        <v>21</v>
      </c>
      <c r="I104" s="21">
        <f t="shared" si="21"/>
        <v>1.06</v>
      </c>
      <c r="J104" s="634"/>
      <c r="K104" s="21">
        <f t="shared" si="22"/>
        <v>1</v>
      </c>
      <c r="L104" s="634"/>
      <c r="M104" s="21">
        <f t="shared" si="23"/>
        <v>1</v>
      </c>
      <c r="N104" s="634"/>
      <c r="O104" s="21">
        <f t="shared" si="24"/>
        <v>1</v>
      </c>
      <c r="P104" s="634"/>
      <c r="Q104" s="21">
        <f t="shared" si="25"/>
        <v>1</v>
      </c>
      <c r="R104" s="21">
        <f t="shared" ca="1" si="26"/>
        <v>51470</v>
      </c>
      <c r="S104" s="308">
        <f t="shared" ca="1" si="17"/>
        <v>1089</v>
      </c>
      <c r="T104" s="683" t="str">
        <f>明细表!G81</f>
        <v>办公</v>
      </c>
      <c r="U104" s="683">
        <f>明细表!D81</f>
        <v>10</v>
      </c>
    </row>
    <row r="105" spans="1:21">
      <c r="A105" s="142" t="str">
        <f>明细表!B82</f>
        <v>6单元1105</v>
      </c>
      <c r="B105" s="52">
        <f>明细表!E82</f>
        <v>125.44</v>
      </c>
      <c r="C105" s="21">
        <f t="shared" si="18"/>
        <v>1</v>
      </c>
      <c r="D105" s="634" t="s">
        <v>3598</v>
      </c>
      <c r="E105" s="21">
        <f t="shared" si="19"/>
        <v>0.98</v>
      </c>
      <c r="F105" s="634" t="s">
        <v>3589</v>
      </c>
      <c r="G105" s="21">
        <f t="shared" si="20"/>
        <v>1.02</v>
      </c>
      <c r="H105" s="634" t="s">
        <v>21</v>
      </c>
      <c r="I105" s="21">
        <f t="shared" si="21"/>
        <v>1.06</v>
      </c>
      <c r="J105" s="634"/>
      <c r="K105" s="21">
        <f t="shared" si="22"/>
        <v>1</v>
      </c>
      <c r="L105" s="634"/>
      <c r="M105" s="21">
        <f t="shared" si="23"/>
        <v>1</v>
      </c>
      <c r="N105" s="634"/>
      <c r="O105" s="21">
        <f t="shared" si="24"/>
        <v>1</v>
      </c>
      <c r="P105" s="634"/>
      <c r="Q105" s="21">
        <f t="shared" si="25"/>
        <v>1</v>
      </c>
      <c r="R105" s="21">
        <f t="shared" ca="1" si="26"/>
        <v>51470</v>
      </c>
      <c r="S105" s="308">
        <f t="shared" ca="1" si="17"/>
        <v>646</v>
      </c>
      <c r="T105" s="683" t="str">
        <f>明细表!G82</f>
        <v>办公</v>
      </c>
      <c r="U105" s="683">
        <f>明细表!D82</f>
        <v>10</v>
      </c>
    </row>
    <row r="106" spans="1:21">
      <c r="A106" s="142" t="str">
        <f>明细表!B83</f>
        <v>6单元1106</v>
      </c>
      <c r="B106" s="52">
        <f>明细表!E83</f>
        <v>125.44</v>
      </c>
      <c r="C106" s="21">
        <f t="shared" si="18"/>
        <v>1</v>
      </c>
      <c r="D106" s="634" t="s">
        <v>3598</v>
      </c>
      <c r="E106" s="21">
        <f t="shared" si="19"/>
        <v>0.98</v>
      </c>
      <c r="F106" s="634" t="s">
        <v>3589</v>
      </c>
      <c r="G106" s="21">
        <f t="shared" si="20"/>
        <v>1.02</v>
      </c>
      <c r="H106" s="634" t="s">
        <v>21</v>
      </c>
      <c r="I106" s="21">
        <f t="shared" si="21"/>
        <v>1.06</v>
      </c>
      <c r="J106" s="634"/>
      <c r="K106" s="21">
        <f t="shared" si="22"/>
        <v>1</v>
      </c>
      <c r="L106" s="634"/>
      <c r="M106" s="21">
        <f t="shared" si="23"/>
        <v>1</v>
      </c>
      <c r="N106" s="634"/>
      <c r="O106" s="21">
        <f t="shared" si="24"/>
        <v>1</v>
      </c>
      <c r="P106" s="634"/>
      <c r="Q106" s="21">
        <f t="shared" si="25"/>
        <v>1</v>
      </c>
      <c r="R106" s="21">
        <f t="shared" ca="1" si="26"/>
        <v>51470</v>
      </c>
      <c r="S106" s="308">
        <f t="shared" ca="1" si="17"/>
        <v>646</v>
      </c>
      <c r="T106" s="683" t="str">
        <f>明细表!G83</f>
        <v>办公</v>
      </c>
      <c r="U106" s="683">
        <f>明细表!D83</f>
        <v>10</v>
      </c>
    </row>
    <row r="107" spans="1:21">
      <c r="A107" s="142" t="str">
        <f>明细表!B84</f>
        <v>6单元1107</v>
      </c>
      <c r="B107" s="52">
        <f>明细表!E84</f>
        <v>234.73</v>
      </c>
      <c r="C107" s="21">
        <f t="shared" si="18"/>
        <v>1</v>
      </c>
      <c r="D107" s="634" t="s">
        <v>3598</v>
      </c>
      <c r="E107" s="21">
        <f t="shared" si="19"/>
        <v>0.98</v>
      </c>
      <c r="F107" s="634" t="s">
        <v>3589</v>
      </c>
      <c r="G107" s="21">
        <f t="shared" si="20"/>
        <v>1.02</v>
      </c>
      <c r="H107" s="634" t="s">
        <v>21</v>
      </c>
      <c r="I107" s="21">
        <f t="shared" si="21"/>
        <v>1.06</v>
      </c>
      <c r="J107" s="634"/>
      <c r="K107" s="21">
        <f t="shared" si="22"/>
        <v>1</v>
      </c>
      <c r="L107" s="634"/>
      <c r="M107" s="21">
        <f t="shared" si="23"/>
        <v>1</v>
      </c>
      <c r="N107" s="634"/>
      <c r="O107" s="21">
        <f t="shared" si="24"/>
        <v>1</v>
      </c>
      <c r="P107" s="634"/>
      <c r="Q107" s="21">
        <f t="shared" si="25"/>
        <v>1</v>
      </c>
      <c r="R107" s="21">
        <f t="shared" ca="1" si="26"/>
        <v>51470</v>
      </c>
      <c r="S107" s="308">
        <f t="shared" ca="1" si="17"/>
        <v>1208</v>
      </c>
      <c r="T107" s="683" t="str">
        <f>明细表!G84</f>
        <v>办公</v>
      </c>
      <c r="U107" s="683">
        <f>明细表!D84</f>
        <v>10</v>
      </c>
    </row>
    <row r="108" spans="1:21">
      <c r="A108" s="142" t="str">
        <f>明细表!B85</f>
        <v>6单元1108</v>
      </c>
      <c r="B108" s="52">
        <f>明细表!E85</f>
        <v>234.74</v>
      </c>
      <c r="C108" s="21">
        <f t="shared" si="18"/>
        <v>1</v>
      </c>
      <c r="D108" s="634" t="s">
        <v>3598</v>
      </c>
      <c r="E108" s="21">
        <f t="shared" si="19"/>
        <v>0.98</v>
      </c>
      <c r="F108" s="634" t="s">
        <v>3589</v>
      </c>
      <c r="G108" s="21">
        <f t="shared" si="20"/>
        <v>1.02</v>
      </c>
      <c r="H108" s="634" t="s">
        <v>21</v>
      </c>
      <c r="I108" s="21">
        <f t="shared" si="21"/>
        <v>1.06</v>
      </c>
      <c r="J108" s="634"/>
      <c r="K108" s="21">
        <f t="shared" si="22"/>
        <v>1</v>
      </c>
      <c r="L108" s="634"/>
      <c r="M108" s="21">
        <f t="shared" si="23"/>
        <v>1</v>
      </c>
      <c r="N108" s="634"/>
      <c r="O108" s="21">
        <f t="shared" si="24"/>
        <v>1</v>
      </c>
      <c r="P108" s="634"/>
      <c r="Q108" s="21">
        <f t="shared" si="25"/>
        <v>1</v>
      </c>
      <c r="R108" s="21">
        <f t="shared" ca="1" si="26"/>
        <v>51470</v>
      </c>
      <c r="S108" s="308">
        <f t="shared" ca="1" si="17"/>
        <v>1208</v>
      </c>
      <c r="T108" s="683" t="str">
        <f>明细表!G85</f>
        <v>办公</v>
      </c>
      <c r="U108" s="683">
        <f>明细表!D85</f>
        <v>10</v>
      </c>
    </row>
    <row r="109" spans="1:21">
      <c r="A109" s="142" t="str">
        <f>明细表!B86</f>
        <v>6单元1109</v>
      </c>
      <c r="B109" s="52">
        <f>明细表!E86</f>
        <v>125.44</v>
      </c>
      <c r="C109" s="21">
        <f t="shared" si="18"/>
        <v>1</v>
      </c>
      <c r="D109" s="2570" t="s">
        <v>3580</v>
      </c>
      <c r="E109" s="21">
        <f t="shared" si="19"/>
        <v>1</v>
      </c>
      <c r="F109" s="634" t="s">
        <v>3589</v>
      </c>
      <c r="G109" s="21">
        <f t="shared" si="20"/>
        <v>1.02</v>
      </c>
      <c r="H109" s="634" t="s">
        <v>21</v>
      </c>
      <c r="I109" s="21">
        <f t="shared" si="21"/>
        <v>1.06</v>
      </c>
      <c r="J109" s="634"/>
      <c r="K109" s="21">
        <f t="shared" si="22"/>
        <v>1</v>
      </c>
      <c r="L109" s="634"/>
      <c r="M109" s="21">
        <f t="shared" si="23"/>
        <v>1</v>
      </c>
      <c r="N109" s="634"/>
      <c r="O109" s="21">
        <f t="shared" si="24"/>
        <v>1</v>
      </c>
      <c r="P109" s="634"/>
      <c r="Q109" s="21">
        <f t="shared" si="25"/>
        <v>1</v>
      </c>
      <c r="R109" s="21">
        <f t="shared" ca="1" si="26"/>
        <v>52520</v>
      </c>
      <c r="S109" s="308">
        <f t="shared" ca="1" si="17"/>
        <v>659</v>
      </c>
      <c r="T109" s="683" t="str">
        <f>明细表!G86</f>
        <v>办公</v>
      </c>
      <c r="U109" s="683">
        <f>明细表!D86</f>
        <v>10</v>
      </c>
    </row>
    <row r="110" spans="1:21">
      <c r="A110" s="142" t="str">
        <f>明细表!B87</f>
        <v>6单元1201</v>
      </c>
      <c r="B110" s="52">
        <f>明细表!E87</f>
        <v>125.44</v>
      </c>
      <c r="C110" s="21">
        <f t="shared" si="18"/>
        <v>1</v>
      </c>
      <c r="D110" s="2570" t="s">
        <v>3580</v>
      </c>
      <c r="E110" s="21">
        <f t="shared" si="19"/>
        <v>1</v>
      </c>
      <c r="F110" s="634" t="s">
        <v>3589</v>
      </c>
      <c r="G110" s="21">
        <f t="shared" si="20"/>
        <v>1.02</v>
      </c>
      <c r="H110" s="634" t="s">
        <v>21</v>
      </c>
      <c r="I110" s="21">
        <f t="shared" si="21"/>
        <v>1.06</v>
      </c>
      <c r="J110" s="634"/>
      <c r="K110" s="21">
        <f t="shared" si="22"/>
        <v>1</v>
      </c>
      <c r="L110" s="634"/>
      <c r="M110" s="21">
        <f t="shared" si="23"/>
        <v>1</v>
      </c>
      <c r="N110" s="634"/>
      <c r="O110" s="21">
        <f t="shared" si="24"/>
        <v>1</v>
      </c>
      <c r="P110" s="634"/>
      <c r="Q110" s="21">
        <f t="shared" si="25"/>
        <v>1</v>
      </c>
      <c r="R110" s="21">
        <f t="shared" ca="1" si="26"/>
        <v>52520</v>
      </c>
      <c r="S110" s="308">
        <f t="shared" ca="1" si="17"/>
        <v>659</v>
      </c>
      <c r="T110" s="683" t="str">
        <f>明细表!G87</f>
        <v>办公</v>
      </c>
      <c r="U110" s="683">
        <f>明细表!D87</f>
        <v>11</v>
      </c>
    </row>
    <row r="111" spans="1:21">
      <c r="A111" s="142" t="str">
        <f>明细表!B88</f>
        <v>6单元1202</v>
      </c>
      <c r="B111" s="52">
        <f>明细表!E88</f>
        <v>211.49</v>
      </c>
      <c r="C111" s="21">
        <f t="shared" si="18"/>
        <v>1</v>
      </c>
      <c r="D111" s="2570" t="s">
        <v>3580</v>
      </c>
      <c r="E111" s="21">
        <f t="shared" si="19"/>
        <v>1</v>
      </c>
      <c r="F111" s="634" t="s">
        <v>3589</v>
      </c>
      <c r="G111" s="21">
        <f t="shared" si="20"/>
        <v>1.02</v>
      </c>
      <c r="H111" s="634" t="s">
        <v>21</v>
      </c>
      <c r="I111" s="21">
        <f t="shared" si="21"/>
        <v>1.06</v>
      </c>
      <c r="J111" s="634"/>
      <c r="K111" s="21">
        <f t="shared" si="22"/>
        <v>1</v>
      </c>
      <c r="L111" s="634"/>
      <c r="M111" s="21">
        <f t="shared" si="23"/>
        <v>1</v>
      </c>
      <c r="N111" s="634"/>
      <c r="O111" s="21">
        <f t="shared" si="24"/>
        <v>1</v>
      </c>
      <c r="P111" s="634"/>
      <c r="Q111" s="21">
        <f t="shared" si="25"/>
        <v>1</v>
      </c>
      <c r="R111" s="21">
        <f t="shared" ca="1" si="26"/>
        <v>52520</v>
      </c>
      <c r="S111" s="308">
        <f t="shared" ca="1" si="17"/>
        <v>1111</v>
      </c>
      <c r="T111" s="683" t="str">
        <f>明细表!G88</f>
        <v>办公</v>
      </c>
      <c r="U111" s="683">
        <f>明细表!D88</f>
        <v>11</v>
      </c>
    </row>
    <row r="112" spans="1:21">
      <c r="A112" s="142" t="str">
        <f>明细表!B89</f>
        <v>6单元1203</v>
      </c>
      <c r="B112" s="52">
        <f>明细表!E89</f>
        <v>211.49</v>
      </c>
      <c r="C112" s="21">
        <f t="shared" si="18"/>
        <v>1</v>
      </c>
      <c r="D112" s="2570" t="s">
        <v>3580</v>
      </c>
      <c r="E112" s="21">
        <f t="shared" si="19"/>
        <v>1</v>
      </c>
      <c r="F112" s="634" t="s">
        <v>3589</v>
      </c>
      <c r="G112" s="21">
        <f t="shared" si="20"/>
        <v>1.02</v>
      </c>
      <c r="H112" s="634" t="s">
        <v>21</v>
      </c>
      <c r="I112" s="21">
        <f t="shared" si="21"/>
        <v>1.06</v>
      </c>
      <c r="J112" s="634"/>
      <c r="K112" s="21">
        <f t="shared" si="22"/>
        <v>1</v>
      </c>
      <c r="L112" s="634"/>
      <c r="M112" s="21">
        <f t="shared" si="23"/>
        <v>1</v>
      </c>
      <c r="N112" s="634"/>
      <c r="O112" s="21">
        <f t="shared" si="24"/>
        <v>1</v>
      </c>
      <c r="P112" s="634"/>
      <c r="Q112" s="21">
        <f t="shared" si="25"/>
        <v>1</v>
      </c>
      <c r="R112" s="21">
        <f t="shared" ca="1" si="26"/>
        <v>52520</v>
      </c>
      <c r="S112" s="308">
        <f t="shared" ca="1" si="17"/>
        <v>1111</v>
      </c>
      <c r="T112" s="683" t="str">
        <f>明细表!G89</f>
        <v>办公</v>
      </c>
      <c r="U112" s="683">
        <f>明细表!D89</f>
        <v>11</v>
      </c>
    </row>
    <row r="113" spans="1:21">
      <c r="A113" s="142" t="str">
        <f>明细表!B90</f>
        <v>6单元1205</v>
      </c>
      <c r="B113" s="52">
        <f>明细表!E90</f>
        <v>125.44</v>
      </c>
      <c r="C113" s="21">
        <f t="shared" si="18"/>
        <v>1</v>
      </c>
      <c r="D113" s="2570" t="s">
        <v>3580</v>
      </c>
      <c r="E113" s="21">
        <f t="shared" si="19"/>
        <v>1</v>
      </c>
      <c r="F113" s="634" t="s">
        <v>3589</v>
      </c>
      <c r="G113" s="21">
        <f t="shared" si="20"/>
        <v>1.02</v>
      </c>
      <c r="H113" s="634" t="s">
        <v>21</v>
      </c>
      <c r="I113" s="21">
        <f t="shared" si="21"/>
        <v>1.06</v>
      </c>
      <c r="J113" s="634"/>
      <c r="K113" s="21">
        <f t="shared" si="22"/>
        <v>1</v>
      </c>
      <c r="L113" s="634"/>
      <c r="M113" s="21">
        <f t="shared" si="23"/>
        <v>1</v>
      </c>
      <c r="N113" s="634"/>
      <c r="O113" s="21">
        <f t="shared" si="24"/>
        <v>1</v>
      </c>
      <c r="P113" s="634"/>
      <c r="Q113" s="21">
        <f t="shared" si="25"/>
        <v>1</v>
      </c>
      <c r="R113" s="21">
        <f t="shared" ca="1" si="26"/>
        <v>52520</v>
      </c>
      <c r="S113" s="308">
        <f t="shared" ca="1" si="17"/>
        <v>659</v>
      </c>
      <c r="T113" s="683" t="str">
        <f>明细表!G90</f>
        <v>办公</v>
      </c>
      <c r="U113" s="683">
        <f>明细表!D90</f>
        <v>11</v>
      </c>
    </row>
    <row r="114" spans="1:21">
      <c r="A114" s="142" t="str">
        <f>明细表!B91</f>
        <v>6单元1206</v>
      </c>
      <c r="B114" s="52">
        <f>明细表!E91</f>
        <v>125.44</v>
      </c>
      <c r="C114" s="21">
        <f t="shared" si="18"/>
        <v>1</v>
      </c>
      <c r="D114" s="2570" t="s">
        <v>3580</v>
      </c>
      <c r="E114" s="21">
        <f t="shared" si="19"/>
        <v>1</v>
      </c>
      <c r="F114" s="634" t="s">
        <v>3589</v>
      </c>
      <c r="G114" s="21">
        <f t="shared" si="20"/>
        <v>1.02</v>
      </c>
      <c r="H114" s="634" t="s">
        <v>21</v>
      </c>
      <c r="I114" s="21">
        <f t="shared" si="21"/>
        <v>1.06</v>
      </c>
      <c r="J114" s="634"/>
      <c r="K114" s="21">
        <f t="shared" si="22"/>
        <v>1</v>
      </c>
      <c r="L114" s="634"/>
      <c r="M114" s="21">
        <f t="shared" si="23"/>
        <v>1</v>
      </c>
      <c r="N114" s="634"/>
      <c r="O114" s="21">
        <f t="shared" si="24"/>
        <v>1</v>
      </c>
      <c r="P114" s="634"/>
      <c r="Q114" s="21">
        <f t="shared" si="25"/>
        <v>1</v>
      </c>
      <c r="R114" s="21">
        <f t="shared" ca="1" si="26"/>
        <v>52520</v>
      </c>
      <c r="S114" s="308">
        <f t="shared" ca="1" si="17"/>
        <v>659</v>
      </c>
      <c r="T114" s="683" t="str">
        <f>明细表!G91</f>
        <v>办公</v>
      </c>
      <c r="U114" s="683">
        <f>明细表!D91</f>
        <v>11</v>
      </c>
    </row>
    <row r="115" spans="1:21">
      <c r="A115" s="142" t="str">
        <f>明细表!B92</f>
        <v>6单元1207</v>
      </c>
      <c r="B115" s="52">
        <f>明细表!E92</f>
        <v>234.73</v>
      </c>
      <c r="C115" s="21">
        <f t="shared" si="18"/>
        <v>1</v>
      </c>
      <c r="D115" s="2570" t="s">
        <v>3580</v>
      </c>
      <c r="E115" s="21">
        <f t="shared" si="19"/>
        <v>1</v>
      </c>
      <c r="F115" s="634" t="s">
        <v>3589</v>
      </c>
      <c r="G115" s="21">
        <f t="shared" si="20"/>
        <v>1.02</v>
      </c>
      <c r="H115" s="634" t="s">
        <v>21</v>
      </c>
      <c r="I115" s="21">
        <f t="shared" si="21"/>
        <v>1.06</v>
      </c>
      <c r="J115" s="634"/>
      <c r="K115" s="21">
        <f t="shared" si="22"/>
        <v>1</v>
      </c>
      <c r="L115" s="634"/>
      <c r="M115" s="21">
        <f t="shared" si="23"/>
        <v>1</v>
      </c>
      <c r="N115" s="634"/>
      <c r="O115" s="21">
        <f t="shared" si="24"/>
        <v>1</v>
      </c>
      <c r="P115" s="634"/>
      <c r="Q115" s="21">
        <f t="shared" si="25"/>
        <v>1</v>
      </c>
      <c r="R115" s="21">
        <f t="shared" ca="1" si="26"/>
        <v>52520</v>
      </c>
      <c r="S115" s="308">
        <f t="shared" ca="1" si="17"/>
        <v>1233</v>
      </c>
      <c r="T115" s="683" t="str">
        <f>明细表!G92</f>
        <v>办公</v>
      </c>
      <c r="U115" s="683">
        <f>明细表!D92</f>
        <v>11</v>
      </c>
    </row>
    <row r="116" spans="1:21">
      <c r="A116" s="142" t="str">
        <f>明细表!B93</f>
        <v>6单元1208</v>
      </c>
      <c r="B116" s="52">
        <f>明细表!E93</f>
        <v>234.74</v>
      </c>
      <c r="C116" s="21">
        <f t="shared" si="18"/>
        <v>1</v>
      </c>
      <c r="D116" s="2570" t="s">
        <v>3580</v>
      </c>
      <c r="E116" s="21">
        <f t="shared" si="19"/>
        <v>1</v>
      </c>
      <c r="F116" s="634" t="s">
        <v>3589</v>
      </c>
      <c r="G116" s="21">
        <f t="shared" si="20"/>
        <v>1.02</v>
      </c>
      <c r="H116" s="634" t="s">
        <v>21</v>
      </c>
      <c r="I116" s="21">
        <f t="shared" si="21"/>
        <v>1.06</v>
      </c>
      <c r="J116" s="634"/>
      <c r="K116" s="21">
        <f t="shared" si="22"/>
        <v>1</v>
      </c>
      <c r="L116" s="634"/>
      <c r="M116" s="21">
        <f t="shared" si="23"/>
        <v>1</v>
      </c>
      <c r="N116" s="634"/>
      <c r="O116" s="21">
        <f t="shared" si="24"/>
        <v>1</v>
      </c>
      <c r="P116" s="634"/>
      <c r="Q116" s="21">
        <f t="shared" si="25"/>
        <v>1</v>
      </c>
      <c r="R116" s="21">
        <f t="shared" ca="1" si="26"/>
        <v>52520</v>
      </c>
      <c r="S116" s="308">
        <f t="shared" ca="1" si="17"/>
        <v>1233</v>
      </c>
      <c r="T116" s="683" t="str">
        <f>明细表!G93</f>
        <v>办公</v>
      </c>
      <c r="U116" s="683">
        <f>明细表!D93</f>
        <v>11</v>
      </c>
    </row>
    <row r="117" spans="1:21">
      <c r="A117" s="142" t="str">
        <f>明细表!B94</f>
        <v>6单元1209</v>
      </c>
      <c r="B117" s="52">
        <f>明细表!E94</f>
        <v>125.44</v>
      </c>
      <c r="C117" s="21">
        <f t="shared" si="18"/>
        <v>1</v>
      </c>
      <c r="D117" s="2570" t="s">
        <v>3580</v>
      </c>
      <c r="E117" s="21">
        <f t="shared" si="19"/>
        <v>1</v>
      </c>
      <c r="F117" s="634" t="s">
        <v>3589</v>
      </c>
      <c r="G117" s="21">
        <f t="shared" si="20"/>
        <v>1.02</v>
      </c>
      <c r="H117" s="634" t="s">
        <v>21</v>
      </c>
      <c r="I117" s="21">
        <f t="shared" si="21"/>
        <v>1.06</v>
      </c>
      <c r="J117" s="634"/>
      <c r="K117" s="21">
        <f t="shared" si="22"/>
        <v>1</v>
      </c>
      <c r="L117" s="634"/>
      <c r="M117" s="21">
        <f t="shared" si="23"/>
        <v>1</v>
      </c>
      <c r="N117" s="634"/>
      <c r="O117" s="21">
        <f t="shared" si="24"/>
        <v>1</v>
      </c>
      <c r="P117" s="634"/>
      <c r="Q117" s="21">
        <f t="shared" si="25"/>
        <v>1</v>
      </c>
      <c r="R117" s="21">
        <f t="shared" ca="1" si="26"/>
        <v>52520</v>
      </c>
      <c r="S117" s="308">
        <f t="shared" ca="1" si="17"/>
        <v>659</v>
      </c>
      <c r="T117" s="683" t="str">
        <f>明细表!G94</f>
        <v>办公</v>
      </c>
      <c r="U117" s="683">
        <f>明细表!D94</f>
        <v>11</v>
      </c>
    </row>
    <row r="118" spans="1:21">
      <c r="A118" s="142" t="str">
        <f>明细表!B95</f>
        <v>6单元2001</v>
      </c>
      <c r="B118" s="52">
        <f>明细表!E95</f>
        <v>125.44</v>
      </c>
      <c r="C118" s="21">
        <f t="shared" si="18"/>
        <v>1</v>
      </c>
      <c r="D118" s="2570" t="s">
        <v>3580</v>
      </c>
      <c r="E118" s="21">
        <f t="shared" si="19"/>
        <v>1</v>
      </c>
      <c r="F118" s="634" t="s">
        <v>3534</v>
      </c>
      <c r="G118" s="21">
        <f t="shared" si="20"/>
        <v>1</v>
      </c>
      <c r="H118" s="634" t="s">
        <v>21</v>
      </c>
      <c r="I118" s="21">
        <f t="shared" si="21"/>
        <v>1.06</v>
      </c>
      <c r="J118" s="634"/>
      <c r="K118" s="21">
        <f t="shared" si="22"/>
        <v>1</v>
      </c>
      <c r="L118" s="634"/>
      <c r="M118" s="21">
        <f t="shared" si="23"/>
        <v>1</v>
      </c>
      <c r="N118" s="634"/>
      <c r="O118" s="21">
        <f t="shared" si="24"/>
        <v>1</v>
      </c>
      <c r="P118" s="634"/>
      <c r="Q118" s="21">
        <f t="shared" si="25"/>
        <v>1</v>
      </c>
      <c r="R118" s="21">
        <f t="shared" ca="1" si="26"/>
        <v>51491</v>
      </c>
      <c r="S118" s="308">
        <f t="shared" ca="1" si="17"/>
        <v>646</v>
      </c>
      <c r="T118" s="683" t="str">
        <f>明细表!G95</f>
        <v>办公</v>
      </c>
      <c r="U118" s="683">
        <f>明细表!D95</f>
        <v>18</v>
      </c>
    </row>
    <row r="119" spans="1:21">
      <c r="A119" s="142" t="str">
        <f>明细表!B96</f>
        <v>6单元2002</v>
      </c>
      <c r="B119" s="52">
        <f>明细表!E96</f>
        <v>211.49</v>
      </c>
      <c r="C119" s="21">
        <f t="shared" si="18"/>
        <v>1</v>
      </c>
      <c r="D119" s="2570" t="s">
        <v>3580</v>
      </c>
      <c r="E119" s="21">
        <f t="shared" si="19"/>
        <v>1</v>
      </c>
      <c r="F119" s="634" t="s">
        <v>3534</v>
      </c>
      <c r="G119" s="21">
        <f t="shared" si="20"/>
        <v>1</v>
      </c>
      <c r="H119" s="634" t="s">
        <v>21</v>
      </c>
      <c r="I119" s="21">
        <f t="shared" si="21"/>
        <v>1.06</v>
      </c>
      <c r="J119" s="634"/>
      <c r="K119" s="21">
        <f t="shared" si="22"/>
        <v>1</v>
      </c>
      <c r="L119" s="634"/>
      <c r="M119" s="21">
        <f t="shared" si="23"/>
        <v>1</v>
      </c>
      <c r="N119" s="634"/>
      <c r="O119" s="21">
        <f t="shared" si="24"/>
        <v>1</v>
      </c>
      <c r="P119" s="634"/>
      <c r="Q119" s="21">
        <f t="shared" si="25"/>
        <v>1</v>
      </c>
      <c r="R119" s="21">
        <f t="shared" ca="1" si="26"/>
        <v>51491</v>
      </c>
      <c r="S119" s="308">
        <f t="shared" ca="1" si="17"/>
        <v>1089</v>
      </c>
      <c r="T119" s="683" t="str">
        <f>明细表!G96</f>
        <v>办公</v>
      </c>
      <c r="U119" s="683">
        <f>明细表!D96</f>
        <v>18</v>
      </c>
    </row>
    <row r="120" spans="1:21">
      <c r="A120" s="142" t="str">
        <f>明细表!B97</f>
        <v>6单元2003</v>
      </c>
      <c r="B120" s="52">
        <f>明细表!E97</f>
        <v>211.49</v>
      </c>
      <c r="C120" s="21">
        <f t="shared" si="18"/>
        <v>1</v>
      </c>
      <c r="D120" s="2570" t="s">
        <v>3580</v>
      </c>
      <c r="E120" s="21">
        <f t="shared" si="19"/>
        <v>1</v>
      </c>
      <c r="F120" s="634" t="s">
        <v>3534</v>
      </c>
      <c r="G120" s="21">
        <f t="shared" si="20"/>
        <v>1</v>
      </c>
      <c r="H120" s="634" t="s">
        <v>21</v>
      </c>
      <c r="I120" s="21">
        <f t="shared" si="21"/>
        <v>1.06</v>
      </c>
      <c r="J120" s="634"/>
      <c r="K120" s="21">
        <f t="shared" si="22"/>
        <v>1</v>
      </c>
      <c r="L120" s="634"/>
      <c r="M120" s="21">
        <f t="shared" si="23"/>
        <v>1</v>
      </c>
      <c r="N120" s="634"/>
      <c r="O120" s="21">
        <f t="shared" si="24"/>
        <v>1</v>
      </c>
      <c r="P120" s="634"/>
      <c r="Q120" s="21">
        <f t="shared" si="25"/>
        <v>1</v>
      </c>
      <c r="R120" s="21">
        <f t="shared" ca="1" si="26"/>
        <v>51491</v>
      </c>
      <c r="S120" s="308">
        <f t="shared" ca="1" si="17"/>
        <v>1089</v>
      </c>
      <c r="T120" s="683" t="str">
        <f>明细表!G97</f>
        <v>办公</v>
      </c>
      <c r="U120" s="683">
        <f>明细表!D97</f>
        <v>18</v>
      </c>
    </row>
    <row r="121" spans="1:21">
      <c r="A121" s="142" t="str">
        <f>明细表!B98</f>
        <v>6单元2005</v>
      </c>
      <c r="B121" s="52">
        <f>明细表!E98</f>
        <v>125.44</v>
      </c>
      <c r="C121" s="21">
        <f t="shared" si="18"/>
        <v>1</v>
      </c>
      <c r="D121" s="2570" t="s">
        <v>3580</v>
      </c>
      <c r="E121" s="21">
        <f t="shared" si="19"/>
        <v>1</v>
      </c>
      <c r="F121" s="634" t="s">
        <v>3534</v>
      </c>
      <c r="G121" s="21">
        <f t="shared" si="20"/>
        <v>1</v>
      </c>
      <c r="H121" s="634" t="s">
        <v>21</v>
      </c>
      <c r="I121" s="21">
        <f t="shared" si="21"/>
        <v>1.06</v>
      </c>
      <c r="J121" s="634"/>
      <c r="K121" s="21">
        <f t="shared" si="22"/>
        <v>1</v>
      </c>
      <c r="L121" s="634"/>
      <c r="M121" s="21">
        <f t="shared" si="23"/>
        <v>1</v>
      </c>
      <c r="N121" s="634"/>
      <c r="O121" s="21">
        <f t="shared" si="24"/>
        <v>1</v>
      </c>
      <c r="P121" s="634"/>
      <c r="Q121" s="21">
        <f t="shared" si="25"/>
        <v>1</v>
      </c>
      <c r="R121" s="21">
        <f t="shared" ca="1" si="26"/>
        <v>51491</v>
      </c>
      <c r="S121" s="308">
        <f t="shared" ca="1" si="17"/>
        <v>646</v>
      </c>
      <c r="T121" s="683" t="str">
        <f>明细表!G98</f>
        <v>办公</v>
      </c>
      <c r="U121" s="683">
        <f>明细表!D98</f>
        <v>18</v>
      </c>
    </row>
    <row r="122" spans="1:21">
      <c r="A122" s="142" t="str">
        <f>明细表!B99</f>
        <v>6单元2006</v>
      </c>
      <c r="B122" s="52">
        <f>明细表!E99</f>
        <v>125.44</v>
      </c>
      <c r="C122" s="21">
        <f t="shared" si="18"/>
        <v>1</v>
      </c>
      <c r="D122" s="2570" t="s">
        <v>3580</v>
      </c>
      <c r="E122" s="21">
        <f t="shared" si="19"/>
        <v>1</v>
      </c>
      <c r="F122" s="634" t="s">
        <v>3534</v>
      </c>
      <c r="G122" s="21">
        <f t="shared" si="20"/>
        <v>1</v>
      </c>
      <c r="H122" s="634" t="s">
        <v>21</v>
      </c>
      <c r="I122" s="21">
        <f t="shared" si="21"/>
        <v>1.06</v>
      </c>
      <c r="J122" s="634"/>
      <c r="K122" s="21">
        <f t="shared" si="22"/>
        <v>1</v>
      </c>
      <c r="L122" s="634"/>
      <c r="M122" s="21">
        <f t="shared" si="23"/>
        <v>1</v>
      </c>
      <c r="N122" s="634"/>
      <c r="O122" s="21">
        <f t="shared" si="24"/>
        <v>1</v>
      </c>
      <c r="P122" s="634"/>
      <c r="Q122" s="21">
        <f t="shared" si="25"/>
        <v>1</v>
      </c>
      <c r="R122" s="21">
        <f t="shared" ca="1" si="26"/>
        <v>51491</v>
      </c>
      <c r="S122" s="308">
        <f t="shared" ca="1" si="17"/>
        <v>646</v>
      </c>
      <c r="T122" s="683" t="str">
        <f>明细表!G99</f>
        <v>办公</v>
      </c>
      <c r="U122" s="683">
        <f>明细表!D99</f>
        <v>18</v>
      </c>
    </row>
    <row r="123" spans="1:21">
      <c r="A123" s="142" t="str">
        <f>明细表!B100</f>
        <v>6单元2007</v>
      </c>
      <c r="B123" s="52">
        <f>明细表!E100</f>
        <v>234.73</v>
      </c>
      <c r="C123" s="21">
        <f t="shared" si="18"/>
        <v>1</v>
      </c>
      <c r="D123" s="2570" t="s">
        <v>3580</v>
      </c>
      <c r="E123" s="21">
        <f t="shared" si="19"/>
        <v>1</v>
      </c>
      <c r="F123" s="634" t="s">
        <v>3534</v>
      </c>
      <c r="G123" s="21">
        <f t="shared" si="20"/>
        <v>1</v>
      </c>
      <c r="H123" s="634" t="s">
        <v>21</v>
      </c>
      <c r="I123" s="21">
        <f t="shared" si="21"/>
        <v>1.06</v>
      </c>
      <c r="J123" s="634"/>
      <c r="K123" s="21">
        <f t="shared" si="22"/>
        <v>1</v>
      </c>
      <c r="L123" s="634"/>
      <c r="M123" s="21">
        <f t="shared" si="23"/>
        <v>1</v>
      </c>
      <c r="N123" s="634"/>
      <c r="O123" s="21">
        <f t="shared" si="24"/>
        <v>1</v>
      </c>
      <c r="P123" s="634"/>
      <c r="Q123" s="21">
        <f t="shared" si="25"/>
        <v>1</v>
      </c>
      <c r="R123" s="21">
        <f t="shared" ca="1" si="26"/>
        <v>51491</v>
      </c>
      <c r="S123" s="308">
        <f t="shared" ref="S123:S186" ca="1" si="27">ROUND(R123*B123/10000,0)</f>
        <v>1209</v>
      </c>
      <c r="T123" s="683" t="str">
        <f>明细表!G100</f>
        <v>办公</v>
      </c>
      <c r="U123" s="683">
        <f>明细表!D100</f>
        <v>18</v>
      </c>
    </row>
    <row r="124" spans="1:21">
      <c r="A124" s="142" t="str">
        <f>明细表!B101</f>
        <v>6单元2008</v>
      </c>
      <c r="B124" s="52">
        <f>明细表!E101</f>
        <v>234.74</v>
      </c>
      <c r="C124" s="21">
        <f t="shared" si="18"/>
        <v>1</v>
      </c>
      <c r="D124" s="2570" t="s">
        <v>3580</v>
      </c>
      <c r="E124" s="21">
        <f t="shared" si="19"/>
        <v>1</v>
      </c>
      <c r="F124" s="634" t="s">
        <v>3534</v>
      </c>
      <c r="G124" s="21">
        <f t="shared" si="20"/>
        <v>1</v>
      </c>
      <c r="H124" s="634" t="s">
        <v>21</v>
      </c>
      <c r="I124" s="21">
        <f t="shared" si="21"/>
        <v>1.06</v>
      </c>
      <c r="J124" s="634"/>
      <c r="K124" s="21">
        <f t="shared" si="22"/>
        <v>1</v>
      </c>
      <c r="L124" s="634"/>
      <c r="M124" s="21">
        <f t="shared" si="23"/>
        <v>1</v>
      </c>
      <c r="N124" s="634"/>
      <c r="O124" s="21">
        <f t="shared" si="24"/>
        <v>1</v>
      </c>
      <c r="P124" s="634"/>
      <c r="Q124" s="21">
        <f t="shared" si="25"/>
        <v>1</v>
      </c>
      <c r="R124" s="21">
        <f t="shared" ca="1" si="26"/>
        <v>51491</v>
      </c>
      <c r="S124" s="308">
        <f t="shared" ca="1" si="27"/>
        <v>1209</v>
      </c>
      <c r="T124" s="683" t="str">
        <f>明细表!G101</f>
        <v>办公</v>
      </c>
      <c r="U124" s="683">
        <f>明细表!D101</f>
        <v>18</v>
      </c>
    </row>
    <row r="125" spans="1:21">
      <c r="A125" s="142" t="str">
        <f>明细表!B102</f>
        <v>6单元2009</v>
      </c>
      <c r="B125" s="52">
        <f>明细表!E102</f>
        <v>125.44</v>
      </c>
      <c r="C125" s="21">
        <f t="shared" si="18"/>
        <v>1</v>
      </c>
      <c r="D125" s="2570" t="s">
        <v>3580</v>
      </c>
      <c r="E125" s="21">
        <f t="shared" si="19"/>
        <v>1</v>
      </c>
      <c r="F125" s="634" t="s">
        <v>3534</v>
      </c>
      <c r="G125" s="21">
        <f t="shared" si="20"/>
        <v>1</v>
      </c>
      <c r="H125" s="634" t="s">
        <v>21</v>
      </c>
      <c r="I125" s="21">
        <f t="shared" si="21"/>
        <v>1.06</v>
      </c>
      <c r="J125" s="634"/>
      <c r="K125" s="21">
        <f t="shared" si="22"/>
        <v>1</v>
      </c>
      <c r="L125" s="634"/>
      <c r="M125" s="21">
        <f t="shared" si="23"/>
        <v>1</v>
      </c>
      <c r="N125" s="634"/>
      <c r="O125" s="21">
        <f t="shared" si="24"/>
        <v>1</v>
      </c>
      <c r="P125" s="634"/>
      <c r="Q125" s="21">
        <f t="shared" si="25"/>
        <v>1</v>
      </c>
      <c r="R125" s="21">
        <f t="shared" ca="1" si="26"/>
        <v>51491</v>
      </c>
      <c r="S125" s="308">
        <f t="shared" ca="1" si="27"/>
        <v>646</v>
      </c>
      <c r="T125" s="683" t="str">
        <f>明细表!G102</f>
        <v>办公</v>
      </c>
      <c r="U125" s="683">
        <f>明细表!D102</f>
        <v>18</v>
      </c>
    </row>
    <row r="126" spans="1:21">
      <c r="A126" s="142" t="str">
        <f>明细表!B103</f>
        <v>6单元2101</v>
      </c>
      <c r="B126" s="52">
        <f>明细表!E103</f>
        <v>125.44</v>
      </c>
      <c r="C126" s="21">
        <f t="shared" si="18"/>
        <v>1</v>
      </c>
      <c r="D126" s="2570" t="s">
        <v>3580</v>
      </c>
      <c r="E126" s="21">
        <f t="shared" si="19"/>
        <v>1</v>
      </c>
      <c r="F126" s="634" t="s">
        <v>3534</v>
      </c>
      <c r="G126" s="21">
        <f t="shared" si="20"/>
        <v>1</v>
      </c>
      <c r="H126" s="634" t="s">
        <v>21</v>
      </c>
      <c r="I126" s="21">
        <f t="shared" si="21"/>
        <v>1.06</v>
      </c>
      <c r="J126" s="634"/>
      <c r="K126" s="21">
        <f t="shared" si="22"/>
        <v>1</v>
      </c>
      <c r="L126" s="634"/>
      <c r="M126" s="21">
        <f t="shared" si="23"/>
        <v>1</v>
      </c>
      <c r="N126" s="634"/>
      <c r="O126" s="21">
        <f t="shared" si="24"/>
        <v>1</v>
      </c>
      <c r="P126" s="634"/>
      <c r="Q126" s="21">
        <f t="shared" si="25"/>
        <v>1</v>
      </c>
      <c r="R126" s="21">
        <f t="shared" ca="1" si="26"/>
        <v>51491</v>
      </c>
      <c r="S126" s="308">
        <f t="shared" ca="1" si="27"/>
        <v>646</v>
      </c>
      <c r="T126" s="683" t="str">
        <f>明细表!G103</f>
        <v>办公</v>
      </c>
      <c r="U126" s="683">
        <f>明细表!D103</f>
        <v>19</v>
      </c>
    </row>
    <row r="127" spans="1:21">
      <c r="A127" s="142" t="str">
        <f>明细表!B104</f>
        <v>6单元2102</v>
      </c>
      <c r="B127" s="52">
        <f>明细表!E104</f>
        <v>211.49</v>
      </c>
      <c r="C127" s="21">
        <f t="shared" si="18"/>
        <v>1</v>
      </c>
      <c r="D127" s="2570" t="s">
        <v>3580</v>
      </c>
      <c r="E127" s="21">
        <f t="shared" si="19"/>
        <v>1</v>
      </c>
      <c r="F127" s="634" t="s">
        <v>3534</v>
      </c>
      <c r="G127" s="21">
        <f t="shared" si="20"/>
        <v>1</v>
      </c>
      <c r="H127" s="634" t="s">
        <v>21</v>
      </c>
      <c r="I127" s="21">
        <f t="shared" si="21"/>
        <v>1.06</v>
      </c>
      <c r="J127" s="634"/>
      <c r="K127" s="21">
        <f t="shared" si="22"/>
        <v>1</v>
      </c>
      <c r="L127" s="634"/>
      <c r="M127" s="21">
        <f t="shared" si="23"/>
        <v>1</v>
      </c>
      <c r="N127" s="634"/>
      <c r="O127" s="21">
        <f t="shared" si="24"/>
        <v>1</v>
      </c>
      <c r="P127" s="634"/>
      <c r="Q127" s="21">
        <f t="shared" si="25"/>
        <v>1</v>
      </c>
      <c r="R127" s="21">
        <f t="shared" ca="1" si="26"/>
        <v>51491</v>
      </c>
      <c r="S127" s="308">
        <f t="shared" ca="1" si="27"/>
        <v>1089</v>
      </c>
      <c r="T127" s="683" t="str">
        <f>明细表!G104</f>
        <v>办公</v>
      </c>
      <c r="U127" s="683">
        <f>明细表!D104</f>
        <v>19</v>
      </c>
    </row>
    <row r="128" spans="1:21">
      <c r="A128" s="142" t="str">
        <f>明细表!B105</f>
        <v>6单元2103</v>
      </c>
      <c r="B128" s="52">
        <f>明细表!E105</f>
        <v>211.49</v>
      </c>
      <c r="C128" s="21">
        <f t="shared" si="18"/>
        <v>1</v>
      </c>
      <c r="D128" s="2570" t="s">
        <v>3580</v>
      </c>
      <c r="E128" s="21">
        <f t="shared" si="19"/>
        <v>1</v>
      </c>
      <c r="F128" s="634" t="s">
        <v>3534</v>
      </c>
      <c r="G128" s="21">
        <f t="shared" si="20"/>
        <v>1</v>
      </c>
      <c r="H128" s="634" t="s">
        <v>21</v>
      </c>
      <c r="I128" s="21">
        <f t="shared" si="21"/>
        <v>1.06</v>
      </c>
      <c r="J128" s="634"/>
      <c r="K128" s="21">
        <f t="shared" si="22"/>
        <v>1</v>
      </c>
      <c r="L128" s="634"/>
      <c r="M128" s="21">
        <f t="shared" si="23"/>
        <v>1</v>
      </c>
      <c r="N128" s="634"/>
      <c r="O128" s="21">
        <f t="shared" si="24"/>
        <v>1</v>
      </c>
      <c r="P128" s="634"/>
      <c r="Q128" s="21">
        <f t="shared" si="25"/>
        <v>1</v>
      </c>
      <c r="R128" s="21">
        <f t="shared" ca="1" si="26"/>
        <v>51491</v>
      </c>
      <c r="S128" s="308">
        <f t="shared" ca="1" si="27"/>
        <v>1089</v>
      </c>
      <c r="T128" s="683" t="str">
        <f>明细表!G105</f>
        <v>办公</v>
      </c>
      <c r="U128" s="683">
        <f>明细表!D105</f>
        <v>19</v>
      </c>
    </row>
    <row r="129" spans="1:21">
      <c r="A129" s="142" t="str">
        <f>明细表!B106</f>
        <v>6单元2105</v>
      </c>
      <c r="B129" s="52">
        <f>明细表!E106</f>
        <v>125.44</v>
      </c>
      <c r="C129" s="21">
        <f t="shared" si="18"/>
        <v>1</v>
      </c>
      <c r="D129" s="2570" t="s">
        <v>3580</v>
      </c>
      <c r="E129" s="21">
        <f t="shared" si="19"/>
        <v>1</v>
      </c>
      <c r="F129" s="634" t="s">
        <v>3534</v>
      </c>
      <c r="G129" s="21">
        <f t="shared" si="20"/>
        <v>1</v>
      </c>
      <c r="H129" s="634" t="s">
        <v>21</v>
      </c>
      <c r="I129" s="21">
        <f t="shared" si="21"/>
        <v>1.06</v>
      </c>
      <c r="J129" s="634"/>
      <c r="K129" s="21">
        <f t="shared" si="22"/>
        <v>1</v>
      </c>
      <c r="L129" s="634"/>
      <c r="M129" s="21">
        <f t="shared" si="23"/>
        <v>1</v>
      </c>
      <c r="N129" s="634"/>
      <c r="O129" s="21">
        <f t="shared" si="24"/>
        <v>1</v>
      </c>
      <c r="P129" s="634"/>
      <c r="Q129" s="21">
        <f t="shared" si="25"/>
        <v>1</v>
      </c>
      <c r="R129" s="21">
        <f t="shared" ca="1" si="26"/>
        <v>51491</v>
      </c>
      <c r="S129" s="308">
        <f t="shared" ca="1" si="27"/>
        <v>646</v>
      </c>
      <c r="T129" s="683" t="str">
        <f>明细表!G106</f>
        <v>办公</v>
      </c>
      <c r="U129" s="683">
        <f>明细表!D106</f>
        <v>19</v>
      </c>
    </row>
    <row r="130" spans="1:21">
      <c r="A130" s="142" t="str">
        <f>明细表!B107</f>
        <v>6单元2106</v>
      </c>
      <c r="B130" s="52">
        <f>明细表!E107</f>
        <v>125.44</v>
      </c>
      <c r="C130" s="21">
        <f t="shared" si="18"/>
        <v>1</v>
      </c>
      <c r="D130" s="2570" t="s">
        <v>3580</v>
      </c>
      <c r="E130" s="21">
        <f t="shared" si="19"/>
        <v>1</v>
      </c>
      <c r="F130" s="634" t="s">
        <v>3534</v>
      </c>
      <c r="G130" s="21">
        <f t="shared" si="20"/>
        <v>1</v>
      </c>
      <c r="H130" s="634" t="s">
        <v>21</v>
      </c>
      <c r="I130" s="21">
        <f t="shared" si="21"/>
        <v>1.06</v>
      </c>
      <c r="J130" s="634"/>
      <c r="K130" s="21">
        <f t="shared" si="22"/>
        <v>1</v>
      </c>
      <c r="L130" s="634"/>
      <c r="M130" s="21">
        <f t="shared" si="23"/>
        <v>1</v>
      </c>
      <c r="N130" s="634"/>
      <c r="O130" s="21">
        <f t="shared" si="24"/>
        <v>1</v>
      </c>
      <c r="P130" s="634"/>
      <c r="Q130" s="21">
        <f t="shared" si="25"/>
        <v>1</v>
      </c>
      <c r="R130" s="21">
        <f t="shared" ca="1" si="26"/>
        <v>51491</v>
      </c>
      <c r="S130" s="308">
        <f t="shared" ca="1" si="27"/>
        <v>646</v>
      </c>
      <c r="T130" s="683" t="str">
        <f>明细表!G107</f>
        <v>办公</v>
      </c>
      <c r="U130" s="683">
        <f>明细表!D107</f>
        <v>19</v>
      </c>
    </row>
    <row r="131" spans="1:21">
      <c r="A131" s="142" t="str">
        <f>明细表!B108</f>
        <v>6单元2107</v>
      </c>
      <c r="B131" s="52">
        <f>明细表!E108</f>
        <v>234.73</v>
      </c>
      <c r="C131" s="21">
        <f t="shared" si="18"/>
        <v>1</v>
      </c>
      <c r="D131" s="2570" t="s">
        <v>3580</v>
      </c>
      <c r="E131" s="21">
        <f t="shared" si="19"/>
        <v>1</v>
      </c>
      <c r="F131" s="634" t="s">
        <v>3534</v>
      </c>
      <c r="G131" s="21">
        <f t="shared" si="20"/>
        <v>1</v>
      </c>
      <c r="H131" s="634" t="s">
        <v>21</v>
      </c>
      <c r="I131" s="21">
        <f t="shared" si="21"/>
        <v>1.06</v>
      </c>
      <c r="J131" s="634"/>
      <c r="K131" s="21">
        <f t="shared" si="22"/>
        <v>1</v>
      </c>
      <c r="L131" s="634"/>
      <c r="M131" s="21">
        <f t="shared" si="23"/>
        <v>1</v>
      </c>
      <c r="N131" s="634"/>
      <c r="O131" s="21">
        <f t="shared" si="24"/>
        <v>1</v>
      </c>
      <c r="P131" s="634"/>
      <c r="Q131" s="21">
        <f t="shared" si="25"/>
        <v>1</v>
      </c>
      <c r="R131" s="21">
        <f t="shared" ca="1" si="26"/>
        <v>51491</v>
      </c>
      <c r="S131" s="308">
        <f t="shared" ca="1" si="27"/>
        <v>1209</v>
      </c>
      <c r="T131" s="683" t="str">
        <f>明细表!G108</f>
        <v>办公</v>
      </c>
      <c r="U131" s="683">
        <f>明细表!D108</f>
        <v>19</v>
      </c>
    </row>
    <row r="132" spans="1:21">
      <c r="A132" s="142" t="str">
        <f>明细表!B109</f>
        <v>6单元2108</v>
      </c>
      <c r="B132" s="52">
        <f>明细表!E109</f>
        <v>234.74</v>
      </c>
      <c r="C132" s="21">
        <f t="shared" si="18"/>
        <v>1</v>
      </c>
      <c r="D132" s="2570" t="s">
        <v>3580</v>
      </c>
      <c r="E132" s="21">
        <f t="shared" si="19"/>
        <v>1</v>
      </c>
      <c r="F132" s="634" t="s">
        <v>3534</v>
      </c>
      <c r="G132" s="21">
        <f t="shared" si="20"/>
        <v>1</v>
      </c>
      <c r="H132" s="634" t="s">
        <v>21</v>
      </c>
      <c r="I132" s="21">
        <f t="shared" si="21"/>
        <v>1.06</v>
      </c>
      <c r="J132" s="634"/>
      <c r="K132" s="21">
        <f t="shared" si="22"/>
        <v>1</v>
      </c>
      <c r="L132" s="634"/>
      <c r="M132" s="21">
        <f t="shared" si="23"/>
        <v>1</v>
      </c>
      <c r="N132" s="634"/>
      <c r="O132" s="21">
        <f t="shared" si="24"/>
        <v>1</v>
      </c>
      <c r="P132" s="634"/>
      <c r="Q132" s="21">
        <f t="shared" si="25"/>
        <v>1</v>
      </c>
      <c r="R132" s="21">
        <f t="shared" ca="1" si="26"/>
        <v>51491</v>
      </c>
      <c r="S132" s="308">
        <f t="shared" ca="1" si="27"/>
        <v>1209</v>
      </c>
      <c r="T132" s="683" t="str">
        <f>明细表!G109</f>
        <v>办公</v>
      </c>
      <c r="U132" s="683">
        <f>明细表!D109</f>
        <v>19</v>
      </c>
    </row>
    <row r="133" spans="1:21">
      <c r="A133" s="142" t="str">
        <f>明细表!B110</f>
        <v>6单元2109</v>
      </c>
      <c r="B133" s="52">
        <f>明细表!E110</f>
        <v>125.44</v>
      </c>
      <c r="C133" s="21">
        <f t="shared" si="18"/>
        <v>1</v>
      </c>
      <c r="D133" s="2570" t="s">
        <v>3580</v>
      </c>
      <c r="E133" s="21">
        <f t="shared" si="19"/>
        <v>1</v>
      </c>
      <c r="F133" s="634" t="s">
        <v>3534</v>
      </c>
      <c r="G133" s="21">
        <f t="shared" si="20"/>
        <v>1</v>
      </c>
      <c r="H133" s="634" t="s">
        <v>21</v>
      </c>
      <c r="I133" s="21">
        <f t="shared" si="21"/>
        <v>1.06</v>
      </c>
      <c r="J133" s="634"/>
      <c r="K133" s="21">
        <f t="shared" si="22"/>
        <v>1</v>
      </c>
      <c r="L133" s="634"/>
      <c r="M133" s="21">
        <f t="shared" si="23"/>
        <v>1</v>
      </c>
      <c r="N133" s="634"/>
      <c r="O133" s="21">
        <f t="shared" si="24"/>
        <v>1</v>
      </c>
      <c r="P133" s="634"/>
      <c r="Q133" s="21">
        <f t="shared" si="25"/>
        <v>1</v>
      </c>
      <c r="R133" s="21">
        <f t="shared" ca="1" si="26"/>
        <v>51491</v>
      </c>
      <c r="S133" s="308">
        <f t="shared" ca="1" si="27"/>
        <v>646</v>
      </c>
      <c r="T133" s="683" t="str">
        <f>明细表!G110</f>
        <v>办公</v>
      </c>
      <c r="U133" s="683">
        <f>明细表!D110</f>
        <v>19</v>
      </c>
    </row>
    <row r="134" spans="1:21">
      <c r="A134" s="142"/>
      <c r="B134" s="52"/>
      <c r="C134" s="21">
        <f t="shared" si="18"/>
        <v>1</v>
      </c>
      <c r="D134" s="634"/>
      <c r="E134" s="21">
        <f t="shared" si="19"/>
        <v>0.01</v>
      </c>
      <c r="F134" s="634"/>
      <c r="G134" s="21">
        <f t="shared" si="20"/>
        <v>0.04</v>
      </c>
      <c r="H134" s="634"/>
      <c r="I134" s="21">
        <f t="shared" si="21"/>
        <v>0.06</v>
      </c>
      <c r="J134" s="634"/>
      <c r="K134" s="21">
        <f t="shared" si="22"/>
        <v>1</v>
      </c>
      <c r="L134" s="634"/>
      <c r="M134" s="21">
        <f t="shared" si="23"/>
        <v>1</v>
      </c>
      <c r="N134" s="634"/>
      <c r="O134" s="21">
        <f t="shared" si="24"/>
        <v>1</v>
      </c>
      <c r="P134" s="634"/>
      <c r="Q134" s="21">
        <f t="shared" si="25"/>
        <v>1</v>
      </c>
      <c r="R134" s="21">
        <f t="shared" si="26"/>
        <v>0</v>
      </c>
      <c r="S134" s="308">
        <f t="shared" si="27"/>
        <v>0</v>
      </c>
    </row>
    <row r="135" spans="1:21">
      <c r="A135" s="142"/>
      <c r="B135" s="52"/>
      <c r="C135" s="21">
        <f t="shared" si="18"/>
        <v>1</v>
      </c>
      <c r="D135" s="634"/>
      <c r="E135" s="21">
        <f t="shared" si="19"/>
        <v>0.01</v>
      </c>
      <c r="F135" s="634"/>
      <c r="G135" s="21">
        <f t="shared" si="20"/>
        <v>0.04</v>
      </c>
      <c r="H135" s="634"/>
      <c r="I135" s="21">
        <f t="shared" si="21"/>
        <v>0.06</v>
      </c>
      <c r="J135" s="634"/>
      <c r="K135" s="21">
        <f t="shared" si="22"/>
        <v>1</v>
      </c>
      <c r="L135" s="634"/>
      <c r="M135" s="21">
        <f t="shared" si="23"/>
        <v>1</v>
      </c>
      <c r="N135" s="634"/>
      <c r="O135" s="21">
        <f t="shared" si="24"/>
        <v>1</v>
      </c>
      <c r="P135" s="634"/>
      <c r="Q135" s="21">
        <f t="shared" si="25"/>
        <v>1</v>
      </c>
      <c r="R135" s="21">
        <f t="shared" si="26"/>
        <v>0</v>
      </c>
      <c r="S135" s="308">
        <f t="shared" si="27"/>
        <v>0</v>
      </c>
    </row>
    <row r="136" spans="1:21">
      <c r="A136" s="142"/>
      <c r="B136" s="52"/>
      <c r="C136" s="21">
        <f t="shared" si="18"/>
        <v>1</v>
      </c>
      <c r="D136" s="634"/>
      <c r="E136" s="21">
        <f t="shared" si="19"/>
        <v>0.01</v>
      </c>
      <c r="F136" s="634"/>
      <c r="G136" s="21">
        <f t="shared" si="20"/>
        <v>0.04</v>
      </c>
      <c r="H136" s="634"/>
      <c r="I136" s="21">
        <f t="shared" si="21"/>
        <v>0.06</v>
      </c>
      <c r="J136" s="634"/>
      <c r="K136" s="21">
        <f t="shared" si="22"/>
        <v>1</v>
      </c>
      <c r="L136" s="634"/>
      <c r="M136" s="21">
        <f t="shared" si="23"/>
        <v>1</v>
      </c>
      <c r="N136" s="634"/>
      <c r="O136" s="21">
        <f t="shared" si="24"/>
        <v>1</v>
      </c>
      <c r="P136" s="634"/>
      <c r="Q136" s="21">
        <f t="shared" si="25"/>
        <v>1</v>
      </c>
      <c r="R136" s="21">
        <f t="shared" si="26"/>
        <v>0</v>
      </c>
      <c r="S136" s="308">
        <f t="shared" si="27"/>
        <v>0</v>
      </c>
    </row>
    <row r="137" spans="1:21">
      <c r="A137" s="142"/>
      <c r="B137" s="52"/>
      <c r="C137" s="21">
        <f t="shared" si="18"/>
        <v>1</v>
      </c>
      <c r="D137" s="634"/>
      <c r="E137" s="21">
        <f t="shared" si="19"/>
        <v>0.01</v>
      </c>
      <c r="F137" s="634"/>
      <c r="G137" s="21">
        <f t="shared" si="20"/>
        <v>0.04</v>
      </c>
      <c r="H137" s="634"/>
      <c r="I137" s="21">
        <f t="shared" si="21"/>
        <v>0.06</v>
      </c>
      <c r="J137" s="634"/>
      <c r="K137" s="21">
        <f t="shared" si="22"/>
        <v>1</v>
      </c>
      <c r="L137" s="634"/>
      <c r="M137" s="21">
        <f t="shared" si="23"/>
        <v>1</v>
      </c>
      <c r="N137" s="634"/>
      <c r="O137" s="21">
        <f t="shared" si="24"/>
        <v>1</v>
      </c>
      <c r="P137" s="634"/>
      <c r="Q137" s="21">
        <f t="shared" si="25"/>
        <v>1</v>
      </c>
      <c r="R137" s="21">
        <f t="shared" si="26"/>
        <v>0</v>
      </c>
      <c r="S137" s="308">
        <f t="shared" si="27"/>
        <v>0</v>
      </c>
    </row>
    <row r="138" spans="1:21">
      <c r="A138" s="142"/>
      <c r="B138" s="52"/>
      <c r="C138" s="21">
        <f t="shared" si="18"/>
        <v>1</v>
      </c>
      <c r="D138" s="634"/>
      <c r="E138" s="21">
        <f t="shared" si="19"/>
        <v>0.01</v>
      </c>
      <c r="F138" s="634"/>
      <c r="G138" s="21">
        <f t="shared" si="20"/>
        <v>0.04</v>
      </c>
      <c r="H138" s="634"/>
      <c r="I138" s="21">
        <f t="shared" si="21"/>
        <v>0.06</v>
      </c>
      <c r="J138" s="634"/>
      <c r="K138" s="21">
        <f t="shared" si="22"/>
        <v>1</v>
      </c>
      <c r="L138" s="634"/>
      <c r="M138" s="21">
        <f t="shared" si="23"/>
        <v>1</v>
      </c>
      <c r="N138" s="634"/>
      <c r="O138" s="21">
        <f t="shared" si="24"/>
        <v>1</v>
      </c>
      <c r="P138" s="634"/>
      <c r="Q138" s="21">
        <f t="shared" si="25"/>
        <v>1</v>
      </c>
      <c r="R138" s="21">
        <f t="shared" si="26"/>
        <v>0</v>
      </c>
      <c r="S138" s="308">
        <f t="shared" si="27"/>
        <v>0</v>
      </c>
    </row>
    <row r="139" spans="1:21">
      <c r="A139" s="142"/>
      <c r="B139" s="52"/>
      <c r="C139" s="21">
        <f t="shared" si="18"/>
        <v>1</v>
      </c>
      <c r="D139" s="634"/>
      <c r="E139" s="21">
        <f t="shared" si="19"/>
        <v>0.01</v>
      </c>
      <c r="F139" s="634"/>
      <c r="G139" s="21">
        <f t="shared" si="20"/>
        <v>0.04</v>
      </c>
      <c r="H139" s="634"/>
      <c r="I139" s="21">
        <f t="shared" si="21"/>
        <v>0.06</v>
      </c>
      <c r="J139" s="634"/>
      <c r="K139" s="21">
        <f t="shared" si="22"/>
        <v>1</v>
      </c>
      <c r="L139" s="634"/>
      <c r="M139" s="21">
        <f t="shared" si="23"/>
        <v>1</v>
      </c>
      <c r="N139" s="634"/>
      <c r="O139" s="21">
        <f t="shared" si="24"/>
        <v>1</v>
      </c>
      <c r="P139" s="634"/>
      <c r="Q139" s="21">
        <f t="shared" si="25"/>
        <v>1</v>
      </c>
      <c r="R139" s="21">
        <f t="shared" si="26"/>
        <v>0</v>
      </c>
      <c r="S139" s="308">
        <f t="shared" si="27"/>
        <v>0</v>
      </c>
    </row>
    <row r="140" spans="1:21">
      <c r="A140" s="142"/>
      <c r="B140" s="52"/>
      <c r="C140" s="21">
        <f t="shared" si="18"/>
        <v>1</v>
      </c>
      <c r="D140" s="634"/>
      <c r="E140" s="21">
        <f t="shared" si="19"/>
        <v>0.01</v>
      </c>
      <c r="F140" s="634"/>
      <c r="G140" s="21">
        <f t="shared" si="20"/>
        <v>0.04</v>
      </c>
      <c r="H140" s="634"/>
      <c r="I140" s="21">
        <f t="shared" si="21"/>
        <v>0.06</v>
      </c>
      <c r="J140" s="634"/>
      <c r="K140" s="21">
        <f t="shared" si="22"/>
        <v>1</v>
      </c>
      <c r="L140" s="634"/>
      <c r="M140" s="21">
        <f t="shared" si="23"/>
        <v>1</v>
      </c>
      <c r="N140" s="634"/>
      <c r="O140" s="21">
        <f t="shared" si="24"/>
        <v>1</v>
      </c>
      <c r="P140" s="634"/>
      <c r="Q140" s="21">
        <f t="shared" si="25"/>
        <v>1</v>
      </c>
      <c r="R140" s="21">
        <f t="shared" si="26"/>
        <v>0</v>
      </c>
      <c r="S140" s="308">
        <f t="shared" si="27"/>
        <v>0</v>
      </c>
    </row>
    <row r="141" spans="1:21">
      <c r="A141" s="142"/>
      <c r="B141" s="52"/>
      <c r="C141" s="21">
        <f t="shared" si="18"/>
        <v>1</v>
      </c>
      <c r="D141" s="634"/>
      <c r="E141" s="21">
        <f t="shared" si="19"/>
        <v>0.01</v>
      </c>
      <c r="F141" s="634"/>
      <c r="G141" s="21">
        <f t="shared" si="20"/>
        <v>0.04</v>
      </c>
      <c r="H141" s="634"/>
      <c r="I141" s="21">
        <f t="shared" si="21"/>
        <v>0.06</v>
      </c>
      <c r="J141" s="634"/>
      <c r="K141" s="21">
        <f t="shared" si="22"/>
        <v>1</v>
      </c>
      <c r="L141" s="634"/>
      <c r="M141" s="21">
        <f t="shared" si="23"/>
        <v>1</v>
      </c>
      <c r="N141" s="634"/>
      <c r="O141" s="21">
        <f t="shared" si="24"/>
        <v>1</v>
      </c>
      <c r="P141" s="634"/>
      <c r="Q141" s="21">
        <f t="shared" si="25"/>
        <v>1</v>
      </c>
      <c r="R141" s="21">
        <f t="shared" si="26"/>
        <v>0</v>
      </c>
      <c r="S141" s="308">
        <f t="shared" si="27"/>
        <v>0</v>
      </c>
    </row>
    <row r="142" spans="1:21">
      <c r="A142" s="142"/>
      <c r="B142" s="52"/>
      <c r="C142" s="21">
        <f t="shared" si="18"/>
        <v>1</v>
      </c>
      <c r="D142" s="634"/>
      <c r="E142" s="21">
        <f t="shared" si="19"/>
        <v>0.01</v>
      </c>
      <c r="F142" s="634"/>
      <c r="G142" s="21">
        <f t="shared" si="20"/>
        <v>0.04</v>
      </c>
      <c r="H142" s="634"/>
      <c r="I142" s="21">
        <f t="shared" si="21"/>
        <v>0.06</v>
      </c>
      <c r="J142" s="634"/>
      <c r="K142" s="21">
        <f t="shared" si="22"/>
        <v>1</v>
      </c>
      <c r="L142" s="634"/>
      <c r="M142" s="21">
        <f t="shared" si="23"/>
        <v>1</v>
      </c>
      <c r="N142" s="634"/>
      <c r="O142" s="21">
        <f t="shared" si="24"/>
        <v>1</v>
      </c>
      <c r="P142" s="634"/>
      <c r="Q142" s="21">
        <f t="shared" si="25"/>
        <v>1</v>
      </c>
      <c r="R142" s="21">
        <f t="shared" si="26"/>
        <v>0</v>
      </c>
      <c r="S142" s="308">
        <f t="shared" si="27"/>
        <v>0</v>
      </c>
    </row>
    <row r="143" spans="1:21">
      <c r="A143" s="142"/>
      <c r="B143" s="52"/>
      <c r="C143" s="21">
        <f t="shared" si="18"/>
        <v>1</v>
      </c>
      <c r="D143" s="634"/>
      <c r="E143" s="21">
        <f t="shared" si="19"/>
        <v>0.01</v>
      </c>
      <c r="F143" s="634"/>
      <c r="G143" s="21">
        <f t="shared" si="20"/>
        <v>0.04</v>
      </c>
      <c r="H143" s="634"/>
      <c r="I143" s="21">
        <f t="shared" si="21"/>
        <v>0.06</v>
      </c>
      <c r="J143" s="634"/>
      <c r="K143" s="21">
        <f t="shared" si="22"/>
        <v>1</v>
      </c>
      <c r="L143" s="634"/>
      <c r="M143" s="21">
        <f t="shared" si="23"/>
        <v>1</v>
      </c>
      <c r="N143" s="634"/>
      <c r="O143" s="21">
        <f t="shared" si="24"/>
        <v>1</v>
      </c>
      <c r="P143" s="634"/>
      <c r="Q143" s="21">
        <f t="shared" si="25"/>
        <v>1</v>
      </c>
      <c r="R143" s="21">
        <f t="shared" si="26"/>
        <v>0</v>
      </c>
      <c r="S143" s="308">
        <f t="shared" si="27"/>
        <v>0</v>
      </c>
    </row>
    <row r="144" spans="1:21">
      <c r="A144" s="142"/>
      <c r="B144" s="52"/>
      <c r="C144" s="21">
        <f t="shared" si="18"/>
        <v>1</v>
      </c>
      <c r="D144" s="634"/>
      <c r="E144" s="21">
        <f t="shared" si="19"/>
        <v>0.01</v>
      </c>
      <c r="F144" s="634"/>
      <c r="G144" s="21">
        <f t="shared" si="20"/>
        <v>0.04</v>
      </c>
      <c r="H144" s="634"/>
      <c r="I144" s="21">
        <f t="shared" si="21"/>
        <v>0.06</v>
      </c>
      <c r="J144" s="634"/>
      <c r="K144" s="21">
        <f t="shared" si="22"/>
        <v>1</v>
      </c>
      <c r="L144" s="634"/>
      <c r="M144" s="21">
        <f t="shared" si="23"/>
        <v>1</v>
      </c>
      <c r="N144" s="634"/>
      <c r="O144" s="21">
        <f t="shared" si="24"/>
        <v>1</v>
      </c>
      <c r="P144" s="634"/>
      <c r="Q144" s="21">
        <f t="shared" si="25"/>
        <v>1</v>
      </c>
      <c r="R144" s="21">
        <f t="shared" si="26"/>
        <v>0</v>
      </c>
      <c r="S144" s="308">
        <f t="shared" si="27"/>
        <v>0</v>
      </c>
    </row>
    <row r="145" spans="1:19">
      <c r="A145" s="142"/>
      <c r="B145" s="52"/>
      <c r="C145" s="21">
        <f t="shared" si="18"/>
        <v>1</v>
      </c>
      <c r="D145" s="634"/>
      <c r="E145" s="21">
        <f t="shared" si="19"/>
        <v>0.01</v>
      </c>
      <c r="F145" s="634"/>
      <c r="G145" s="21">
        <f t="shared" si="20"/>
        <v>0.04</v>
      </c>
      <c r="H145" s="634"/>
      <c r="I145" s="21">
        <f t="shared" si="21"/>
        <v>0.06</v>
      </c>
      <c r="J145" s="634"/>
      <c r="K145" s="21">
        <f t="shared" si="22"/>
        <v>1</v>
      </c>
      <c r="L145" s="634"/>
      <c r="M145" s="21">
        <f t="shared" si="23"/>
        <v>1</v>
      </c>
      <c r="N145" s="634"/>
      <c r="O145" s="21">
        <f t="shared" si="24"/>
        <v>1</v>
      </c>
      <c r="P145" s="634"/>
      <c r="Q145" s="21">
        <f t="shared" si="25"/>
        <v>1</v>
      </c>
      <c r="R145" s="21">
        <f t="shared" si="26"/>
        <v>0</v>
      </c>
      <c r="S145" s="308">
        <f t="shared" si="27"/>
        <v>0</v>
      </c>
    </row>
    <row r="146" spans="1:19">
      <c r="A146" s="142"/>
      <c r="B146" s="52"/>
      <c r="C146" s="21">
        <f t="shared" si="18"/>
        <v>1</v>
      </c>
      <c r="D146" s="634"/>
      <c r="E146" s="21">
        <f t="shared" si="19"/>
        <v>0.01</v>
      </c>
      <c r="F146" s="634"/>
      <c r="G146" s="21">
        <f t="shared" si="20"/>
        <v>0.04</v>
      </c>
      <c r="H146" s="634"/>
      <c r="I146" s="21">
        <f t="shared" si="21"/>
        <v>0.06</v>
      </c>
      <c r="J146" s="634"/>
      <c r="K146" s="21">
        <f t="shared" si="22"/>
        <v>1</v>
      </c>
      <c r="L146" s="634"/>
      <c r="M146" s="21">
        <f t="shared" si="23"/>
        <v>1</v>
      </c>
      <c r="N146" s="634"/>
      <c r="O146" s="21">
        <f t="shared" si="24"/>
        <v>1</v>
      </c>
      <c r="P146" s="634"/>
      <c r="Q146" s="21">
        <f t="shared" si="25"/>
        <v>1</v>
      </c>
      <c r="R146" s="21">
        <f t="shared" si="26"/>
        <v>0</v>
      </c>
      <c r="S146" s="308">
        <f t="shared" si="27"/>
        <v>0</v>
      </c>
    </row>
    <row r="147" spans="1:19">
      <c r="A147" s="142"/>
      <c r="B147" s="52"/>
      <c r="C147" s="21">
        <f t="shared" si="18"/>
        <v>1</v>
      </c>
      <c r="D147" s="634"/>
      <c r="E147" s="21">
        <f t="shared" si="19"/>
        <v>0.01</v>
      </c>
      <c r="F147" s="634"/>
      <c r="G147" s="21">
        <f t="shared" si="20"/>
        <v>0.04</v>
      </c>
      <c r="H147" s="634"/>
      <c r="I147" s="21">
        <f t="shared" si="21"/>
        <v>0.06</v>
      </c>
      <c r="J147" s="634"/>
      <c r="K147" s="21">
        <f t="shared" si="22"/>
        <v>1</v>
      </c>
      <c r="L147" s="634"/>
      <c r="M147" s="21">
        <f t="shared" si="23"/>
        <v>1</v>
      </c>
      <c r="N147" s="634"/>
      <c r="O147" s="21">
        <f t="shared" si="24"/>
        <v>1</v>
      </c>
      <c r="P147" s="634"/>
      <c r="Q147" s="21">
        <f t="shared" si="25"/>
        <v>1</v>
      </c>
      <c r="R147" s="21">
        <f t="shared" si="26"/>
        <v>0</v>
      </c>
      <c r="S147" s="308">
        <f t="shared" si="27"/>
        <v>0</v>
      </c>
    </row>
    <row r="148" spans="1:19">
      <c r="A148" s="142"/>
      <c r="B148" s="52"/>
      <c r="C148" s="21">
        <f t="shared" si="18"/>
        <v>1</v>
      </c>
      <c r="D148" s="634"/>
      <c r="E148" s="21">
        <f t="shared" si="19"/>
        <v>0.01</v>
      </c>
      <c r="F148" s="634"/>
      <c r="G148" s="21">
        <f t="shared" si="20"/>
        <v>0.04</v>
      </c>
      <c r="H148" s="634"/>
      <c r="I148" s="21">
        <f t="shared" si="21"/>
        <v>0.06</v>
      </c>
      <c r="J148" s="634"/>
      <c r="K148" s="21">
        <f t="shared" si="22"/>
        <v>1</v>
      </c>
      <c r="L148" s="634"/>
      <c r="M148" s="21">
        <f t="shared" si="23"/>
        <v>1</v>
      </c>
      <c r="N148" s="634"/>
      <c r="O148" s="21">
        <f t="shared" si="24"/>
        <v>1</v>
      </c>
      <c r="P148" s="634"/>
      <c r="Q148" s="21">
        <f t="shared" si="25"/>
        <v>1</v>
      </c>
      <c r="R148" s="21">
        <f t="shared" si="26"/>
        <v>0</v>
      </c>
      <c r="S148" s="308">
        <f t="shared" si="27"/>
        <v>0</v>
      </c>
    </row>
    <row r="149" spans="1:19">
      <c r="A149" s="142"/>
      <c r="B149" s="52"/>
      <c r="C149" s="21">
        <f t="shared" si="18"/>
        <v>1</v>
      </c>
      <c r="D149" s="634"/>
      <c r="E149" s="21">
        <f t="shared" si="19"/>
        <v>0.01</v>
      </c>
      <c r="F149" s="634"/>
      <c r="G149" s="21">
        <f t="shared" si="20"/>
        <v>0.04</v>
      </c>
      <c r="H149" s="634"/>
      <c r="I149" s="21">
        <f t="shared" si="21"/>
        <v>0.06</v>
      </c>
      <c r="J149" s="634"/>
      <c r="K149" s="21">
        <f t="shared" si="22"/>
        <v>1</v>
      </c>
      <c r="L149" s="634"/>
      <c r="M149" s="21">
        <f t="shared" si="23"/>
        <v>1</v>
      </c>
      <c r="N149" s="634"/>
      <c r="O149" s="21">
        <f t="shared" si="24"/>
        <v>1</v>
      </c>
      <c r="P149" s="634"/>
      <c r="Q149" s="21">
        <f t="shared" si="25"/>
        <v>1</v>
      </c>
      <c r="R149" s="21">
        <f t="shared" si="26"/>
        <v>0</v>
      </c>
      <c r="S149" s="308">
        <f t="shared" si="27"/>
        <v>0</v>
      </c>
    </row>
    <row r="150" spans="1:19">
      <c r="A150" s="142"/>
      <c r="B150" s="52"/>
      <c r="C150" s="21">
        <f t="shared" si="18"/>
        <v>1</v>
      </c>
      <c r="D150" s="634"/>
      <c r="E150" s="21">
        <f t="shared" si="19"/>
        <v>0.01</v>
      </c>
      <c r="F150" s="634"/>
      <c r="G150" s="21">
        <f t="shared" si="20"/>
        <v>0.04</v>
      </c>
      <c r="H150" s="634"/>
      <c r="I150" s="21">
        <f t="shared" si="21"/>
        <v>0.06</v>
      </c>
      <c r="J150" s="634"/>
      <c r="K150" s="21">
        <f t="shared" si="22"/>
        <v>1</v>
      </c>
      <c r="L150" s="634"/>
      <c r="M150" s="21">
        <f t="shared" si="23"/>
        <v>1</v>
      </c>
      <c r="N150" s="634"/>
      <c r="O150" s="21">
        <f t="shared" si="24"/>
        <v>1</v>
      </c>
      <c r="P150" s="634"/>
      <c r="Q150" s="21">
        <f t="shared" si="25"/>
        <v>1</v>
      </c>
      <c r="R150" s="21">
        <f t="shared" si="26"/>
        <v>0</v>
      </c>
      <c r="S150" s="308">
        <f t="shared" si="27"/>
        <v>0</v>
      </c>
    </row>
    <row r="151" spans="1:19">
      <c r="A151" s="142"/>
      <c r="B151" s="52"/>
      <c r="C151" s="21">
        <f t="shared" si="18"/>
        <v>1</v>
      </c>
      <c r="D151" s="634"/>
      <c r="E151" s="21">
        <f t="shared" si="19"/>
        <v>0.01</v>
      </c>
      <c r="F151" s="634"/>
      <c r="G151" s="21">
        <f t="shared" si="20"/>
        <v>0.04</v>
      </c>
      <c r="H151" s="634"/>
      <c r="I151" s="21">
        <f t="shared" si="21"/>
        <v>0.06</v>
      </c>
      <c r="J151" s="634"/>
      <c r="K151" s="21">
        <f t="shared" si="22"/>
        <v>1</v>
      </c>
      <c r="L151" s="634"/>
      <c r="M151" s="21">
        <f t="shared" si="23"/>
        <v>1</v>
      </c>
      <c r="N151" s="634"/>
      <c r="O151" s="21">
        <f t="shared" si="24"/>
        <v>1</v>
      </c>
      <c r="P151" s="634"/>
      <c r="Q151" s="21">
        <f t="shared" si="25"/>
        <v>1</v>
      </c>
      <c r="R151" s="21">
        <f t="shared" si="26"/>
        <v>0</v>
      </c>
      <c r="S151" s="308">
        <f t="shared" si="27"/>
        <v>0</v>
      </c>
    </row>
    <row r="152" spans="1:19">
      <c r="A152" s="142"/>
      <c r="B152" s="52"/>
      <c r="C152" s="21">
        <f t="shared" si="18"/>
        <v>1</v>
      </c>
      <c r="D152" s="634"/>
      <c r="E152" s="21">
        <f t="shared" si="19"/>
        <v>0.01</v>
      </c>
      <c r="F152" s="634"/>
      <c r="G152" s="21">
        <f t="shared" si="20"/>
        <v>0.04</v>
      </c>
      <c r="H152" s="634"/>
      <c r="I152" s="21">
        <f t="shared" si="21"/>
        <v>0.06</v>
      </c>
      <c r="J152" s="634"/>
      <c r="K152" s="21">
        <f t="shared" si="22"/>
        <v>1</v>
      </c>
      <c r="L152" s="634"/>
      <c r="M152" s="21">
        <f t="shared" si="23"/>
        <v>1</v>
      </c>
      <c r="N152" s="634"/>
      <c r="O152" s="21">
        <f t="shared" si="24"/>
        <v>1</v>
      </c>
      <c r="P152" s="634"/>
      <c r="Q152" s="21">
        <f t="shared" si="25"/>
        <v>1</v>
      </c>
      <c r="R152" s="21">
        <f t="shared" si="26"/>
        <v>0</v>
      </c>
      <c r="S152" s="308">
        <f t="shared" si="27"/>
        <v>0</v>
      </c>
    </row>
    <row r="153" spans="1:19">
      <c r="A153" s="142"/>
      <c r="B153" s="52"/>
      <c r="C153" s="21">
        <f t="shared" si="18"/>
        <v>1</v>
      </c>
      <c r="D153" s="634"/>
      <c r="E153" s="21">
        <f t="shared" si="19"/>
        <v>0.01</v>
      </c>
      <c r="F153" s="634"/>
      <c r="G153" s="21">
        <f t="shared" si="20"/>
        <v>0.04</v>
      </c>
      <c r="H153" s="634"/>
      <c r="I153" s="21">
        <f t="shared" si="21"/>
        <v>0.06</v>
      </c>
      <c r="J153" s="634"/>
      <c r="K153" s="21">
        <f t="shared" si="22"/>
        <v>1</v>
      </c>
      <c r="L153" s="634"/>
      <c r="M153" s="21">
        <f t="shared" si="23"/>
        <v>1</v>
      </c>
      <c r="N153" s="634"/>
      <c r="O153" s="21">
        <f t="shared" si="24"/>
        <v>1</v>
      </c>
      <c r="P153" s="634"/>
      <c r="Q153" s="21">
        <f t="shared" si="25"/>
        <v>1</v>
      </c>
      <c r="R153" s="21">
        <f t="shared" si="26"/>
        <v>0</v>
      </c>
      <c r="S153" s="308">
        <f t="shared" si="27"/>
        <v>0</v>
      </c>
    </row>
    <row r="154" spans="1:19">
      <c r="A154" s="142"/>
      <c r="B154" s="52"/>
      <c r="C154" s="21">
        <f t="shared" ref="C154:C217" si="28">IF(B154="",1,(LOOKUP(B154,$3:$3,$4:$4)-LOOKUP($B$24,$3:$3,$4:$4)+100)/100)</f>
        <v>1</v>
      </c>
      <c r="D154" s="634"/>
      <c r="E154" s="21">
        <f t="shared" ref="E154:E217" si="29">(SUMIF($5:$5,D154,$6:$6)-SUMIF($5:$5,$D$24,$6:$6)+100)/100</f>
        <v>0.01</v>
      </c>
      <c r="F154" s="634"/>
      <c r="G154" s="21">
        <f t="shared" ref="G154:G217" si="30">(SUMIF($7:$7,F154,$8:$8)-SUMIF($7:$7,$F$24,$8:$8)+100)/100</f>
        <v>0.04</v>
      </c>
      <c r="H154" s="634"/>
      <c r="I154" s="21">
        <f t="shared" ref="I154:I217" si="31">(SUMIF($9:$9,H154,$10:$10)-SUMIF($9:$9,$H$24,$10:$10)+100)/100</f>
        <v>0.06</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4"/>
      <c r="E155" s="21">
        <f t="shared" si="29"/>
        <v>0.01</v>
      </c>
      <c r="F155" s="634"/>
      <c r="G155" s="21">
        <f t="shared" si="30"/>
        <v>0.04</v>
      </c>
      <c r="H155" s="634"/>
      <c r="I155" s="21">
        <f t="shared" si="31"/>
        <v>0.06</v>
      </c>
      <c r="J155" s="634"/>
      <c r="K155" s="21">
        <f t="shared" si="32"/>
        <v>1</v>
      </c>
      <c r="L155" s="634"/>
      <c r="M155" s="21">
        <f t="shared" si="33"/>
        <v>1</v>
      </c>
      <c r="N155" s="634"/>
      <c r="O155" s="21">
        <f t="shared" si="34"/>
        <v>1</v>
      </c>
      <c r="P155" s="634"/>
      <c r="Q155" s="21">
        <f t="shared" si="35"/>
        <v>1</v>
      </c>
      <c r="R155" s="21">
        <f t="shared" si="36"/>
        <v>0</v>
      </c>
      <c r="S155" s="308">
        <f t="shared" si="27"/>
        <v>0</v>
      </c>
    </row>
    <row r="156" spans="1:19">
      <c r="A156" s="142"/>
      <c r="B156" s="52"/>
      <c r="C156" s="21">
        <f t="shared" si="28"/>
        <v>1</v>
      </c>
      <c r="D156" s="634"/>
      <c r="E156" s="21">
        <f t="shared" si="29"/>
        <v>0.01</v>
      </c>
      <c r="F156" s="634"/>
      <c r="G156" s="21">
        <f t="shared" si="30"/>
        <v>0.04</v>
      </c>
      <c r="H156" s="634"/>
      <c r="I156" s="21">
        <f t="shared" si="31"/>
        <v>0.06</v>
      </c>
      <c r="J156" s="634"/>
      <c r="K156" s="21">
        <f t="shared" si="32"/>
        <v>1</v>
      </c>
      <c r="L156" s="634"/>
      <c r="M156" s="21">
        <f t="shared" si="33"/>
        <v>1</v>
      </c>
      <c r="N156" s="634"/>
      <c r="O156" s="21">
        <f t="shared" si="34"/>
        <v>1</v>
      </c>
      <c r="P156" s="634"/>
      <c r="Q156" s="21">
        <f t="shared" si="35"/>
        <v>1</v>
      </c>
      <c r="R156" s="21">
        <f t="shared" si="36"/>
        <v>0</v>
      </c>
      <c r="S156" s="308">
        <f t="shared" si="27"/>
        <v>0</v>
      </c>
    </row>
    <row r="157" spans="1:19">
      <c r="A157" s="142"/>
      <c r="B157" s="52"/>
      <c r="C157" s="21">
        <f t="shared" si="28"/>
        <v>1</v>
      </c>
      <c r="D157" s="634"/>
      <c r="E157" s="21">
        <f t="shared" si="29"/>
        <v>0.01</v>
      </c>
      <c r="F157" s="634"/>
      <c r="G157" s="21">
        <f t="shared" si="30"/>
        <v>0.04</v>
      </c>
      <c r="H157" s="634"/>
      <c r="I157" s="21">
        <f t="shared" si="31"/>
        <v>0.06</v>
      </c>
      <c r="J157" s="634"/>
      <c r="K157" s="21">
        <f t="shared" si="32"/>
        <v>1</v>
      </c>
      <c r="L157" s="634"/>
      <c r="M157" s="21">
        <f t="shared" si="33"/>
        <v>1</v>
      </c>
      <c r="N157" s="634"/>
      <c r="O157" s="21">
        <f t="shared" si="34"/>
        <v>1</v>
      </c>
      <c r="P157" s="634"/>
      <c r="Q157" s="21">
        <f t="shared" si="35"/>
        <v>1</v>
      </c>
      <c r="R157" s="21">
        <f t="shared" si="36"/>
        <v>0</v>
      </c>
      <c r="S157" s="308">
        <f t="shared" si="27"/>
        <v>0</v>
      </c>
    </row>
    <row r="158" spans="1:19">
      <c r="A158" s="142"/>
      <c r="B158" s="52"/>
      <c r="C158" s="21">
        <f t="shared" si="28"/>
        <v>1</v>
      </c>
      <c r="D158" s="634"/>
      <c r="E158" s="21">
        <f t="shared" si="29"/>
        <v>0.01</v>
      </c>
      <c r="F158" s="634"/>
      <c r="G158" s="21">
        <f t="shared" si="30"/>
        <v>0.04</v>
      </c>
      <c r="H158" s="634"/>
      <c r="I158" s="21">
        <f t="shared" si="31"/>
        <v>0.06</v>
      </c>
      <c r="J158" s="634"/>
      <c r="K158" s="21">
        <f t="shared" si="32"/>
        <v>1</v>
      </c>
      <c r="L158" s="634"/>
      <c r="M158" s="21">
        <f t="shared" si="33"/>
        <v>1</v>
      </c>
      <c r="N158" s="634"/>
      <c r="O158" s="21">
        <f t="shared" si="34"/>
        <v>1</v>
      </c>
      <c r="P158" s="634"/>
      <c r="Q158" s="21">
        <f t="shared" si="35"/>
        <v>1</v>
      </c>
      <c r="R158" s="21">
        <f t="shared" si="36"/>
        <v>0</v>
      </c>
      <c r="S158" s="308">
        <f t="shared" si="27"/>
        <v>0</v>
      </c>
    </row>
    <row r="159" spans="1:19">
      <c r="A159" s="142"/>
      <c r="B159" s="52"/>
      <c r="C159" s="21">
        <f t="shared" si="28"/>
        <v>1</v>
      </c>
      <c r="D159" s="634"/>
      <c r="E159" s="21">
        <f t="shared" si="29"/>
        <v>0.01</v>
      </c>
      <c r="F159" s="634"/>
      <c r="G159" s="21">
        <f t="shared" si="30"/>
        <v>0.04</v>
      </c>
      <c r="H159" s="634"/>
      <c r="I159" s="21">
        <f t="shared" si="31"/>
        <v>0.06</v>
      </c>
      <c r="J159" s="634"/>
      <c r="K159" s="21">
        <f t="shared" si="32"/>
        <v>1</v>
      </c>
      <c r="L159" s="634"/>
      <c r="M159" s="21">
        <f t="shared" si="33"/>
        <v>1</v>
      </c>
      <c r="N159" s="634"/>
      <c r="O159" s="21">
        <f t="shared" si="34"/>
        <v>1</v>
      </c>
      <c r="P159" s="634"/>
      <c r="Q159" s="21">
        <f t="shared" si="35"/>
        <v>1</v>
      </c>
      <c r="R159" s="21">
        <f t="shared" si="36"/>
        <v>0</v>
      </c>
      <c r="S159" s="308">
        <f t="shared" si="27"/>
        <v>0</v>
      </c>
    </row>
    <row r="160" spans="1:19">
      <c r="A160" s="142"/>
      <c r="B160" s="52"/>
      <c r="C160" s="21">
        <f t="shared" si="28"/>
        <v>1</v>
      </c>
      <c r="D160" s="634"/>
      <c r="E160" s="21">
        <f t="shared" si="29"/>
        <v>0.01</v>
      </c>
      <c r="F160" s="634"/>
      <c r="G160" s="21">
        <f t="shared" si="30"/>
        <v>0.04</v>
      </c>
      <c r="H160" s="634"/>
      <c r="I160" s="21">
        <f t="shared" si="31"/>
        <v>0.06</v>
      </c>
      <c r="J160" s="634"/>
      <c r="K160" s="21">
        <f t="shared" si="32"/>
        <v>1</v>
      </c>
      <c r="L160" s="634"/>
      <c r="M160" s="21">
        <f t="shared" si="33"/>
        <v>1</v>
      </c>
      <c r="N160" s="634"/>
      <c r="O160" s="21">
        <f t="shared" si="34"/>
        <v>1</v>
      </c>
      <c r="P160" s="634"/>
      <c r="Q160" s="21">
        <f t="shared" si="35"/>
        <v>1</v>
      </c>
      <c r="R160" s="21">
        <f t="shared" si="36"/>
        <v>0</v>
      </c>
      <c r="S160" s="308">
        <f t="shared" si="27"/>
        <v>0</v>
      </c>
    </row>
    <row r="161" spans="1:19">
      <c r="A161" s="142"/>
      <c r="B161" s="52"/>
      <c r="C161" s="21">
        <f t="shared" si="28"/>
        <v>1</v>
      </c>
      <c r="D161" s="634"/>
      <c r="E161" s="21">
        <f t="shared" si="29"/>
        <v>0.01</v>
      </c>
      <c r="F161" s="634"/>
      <c r="G161" s="21">
        <f t="shared" si="30"/>
        <v>0.04</v>
      </c>
      <c r="H161" s="634"/>
      <c r="I161" s="21">
        <f t="shared" si="31"/>
        <v>0.06</v>
      </c>
      <c r="J161" s="634"/>
      <c r="K161" s="21">
        <f t="shared" si="32"/>
        <v>1</v>
      </c>
      <c r="L161" s="634"/>
      <c r="M161" s="21">
        <f t="shared" si="33"/>
        <v>1</v>
      </c>
      <c r="N161" s="634"/>
      <c r="O161" s="21">
        <f t="shared" si="34"/>
        <v>1</v>
      </c>
      <c r="P161" s="634"/>
      <c r="Q161" s="21">
        <f t="shared" si="35"/>
        <v>1</v>
      </c>
      <c r="R161" s="21">
        <f t="shared" si="36"/>
        <v>0</v>
      </c>
      <c r="S161" s="308">
        <f t="shared" si="27"/>
        <v>0</v>
      </c>
    </row>
    <row r="162" spans="1:19">
      <c r="A162" s="142"/>
      <c r="B162" s="52"/>
      <c r="C162" s="21">
        <f t="shared" si="28"/>
        <v>1</v>
      </c>
      <c r="D162" s="634"/>
      <c r="E162" s="21">
        <f t="shared" si="29"/>
        <v>0.01</v>
      </c>
      <c r="F162" s="634"/>
      <c r="G162" s="21">
        <f t="shared" si="30"/>
        <v>0.04</v>
      </c>
      <c r="H162" s="634"/>
      <c r="I162" s="21">
        <f t="shared" si="31"/>
        <v>0.06</v>
      </c>
      <c r="J162" s="634"/>
      <c r="K162" s="21">
        <f t="shared" si="32"/>
        <v>1</v>
      </c>
      <c r="L162" s="634"/>
      <c r="M162" s="21">
        <f t="shared" si="33"/>
        <v>1</v>
      </c>
      <c r="N162" s="634"/>
      <c r="O162" s="21">
        <f t="shared" si="34"/>
        <v>1</v>
      </c>
      <c r="P162" s="634"/>
      <c r="Q162" s="21">
        <f t="shared" si="35"/>
        <v>1</v>
      </c>
      <c r="R162" s="21">
        <f t="shared" si="36"/>
        <v>0</v>
      </c>
      <c r="S162" s="308">
        <f t="shared" si="27"/>
        <v>0</v>
      </c>
    </row>
    <row r="163" spans="1:19">
      <c r="A163" s="142"/>
      <c r="B163" s="52"/>
      <c r="C163" s="21">
        <f t="shared" si="28"/>
        <v>1</v>
      </c>
      <c r="D163" s="634"/>
      <c r="E163" s="21">
        <f t="shared" si="29"/>
        <v>0.01</v>
      </c>
      <c r="F163" s="634"/>
      <c r="G163" s="21">
        <f t="shared" si="30"/>
        <v>0.04</v>
      </c>
      <c r="H163" s="634"/>
      <c r="I163" s="21">
        <f t="shared" si="31"/>
        <v>0.06</v>
      </c>
      <c r="J163" s="634"/>
      <c r="K163" s="21">
        <f t="shared" si="32"/>
        <v>1</v>
      </c>
      <c r="L163" s="634"/>
      <c r="M163" s="21">
        <f t="shared" si="33"/>
        <v>1</v>
      </c>
      <c r="N163" s="634"/>
      <c r="O163" s="21">
        <f t="shared" si="34"/>
        <v>1</v>
      </c>
      <c r="P163" s="634"/>
      <c r="Q163" s="21">
        <f t="shared" si="35"/>
        <v>1</v>
      </c>
      <c r="R163" s="21">
        <f t="shared" si="36"/>
        <v>0</v>
      </c>
      <c r="S163" s="308">
        <f t="shared" si="27"/>
        <v>0</v>
      </c>
    </row>
    <row r="164" spans="1:19">
      <c r="A164" s="142"/>
      <c r="B164" s="52"/>
      <c r="C164" s="21">
        <f t="shared" si="28"/>
        <v>1</v>
      </c>
      <c r="D164" s="634"/>
      <c r="E164" s="21">
        <f t="shared" si="29"/>
        <v>0.01</v>
      </c>
      <c r="F164" s="634"/>
      <c r="G164" s="21">
        <f t="shared" si="30"/>
        <v>0.04</v>
      </c>
      <c r="H164" s="634"/>
      <c r="I164" s="21">
        <f t="shared" si="31"/>
        <v>0.06</v>
      </c>
      <c r="J164" s="634"/>
      <c r="K164" s="21">
        <f t="shared" si="32"/>
        <v>1</v>
      </c>
      <c r="L164" s="634"/>
      <c r="M164" s="21">
        <f t="shared" si="33"/>
        <v>1</v>
      </c>
      <c r="N164" s="634"/>
      <c r="O164" s="21">
        <f t="shared" si="34"/>
        <v>1</v>
      </c>
      <c r="P164" s="634"/>
      <c r="Q164" s="21">
        <f t="shared" si="35"/>
        <v>1</v>
      </c>
      <c r="R164" s="21">
        <f t="shared" si="36"/>
        <v>0</v>
      </c>
      <c r="S164" s="308">
        <f t="shared" si="27"/>
        <v>0</v>
      </c>
    </row>
    <row r="165" spans="1:19">
      <c r="A165" s="142"/>
      <c r="B165" s="52"/>
      <c r="C165" s="21">
        <f t="shared" si="28"/>
        <v>1</v>
      </c>
      <c r="D165" s="634"/>
      <c r="E165" s="21">
        <f t="shared" si="29"/>
        <v>0.01</v>
      </c>
      <c r="F165" s="634"/>
      <c r="G165" s="21">
        <f t="shared" si="30"/>
        <v>0.04</v>
      </c>
      <c r="H165" s="634"/>
      <c r="I165" s="21">
        <f t="shared" si="31"/>
        <v>0.06</v>
      </c>
      <c r="J165" s="634"/>
      <c r="K165" s="21">
        <f t="shared" si="32"/>
        <v>1</v>
      </c>
      <c r="L165" s="634"/>
      <c r="M165" s="21">
        <f t="shared" si="33"/>
        <v>1</v>
      </c>
      <c r="N165" s="634"/>
      <c r="O165" s="21">
        <f t="shared" si="34"/>
        <v>1</v>
      </c>
      <c r="P165" s="634"/>
      <c r="Q165" s="21">
        <f t="shared" si="35"/>
        <v>1</v>
      </c>
      <c r="R165" s="21">
        <f t="shared" si="36"/>
        <v>0</v>
      </c>
      <c r="S165" s="308">
        <f t="shared" si="27"/>
        <v>0</v>
      </c>
    </row>
    <row r="166" spans="1:19">
      <c r="A166" s="142"/>
      <c r="B166" s="52"/>
      <c r="C166" s="21">
        <f t="shared" si="28"/>
        <v>1</v>
      </c>
      <c r="D166" s="634"/>
      <c r="E166" s="21">
        <f t="shared" si="29"/>
        <v>0.01</v>
      </c>
      <c r="F166" s="634"/>
      <c r="G166" s="21">
        <f t="shared" si="30"/>
        <v>0.04</v>
      </c>
      <c r="H166" s="634"/>
      <c r="I166" s="21">
        <f t="shared" si="31"/>
        <v>0.06</v>
      </c>
      <c r="J166" s="634"/>
      <c r="K166" s="21">
        <f t="shared" si="32"/>
        <v>1</v>
      </c>
      <c r="L166" s="634"/>
      <c r="M166" s="21">
        <f t="shared" si="33"/>
        <v>1</v>
      </c>
      <c r="N166" s="634"/>
      <c r="O166" s="21">
        <f t="shared" si="34"/>
        <v>1</v>
      </c>
      <c r="P166" s="634"/>
      <c r="Q166" s="21">
        <f t="shared" si="35"/>
        <v>1</v>
      </c>
      <c r="R166" s="21">
        <f t="shared" si="36"/>
        <v>0</v>
      </c>
      <c r="S166" s="308">
        <f t="shared" si="27"/>
        <v>0</v>
      </c>
    </row>
    <row r="167" spans="1:19">
      <c r="A167" s="142"/>
      <c r="B167" s="52"/>
      <c r="C167" s="21">
        <f t="shared" si="28"/>
        <v>1</v>
      </c>
      <c r="D167" s="634"/>
      <c r="E167" s="21">
        <f t="shared" si="29"/>
        <v>0.01</v>
      </c>
      <c r="F167" s="634"/>
      <c r="G167" s="21">
        <f t="shared" si="30"/>
        <v>0.04</v>
      </c>
      <c r="H167" s="634"/>
      <c r="I167" s="21">
        <f t="shared" si="31"/>
        <v>0.06</v>
      </c>
      <c r="J167" s="634"/>
      <c r="K167" s="21">
        <f t="shared" si="32"/>
        <v>1</v>
      </c>
      <c r="L167" s="634"/>
      <c r="M167" s="21">
        <f t="shared" si="33"/>
        <v>1</v>
      </c>
      <c r="N167" s="634"/>
      <c r="O167" s="21">
        <f t="shared" si="34"/>
        <v>1</v>
      </c>
      <c r="P167" s="634"/>
      <c r="Q167" s="21">
        <f t="shared" si="35"/>
        <v>1</v>
      </c>
      <c r="R167" s="21">
        <f t="shared" si="36"/>
        <v>0</v>
      </c>
      <c r="S167" s="308">
        <f t="shared" si="27"/>
        <v>0</v>
      </c>
    </row>
    <row r="168" spans="1:19">
      <c r="A168" s="142"/>
      <c r="B168" s="52"/>
      <c r="C168" s="21">
        <f t="shared" si="28"/>
        <v>1</v>
      </c>
      <c r="D168" s="634"/>
      <c r="E168" s="21">
        <f t="shared" si="29"/>
        <v>0.01</v>
      </c>
      <c r="F168" s="634"/>
      <c r="G168" s="21">
        <f t="shared" si="30"/>
        <v>0.04</v>
      </c>
      <c r="H168" s="634"/>
      <c r="I168" s="21">
        <f t="shared" si="31"/>
        <v>0.06</v>
      </c>
      <c r="J168" s="634"/>
      <c r="K168" s="21">
        <f t="shared" si="32"/>
        <v>1</v>
      </c>
      <c r="L168" s="634"/>
      <c r="M168" s="21">
        <f t="shared" si="33"/>
        <v>1</v>
      </c>
      <c r="N168" s="634"/>
      <c r="O168" s="21">
        <f t="shared" si="34"/>
        <v>1</v>
      </c>
      <c r="P168" s="634"/>
      <c r="Q168" s="21">
        <f t="shared" si="35"/>
        <v>1</v>
      </c>
      <c r="R168" s="21">
        <f t="shared" si="36"/>
        <v>0</v>
      </c>
      <c r="S168" s="308">
        <f t="shared" si="27"/>
        <v>0</v>
      </c>
    </row>
    <row r="169" spans="1:19">
      <c r="A169" s="142"/>
      <c r="B169" s="52"/>
      <c r="C169" s="21">
        <f t="shared" si="28"/>
        <v>1</v>
      </c>
      <c r="D169" s="634"/>
      <c r="E169" s="21">
        <f t="shared" si="29"/>
        <v>0.01</v>
      </c>
      <c r="F169" s="634"/>
      <c r="G169" s="21">
        <f t="shared" si="30"/>
        <v>0.04</v>
      </c>
      <c r="H169" s="634"/>
      <c r="I169" s="21">
        <f t="shared" si="31"/>
        <v>0.06</v>
      </c>
      <c r="J169" s="634"/>
      <c r="K169" s="21">
        <f t="shared" si="32"/>
        <v>1</v>
      </c>
      <c r="L169" s="634"/>
      <c r="M169" s="21">
        <f t="shared" si="33"/>
        <v>1</v>
      </c>
      <c r="N169" s="634"/>
      <c r="O169" s="21">
        <f t="shared" si="34"/>
        <v>1</v>
      </c>
      <c r="P169" s="634"/>
      <c r="Q169" s="21">
        <f t="shared" si="35"/>
        <v>1</v>
      </c>
      <c r="R169" s="21">
        <f t="shared" si="36"/>
        <v>0</v>
      </c>
      <c r="S169" s="308">
        <f t="shared" si="27"/>
        <v>0</v>
      </c>
    </row>
    <row r="170" spans="1:19">
      <c r="A170" s="142"/>
      <c r="B170" s="52"/>
      <c r="C170" s="21">
        <f t="shared" si="28"/>
        <v>1</v>
      </c>
      <c r="D170" s="634"/>
      <c r="E170" s="21">
        <f t="shared" si="29"/>
        <v>0.01</v>
      </c>
      <c r="F170" s="634"/>
      <c r="G170" s="21">
        <f t="shared" si="30"/>
        <v>0.04</v>
      </c>
      <c r="H170" s="634"/>
      <c r="I170" s="21">
        <f t="shared" si="31"/>
        <v>0.06</v>
      </c>
      <c r="J170" s="634"/>
      <c r="K170" s="21">
        <f t="shared" si="32"/>
        <v>1</v>
      </c>
      <c r="L170" s="634"/>
      <c r="M170" s="21">
        <f t="shared" si="33"/>
        <v>1</v>
      </c>
      <c r="N170" s="634"/>
      <c r="O170" s="21">
        <f t="shared" si="34"/>
        <v>1</v>
      </c>
      <c r="P170" s="634"/>
      <c r="Q170" s="21">
        <f t="shared" si="35"/>
        <v>1</v>
      </c>
      <c r="R170" s="21">
        <f t="shared" si="36"/>
        <v>0</v>
      </c>
      <c r="S170" s="308">
        <f t="shared" si="27"/>
        <v>0</v>
      </c>
    </row>
    <row r="171" spans="1:19">
      <c r="A171" s="142"/>
      <c r="B171" s="52"/>
      <c r="C171" s="21">
        <f t="shared" si="28"/>
        <v>1</v>
      </c>
      <c r="D171" s="634"/>
      <c r="E171" s="21">
        <f t="shared" si="29"/>
        <v>0.01</v>
      </c>
      <c r="F171" s="634"/>
      <c r="G171" s="21">
        <f t="shared" si="30"/>
        <v>0.04</v>
      </c>
      <c r="H171" s="634"/>
      <c r="I171" s="21">
        <f t="shared" si="31"/>
        <v>0.06</v>
      </c>
      <c r="J171" s="634"/>
      <c r="K171" s="21">
        <f t="shared" si="32"/>
        <v>1</v>
      </c>
      <c r="L171" s="634"/>
      <c r="M171" s="21">
        <f t="shared" si="33"/>
        <v>1</v>
      </c>
      <c r="N171" s="634"/>
      <c r="O171" s="21">
        <f t="shared" si="34"/>
        <v>1</v>
      </c>
      <c r="P171" s="634"/>
      <c r="Q171" s="21">
        <f t="shared" si="35"/>
        <v>1</v>
      </c>
      <c r="R171" s="21">
        <f t="shared" si="36"/>
        <v>0</v>
      </c>
      <c r="S171" s="308">
        <f t="shared" si="27"/>
        <v>0</v>
      </c>
    </row>
    <row r="172" spans="1:19">
      <c r="A172" s="142"/>
      <c r="B172" s="52"/>
      <c r="C172" s="21">
        <f t="shared" si="28"/>
        <v>1</v>
      </c>
      <c r="D172" s="634"/>
      <c r="E172" s="21">
        <f t="shared" si="29"/>
        <v>0.01</v>
      </c>
      <c r="F172" s="634"/>
      <c r="G172" s="21">
        <f t="shared" si="30"/>
        <v>0.04</v>
      </c>
      <c r="H172" s="634"/>
      <c r="I172" s="21">
        <f t="shared" si="31"/>
        <v>0.06</v>
      </c>
      <c r="J172" s="634"/>
      <c r="K172" s="21">
        <f t="shared" si="32"/>
        <v>1</v>
      </c>
      <c r="L172" s="634"/>
      <c r="M172" s="21">
        <f t="shared" si="33"/>
        <v>1</v>
      </c>
      <c r="N172" s="634"/>
      <c r="O172" s="21">
        <f t="shared" si="34"/>
        <v>1</v>
      </c>
      <c r="P172" s="634"/>
      <c r="Q172" s="21">
        <f t="shared" si="35"/>
        <v>1</v>
      </c>
      <c r="R172" s="21">
        <f t="shared" si="36"/>
        <v>0</v>
      </c>
      <c r="S172" s="308">
        <f t="shared" si="27"/>
        <v>0</v>
      </c>
    </row>
    <row r="173" spans="1:19">
      <c r="A173" s="142"/>
      <c r="B173" s="52"/>
      <c r="C173" s="21">
        <f t="shared" si="28"/>
        <v>1</v>
      </c>
      <c r="D173" s="634"/>
      <c r="E173" s="21">
        <f t="shared" si="29"/>
        <v>0.01</v>
      </c>
      <c r="F173" s="634"/>
      <c r="G173" s="21">
        <f t="shared" si="30"/>
        <v>0.04</v>
      </c>
      <c r="H173" s="634"/>
      <c r="I173" s="21">
        <f t="shared" si="31"/>
        <v>0.06</v>
      </c>
      <c r="J173" s="634"/>
      <c r="K173" s="21">
        <f t="shared" si="32"/>
        <v>1</v>
      </c>
      <c r="L173" s="634"/>
      <c r="M173" s="21">
        <f t="shared" si="33"/>
        <v>1</v>
      </c>
      <c r="N173" s="634"/>
      <c r="O173" s="21">
        <f t="shared" si="34"/>
        <v>1</v>
      </c>
      <c r="P173" s="634"/>
      <c r="Q173" s="21">
        <f t="shared" si="35"/>
        <v>1</v>
      </c>
      <c r="R173" s="21">
        <f t="shared" si="36"/>
        <v>0</v>
      </c>
      <c r="S173" s="308">
        <f t="shared" si="27"/>
        <v>0</v>
      </c>
    </row>
    <row r="174" spans="1:19">
      <c r="A174" s="142"/>
      <c r="B174" s="52"/>
      <c r="C174" s="21">
        <f t="shared" si="28"/>
        <v>1</v>
      </c>
      <c r="D174" s="634"/>
      <c r="E174" s="21">
        <f t="shared" si="29"/>
        <v>0.01</v>
      </c>
      <c r="F174" s="634"/>
      <c r="G174" s="21">
        <f t="shared" si="30"/>
        <v>0.04</v>
      </c>
      <c r="H174" s="634"/>
      <c r="I174" s="21">
        <f t="shared" si="31"/>
        <v>0.06</v>
      </c>
      <c r="J174" s="634"/>
      <c r="K174" s="21">
        <f t="shared" si="32"/>
        <v>1</v>
      </c>
      <c r="L174" s="634"/>
      <c r="M174" s="21">
        <f t="shared" si="33"/>
        <v>1</v>
      </c>
      <c r="N174" s="634"/>
      <c r="O174" s="21">
        <f t="shared" si="34"/>
        <v>1</v>
      </c>
      <c r="P174" s="634"/>
      <c r="Q174" s="21">
        <f t="shared" si="35"/>
        <v>1</v>
      </c>
      <c r="R174" s="21">
        <f t="shared" si="36"/>
        <v>0</v>
      </c>
      <c r="S174" s="308">
        <f t="shared" si="27"/>
        <v>0</v>
      </c>
    </row>
    <row r="175" spans="1:19">
      <c r="A175" s="142"/>
      <c r="B175" s="52"/>
      <c r="C175" s="21">
        <f t="shared" si="28"/>
        <v>1</v>
      </c>
      <c r="D175" s="634"/>
      <c r="E175" s="21">
        <f t="shared" si="29"/>
        <v>0.01</v>
      </c>
      <c r="F175" s="634"/>
      <c r="G175" s="21">
        <f t="shared" si="30"/>
        <v>0.04</v>
      </c>
      <c r="H175" s="634"/>
      <c r="I175" s="21">
        <f t="shared" si="31"/>
        <v>0.06</v>
      </c>
      <c r="J175" s="634"/>
      <c r="K175" s="21">
        <f t="shared" si="32"/>
        <v>1</v>
      </c>
      <c r="L175" s="634"/>
      <c r="M175" s="21">
        <f t="shared" si="33"/>
        <v>1</v>
      </c>
      <c r="N175" s="634"/>
      <c r="O175" s="21">
        <f t="shared" si="34"/>
        <v>1</v>
      </c>
      <c r="P175" s="634"/>
      <c r="Q175" s="21">
        <f t="shared" si="35"/>
        <v>1</v>
      </c>
      <c r="R175" s="21">
        <f t="shared" si="36"/>
        <v>0</v>
      </c>
      <c r="S175" s="308">
        <f t="shared" si="27"/>
        <v>0</v>
      </c>
    </row>
    <row r="176" spans="1:19">
      <c r="A176" s="142"/>
      <c r="B176" s="52"/>
      <c r="C176" s="21">
        <f t="shared" si="28"/>
        <v>1</v>
      </c>
      <c r="D176" s="634"/>
      <c r="E176" s="21">
        <f t="shared" si="29"/>
        <v>0.01</v>
      </c>
      <c r="F176" s="634"/>
      <c r="G176" s="21">
        <f t="shared" si="30"/>
        <v>0.04</v>
      </c>
      <c r="H176" s="634"/>
      <c r="I176" s="21">
        <f t="shared" si="31"/>
        <v>0.06</v>
      </c>
      <c r="J176" s="634"/>
      <c r="K176" s="21">
        <f t="shared" si="32"/>
        <v>1</v>
      </c>
      <c r="L176" s="634"/>
      <c r="M176" s="21">
        <f t="shared" si="33"/>
        <v>1</v>
      </c>
      <c r="N176" s="634"/>
      <c r="O176" s="21">
        <f t="shared" si="34"/>
        <v>1</v>
      </c>
      <c r="P176" s="634"/>
      <c r="Q176" s="21">
        <f t="shared" si="35"/>
        <v>1</v>
      </c>
      <c r="R176" s="21">
        <f t="shared" si="36"/>
        <v>0</v>
      </c>
      <c r="S176" s="308">
        <f t="shared" si="27"/>
        <v>0</v>
      </c>
    </row>
    <row r="177" spans="1:19">
      <c r="A177" s="142"/>
      <c r="B177" s="52"/>
      <c r="C177" s="21">
        <f t="shared" si="28"/>
        <v>1</v>
      </c>
      <c r="D177" s="634"/>
      <c r="E177" s="21">
        <f t="shared" si="29"/>
        <v>0.01</v>
      </c>
      <c r="F177" s="634"/>
      <c r="G177" s="21">
        <f t="shared" si="30"/>
        <v>0.04</v>
      </c>
      <c r="H177" s="634"/>
      <c r="I177" s="21">
        <f t="shared" si="31"/>
        <v>0.06</v>
      </c>
      <c r="J177" s="634"/>
      <c r="K177" s="21">
        <f t="shared" si="32"/>
        <v>1</v>
      </c>
      <c r="L177" s="634"/>
      <c r="M177" s="21">
        <f t="shared" si="33"/>
        <v>1</v>
      </c>
      <c r="N177" s="634"/>
      <c r="O177" s="21">
        <f t="shared" si="34"/>
        <v>1</v>
      </c>
      <c r="P177" s="634"/>
      <c r="Q177" s="21">
        <f t="shared" si="35"/>
        <v>1</v>
      </c>
      <c r="R177" s="21">
        <f t="shared" si="36"/>
        <v>0</v>
      </c>
      <c r="S177" s="308">
        <f t="shared" si="27"/>
        <v>0</v>
      </c>
    </row>
    <row r="178" spans="1:19">
      <c r="A178" s="142"/>
      <c r="B178" s="52"/>
      <c r="C178" s="21">
        <f t="shared" si="28"/>
        <v>1</v>
      </c>
      <c r="D178" s="634"/>
      <c r="E178" s="21">
        <f t="shared" si="29"/>
        <v>0.01</v>
      </c>
      <c r="F178" s="634"/>
      <c r="G178" s="21">
        <f t="shared" si="30"/>
        <v>0.04</v>
      </c>
      <c r="H178" s="634"/>
      <c r="I178" s="21">
        <f t="shared" si="31"/>
        <v>0.06</v>
      </c>
      <c r="J178" s="634"/>
      <c r="K178" s="21">
        <f t="shared" si="32"/>
        <v>1</v>
      </c>
      <c r="L178" s="634"/>
      <c r="M178" s="21">
        <f t="shared" si="33"/>
        <v>1</v>
      </c>
      <c r="N178" s="634"/>
      <c r="O178" s="21">
        <f t="shared" si="34"/>
        <v>1</v>
      </c>
      <c r="P178" s="634"/>
      <c r="Q178" s="21">
        <f t="shared" si="35"/>
        <v>1</v>
      </c>
      <c r="R178" s="21">
        <f t="shared" si="36"/>
        <v>0</v>
      </c>
      <c r="S178" s="308">
        <f t="shared" si="27"/>
        <v>0</v>
      </c>
    </row>
    <row r="179" spans="1:19">
      <c r="A179" s="142"/>
      <c r="B179" s="52"/>
      <c r="C179" s="21">
        <f t="shared" si="28"/>
        <v>1</v>
      </c>
      <c r="D179" s="634"/>
      <c r="E179" s="21">
        <f t="shared" si="29"/>
        <v>0.01</v>
      </c>
      <c r="F179" s="634"/>
      <c r="G179" s="21">
        <f t="shared" si="30"/>
        <v>0.04</v>
      </c>
      <c r="H179" s="634"/>
      <c r="I179" s="21">
        <f t="shared" si="31"/>
        <v>0.06</v>
      </c>
      <c r="J179" s="634"/>
      <c r="K179" s="21">
        <f t="shared" si="32"/>
        <v>1</v>
      </c>
      <c r="L179" s="634"/>
      <c r="M179" s="21">
        <f t="shared" si="33"/>
        <v>1</v>
      </c>
      <c r="N179" s="634"/>
      <c r="O179" s="21">
        <f t="shared" si="34"/>
        <v>1</v>
      </c>
      <c r="P179" s="634"/>
      <c r="Q179" s="21">
        <f t="shared" si="35"/>
        <v>1</v>
      </c>
      <c r="R179" s="21">
        <f t="shared" si="36"/>
        <v>0</v>
      </c>
      <c r="S179" s="308">
        <f t="shared" si="27"/>
        <v>0</v>
      </c>
    </row>
    <row r="180" spans="1:19">
      <c r="A180" s="142"/>
      <c r="B180" s="52"/>
      <c r="C180" s="21">
        <f t="shared" si="28"/>
        <v>1</v>
      </c>
      <c r="D180" s="634"/>
      <c r="E180" s="21">
        <f t="shared" si="29"/>
        <v>0.01</v>
      </c>
      <c r="F180" s="634"/>
      <c r="G180" s="21">
        <f t="shared" si="30"/>
        <v>0.04</v>
      </c>
      <c r="H180" s="634"/>
      <c r="I180" s="21">
        <f t="shared" si="31"/>
        <v>0.06</v>
      </c>
      <c r="J180" s="634"/>
      <c r="K180" s="21">
        <f t="shared" si="32"/>
        <v>1</v>
      </c>
      <c r="L180" s="634"/>
      <c r="M180" s="21">
        <f t="shared" si="33"/>
        <v>1</v>
      </c>
      <c r="N180" s="634"/>
      <c r="O180" s="21">
        <f t="shared" si="34"/>
        <v>1</v>
      </c>
      <c r="P180" s="634"/>
      <c r="Q180" s="21">
        <f t="shared" si="35"/>
        <v>1</v>
      </c>
      <c r="R180" s="21">
        <f t="shared" si="36"/>
        <v>0</v>
      </c>
      <c r="S180" s="308">
        <f t="shared" si="27"/>
        <v>0</v>
      </c>
    </row>
    <row r="181" spans="1:19">
      <c r="A181" s="142"/>
      <c r="B181" s="52"/>
      <c r="C181" s="21">
        <f t="shared" si="28"/>
        <v>1</v>
      </c>
      <c r="D181" s="634"/>
      <c r="E181" s="21">
        <f t="shared" si="29"/>
        <v>0.01</v>
      </c>
      <c r="F181" s="634"/>
      <c r="G181" s="21">
        <f t="shared" si="30"/>
        <v>0.04</v>
      </c>
      <c r="H181" s="634"/>
      <c r="I181" s="21">
        <f t="shared" si="31"/>
        <v>0.06</v>
      </c>
      <c r="J181" s="634"/>
      <c r="K181" s="21">
        <f t="shared" si="32"/>
        <v>1</v>
      </c>
      <c r="L181" s="634"/>
      <c r="M181" s="21">
        <f t="shared" si="33"/>
        <v>1</v>
      </c>
      <c r="N181" s="634"/>
      <c r="O181" s="21">
        <f t="shared" si="34"/>
        <v>1</v>
      </c>
      <c r="P181" s="634"/>
      <c r="Q181" s="21">
        <f t="shared" si="35"/>
        <v>1</v>
      </c>
      <c r="R181" s="21">
        <f t="shared" si="36"/>
        <v>0</v>
      </c>
      <c r="S181" s="308">
        <f t="shared" si="27"/>
        <v>0</v>
      </c>
    </row>
    <row r="182" spans="1:19">
      <c r="A182" s="142"/>
      <c r="B182" s="52"/>
      <c r="C182" s="21">
        <f t="shared" si="28"/>
        <v>1</v>
      </c>
      <c r="D182" s="634"/>
      <c r="E182" s="21">
        <f t="shared" si="29"/>
        <v>0.01</v>
      </c>
      <c r="F182" s="634"/>
      <c r="G182" s="21">
        <f t="shared" si="30"/>
        <v>0.04</v>
      </c>
      <c r="H182" s="634"/>
      <c r="I182" s="21">
        <f t="shared" si="31"/>
        <v>0.06</v>
      </c>
      <c r="J182" s="634"/>
      <c r="K182" s="21">
        <f t="shared" si="32"/>
        <v>1</v>
      </c>
      <c r="L182" s="634"/>
      <c r="M182" s="21">
        <f t="shared" si="33"/>
        <v>1</v>
      </c>
      <c r="N182" s="634"/>
      <c r="O182" s="21">
        <f t="shared" si="34"/>
        <v>1</v>
      </c>
      <c r="P182" s="634"/>
      <c r="Q182" s="21">
        <f t="shared" si="35"/>
        <v>1</v>
      </c>
      <c r="R182" s="21">
        <f t="shared" si="36"/>
        <v>0</v>
      </c>
      <c r="S182" s="308">
        <f t="shared" si="27"/>
        <v>0</v>
      </c>
    </row>
    <row r="183" spans="1:19">
      <c r="A183" s="142"/>
      <c r="B183" s="52"/>
      <c r="C183" s="21">
        <f t="shared" si="28"/>
        <v>1</v>
      </c>
      <c r="D183" s="634"/>
      <c r="E183" s="21">
        <f t="shared" si="29"/>
        <v>0.01</v>
      </c>
      <c r="F183" s="634"/>
      <c r="G183" s="21">
        <f t="shared" si="30"/>
        <v>0.04</v>
      </c>
      <c r="H183" s="634"/>
      <c r="I183" s="21">
        <f t="shared" si="31"/>
        <v>0.06</v>
      </c>
      <c r="J183" s="634"/>
      <c r="K183" s="21">
        <f t="shared" si="32"/>
        <v>1</v>
      </c>
      <c r="L183" s="634"/>
      <c r="M183" s="21">
        <f t="shared" si="33"/>
        <v>1</v>
      </c>
      <c r="N183" s="634"/>
      <c r="O183" s="21">
        <f t="shared" si="34"/>
        <v>1</v>
      </c>
      <c r="P183" s="634"/>
      <c r="Q183" s="21">
        <f t="shared" si="35"/>
        <v>1</v>
      </c>
      <c r="R183" s="21">
        <f t="shared" si="36"/>
        <v>0</v>
      </c>
      <c r="S183" s="308">
        <f t="shared" si="27"/>
        <v>0</v>
      </c>
    </row>
    <row r="184" spans="1:19">
      <c r="A184" s="142"/>
      <c r="B184" s="52"/>
      <c r="C184" s="21">
        <f t="shared" si="28"/>
        <v>1</v>
      </c>
      <c r="D184" s="634"/>
      <c r="E184" s="21">
        <f t="shared" si="29"/>
        <v>0.01</v>
      </c>
      <c r="F184" s="634"/>
      <c r="G184" s="21">
        <f t="shared" si="30"/>
        <v>0.04</v>
      </c>
      <c r="H184" s="634"/>
      <c r="I184" s="21">
        <f t="shared" si="31"/>
        <v>0.06</v>
      </c>
      <c r="J184" s="634"/>
      <c r="K184" s="21">
        <f t="shared" si="32"/>
        <v>1</v>
      </c>
      <c r="L184" s="634"/>
      <c r="M184" s="21">
        <f t="shared" si="33"/>
        <v>1</v>
      </c>
      <c r="N184" s="634"/>
      <c r="O184" s="21">
        <f t="shared" si="34"/>
        <v>1</v>
      </c>
      <c r="P184" s="634"/>
      <c r="Q184" s="21">
        <f t="shared" si="35"/>
        <v>1</v>
      </c>
      <c r="R184" s="21">
        <f t="shared" si="36"/>
        <v>0</v>
      </c>
      <c r="S184" s="308">
        <f t="shared" si="27"/>
        <v>0</v>
      </c>
    </row>
    <row r="185" spans="1:19">
      <c r="A185" s="142"/>
      <c r="B185" s="52"/>
      <c r="C185" s="21">
        <f t="shared" si="28"/>
        <v>1</v>
      </c>
      <c r="D185" s="634"/>
      <c r="E185" s="21">
        <f t="shared" si="29"/>
        <v>0.01</v>
      </c>
      <c r="F185" s="634"/>
      <c r="G185" s="21">
        <f t="shared" si="30"/>
        <v>0.04</v>
      </c>
      <c r="H185" s="634"/>
      <c r="I185" s="21">
        <f t="shared" si="31"/>
        <v>0.06</v>
      </c>
      <c r="J185" s="634"/>
      <c r="K185" s="21">
        <f t="shared" si="32"/>
        <v>1</v>
      </c>
      <c r="L185" s="634"/>
      <c r="M185" s="21">
        <f t="shared" si="33"/>
        <v>1</v>
      </c>
      <c r="N185" s="634"/>
      <c r="O185" s="21">
        <f t="shared" si="34"/>
        <v>1</v>
      </c>
      <c r="P185" s="634"/>
      <c r="Q185" s="21">
        <f t="shared" si="35"/>
        <v>1</v>
      </c>
      <c r="R185" s="21">
        <f t="shared" si="36"/>
        <v>0</v>
      </c>
      <c r="S185" s="308">
        <f t="shared" si="27"/>
        <v>0</v>
      </c>
    </row>
    <row r="186" spans="1:19">
      <c r="A186" s="142"/>
      <c r="B186" s="52"/>
      <c r="C186" s="21">
        <f t="shared" si="28"/>
        <v>1</v>
      </c>
      <c r="D186" s="634"/>
      <c r="E186" s="21">
        <f t="shared" si="29"/>
        <v>0.01</v>
      </c>
      <c r="F186" s="634"/>
      <c r="G186" s="21">
        <f t="shared" si="30"/>
        <v>0.04</v>
      </c>
      <c r="H186" s="634"/>
      <c r="I186" s="21">
        <f t="shared" si="31"/>
        <v>0.06</v>
      </c>
      <c r="J186" s="634"/>
      <c r="K186" s="21">
        <f t="shared" si="32"/>
        <v>1</v>
      </c>
      <c r="L186" s="634"/>
      <c r="M186" s="21">
        <f t="shared" si="33"/>
        <v>1</v>
      </c>
      <c r="N186" s="634"/>
      <c r="O186" s="21">
        <f t="shared" si="34"/>
        <v>1</v>
      </c>
      <c r="P186" s="634"/>
      <c r="Q186" s="21">
        <f t="shared" si="35"/>
        <v>1</v>
      </c>
      <c r="R186" s="21">
        <f t="shared" si="36"/>
        <v>0</v>
      </c>
      <c r="S186" s="308">
        <f t="shared" si="27"/>
        <v>0</v>
      </c>
    </row>
    <row r="187" spans="1:19">
      <c r="A187" s="142"/>
      <c r="B187" s="52"/>
      <c r="C187" s="21">
        <f t="shared" si="28"/>
        <v>1</v>
      </c>
      <c r="D187" s="634"/>
      <c r="E187" s="21">
        <f t="shared" si="29"/>
        <v>0.01</v>
      </c>
      <c r="F187" s="634"/>
      <c r="G187" s="21">
        <f t="shared" si="30"/>
        <v>0.04</v>
      </c>
      <c r="H187" s="634"/>
      <c r="I187" s="21">
        <f t="shared" si="31"/>
        <v>0.06</v>
      </c>
      <c r="J187" s="634"/>
      <c r="K187" s="21">
        <f t="shared" si="32"/>
        <v>1</v>
      </c>
      <c r="L187" s="634"/>
      <c r="M187" s="21">
        <f t="shared" si="33"/>
        <v>1</v>
      </c>
      <c r="N187" s="634"/>
      <c r="O187" s="21">
        <f t="shared" si="34"/>
        <v>1</v>
      </c>
      <c r="P187" s="634"/>
      <c r="Q187" s="21">
        <f t="shared" si="35"/>
        <v>1</v>
      </c>
      <c r="R187" s="21">
        <f t="shared" si="36"/>
        <v>0</v>
      </c>
      <c r="S187" s="308">
        <f t="shared" ref="S187:S222" si="37">ROUND(R187*B187/10000,0)</f>
        <v>0</v>
      </c>
    </row>
    <row r="188" spans="1:19">
      <c r="A188" s="142"/>
      <c r="B188" s="52"/>
      <c r="C188" s="21">
        <f t="shared" si="28"/>
        <v>1</v>
      </c>
      <c r="D188" s="634"/>
      <c r="E188" s="21">
        <f t="shared" si="29"/>
        <v>0.01</v>
      </c>
      <c r="F188" s="634"/>
      <c r="G188" s="21">
        <f t="shared" si="30"/>
        <v>0.04</v>
      </c>
      <c r="H188" s="634"/>
      <c r="I188" s="21">
        <f t="shared" si="31"/>
        <v>0.06</v>
      </c>
      <c r="J188" s="634"/>
      <c r="K188" s="21">
        <f t="shared" si="32"/>
        <v>1</v>
      </c>
      <c r="L188" s="634"/>
      <c r="M188" s="21">
        <f t="shared" si="33"/>
        <v>1</v>
      </c>
      <c r="N188" s="634"/>
      <c r="O188" s="21">
        <f t="shared" si="34"/>
        <v>1</v>
      </c>
      <c r="P188" s="634"/>
      <c r="Q188" s="21">
        <f t="shared" si="35"/>
        <v>1</v>
      </c>
      <c r="R188" s="21">
        <f t="shared" si="36"/>
        <v>0</v>
      </c>
      <c r="S188" s="308">
        <f t="shared" si="37"/>
        <v>0</v>
      </c>
    </row>
    <row r="189" spans="1:19">
      <c r="A189" s="142"/>
      <c r="B189" s="52"/>
      <c r="C189" s="21">
        <f t="shared" si="28"/>
        <v>1</v>
      </c>
      <c r="D189" s="634"/>
      <c r="E189" s="21">
        <f t="shared" si="29"/>
        <v>0.01</v>
      </c>
      <c r="F189" s="634"/>
      <c r="G189" s="21">
        <f t="shared" si="30"/>
        <v>0.04</v>
      </c>
      <c r="H189" s="634"/>
      <c r="I189" s="21">
        <f t="shared" si="31"/>
        <v>0.06</v>
      </c>
      <c r="J189" s="634"/>
      <c r="K189" s="21">
        <f t="shared" si="32"/>
        <v>1</v>
      </c>
      <c r="L189" s="634"/>
      <c r="M189" s="21">
        <f t="shared" si="33"/>
        <v>1</v>
      </c>
      <c r="N189" s="634"/>
      <c r="O189" s="21">
        <f t="shared" si="34"/>
        <v>1</v>
      </c>
      <c r="P189" s="634"/>
      <c r="Q189" s="21">
        <f t="shared" si="35"/>
        <v>1</v>
      </c>
      <c r="R189" s="21">
        <f t="shared" si="36"/>
        <v>0</v>
      </c>
      <c r="S189" s="308">
        <f t="shared" si="37"/>
        <v>0</v>
      </c>
    </row>
    <row r="190" spans="1:19">
      <c r="A190" s="142"/>
      <c r="B190" s="52"/>
      <c r="C190" s="21">
        <f t="shared" si="28"/>
        <v>1</v>
      </c>
      <c r="D190" s="634"/>
      <c r="E190" s="21">
        <f t="shared" si="29"/>
        <v>0.01</v>
      </c>
      <c r="F190" s="634"/>
      <c r="G190" s="21">
        <f t="shared" si="30"/>
        <v>0.04</v>
      </c>
      <c r="H190" s="634"/>
      <c r="I190" s="21">
        <f t="shared" si="31"/>
        <v>0.06</v>
      </c>
      <c r="J190" s="634"/>
      <c r="K190" s="21">
        <f t="shared" si="32"/>
        <v>1</v>
      </c>
      <c r="L190" s="634"/>
      <c r="M190" s="21">
        <f t="shared" si="33"/>
        <v>1</v>
      </c>
      <c r="N190" s="634"/>
      <c r="O190" s="21">
        <f t="shared" si="34"/>
        <v>1</v>
      </c>
      <c r="P190" s="634"/>
      <c r="Q190" s="21">
        <f t="shared" si="35"/>
        <v>1</v>
      </c>
      <c r="R190" s="21">
        <f t="shared" si="36"/>
        <v>0</v>
      </c>
      <c r="S190" s="308">
        <f t="shared" si="37"/>
        <v>0</v>
      </c>
    </row>
    <row r="191" spans="1:19">
      <c r="A191" s="142"/>
      <c r="B191" s="52"/>
      <c r="C191" s="21">
        <f t="shared" si="28"/>
        <v>1</v>
      </c>
      <c r="D191" s="634"/>
      <c r="E191" s="21">
        <f t="shared" si="29"/>
        <v>0.01</v>
      </c>
      <c r="F191" s="634"/>
      <c r="G191" s="21">
        <f t="shared" si="30"/>
        <v>0.04</v>
      </c>
      <c r="H191" s="634"/>
      <c r="I191" s="21">
        <f t="shared" si="31"/>
        <v>0.06</v>
      </c>
      <c r="J191" s="634"/>
      <c r="K191" s="21">
        <f t="shared" si="32"/>
        <v>1</v>
      </c>
      <c r="L191" s="634"/>
      <c r="M191" s="21">
        <f t="shared" si="33"/>
        <v>1</v>
      </c>
      <c r="N191" s="634"/>
      <c r="O191" s="21">
        <f t="shared" si="34"/>
        <v>1</v>
      </c>
      <c r="P191" s="634"/>
      <c r="Q191" s="21">
        <f t="shared" si="35"/>
        <v>1</v>
      </c>
      <c r="R191" s="21">
        <f t="shared" si="36"/>
        <v>0</v>
      </c>
      <c r="S191" s="308">
        <f t="shared" si="37"/>
        <v>0</v>
      </c>
    </row>
    <row r="192" spans="1:19">
      <c r="A192" s="142"/>
      <c r="B192" s="52"/>
      <c r="C192" s="21">
        <f t="shared" si="28"/>
        <v>1</v>
      </c>
      <c r="D192" s="634"/>
      <c r="E192" s="21">
        <f t="shared" si="29"/>
        <v>0.01</v>
      </c>
      <c r="F192" s="634"/>
      <c r="G192" s="21">
        <f t="shared" si="30"/>
        <v>0.04</v>
      </c>
      <c r="H192" s="634"/>
      <c r="I192" s="21">
        <f t="shared" si="31"/>
        <v>0.06</v>
      </c>
      <c r="J192" s="634"/>
      <c r="K192" s="21">
        <f t="shared" si="32"/>
        <v>1</v>
      </c>
      <c r="L192" s="634"/>
      <c r="M192" s="21">
        <f t="shared" si="33"/>
        <v>1</v>
      </c>
      <c r="N192" s="634"/>
      <c r="O192" s="21">
        <f t="shared" si="34"/>
        <v>1</v>
      </c>
      <c r="P192" s="634"/>
      <c r="Q192" s="21">
        <f t="shared" si="35"/>
        <v>1</v>
      </c>
      <c r="R192" s="21">
        <f t="shared" si="36"/>
        <v>0</v>
      </c>
      <c r="S192" s="308">
        <f t="shared" si="37"/>
        <v>0</v>
      </c>
    </row>
    <row r="193" spans="1:19">
      <c r="A193" s="142"/>
      <c r="B193" s="52"/>
      <c r="C193" s="21">
        <f t="shared" si="28"/>
        <v>1</v>
      </c>
      <c r="D193" s="634"/>
      <c r="E193" s="21">
        <f t="shared" si="29"/>
        <v>0.01</v>
      </c>
      <c r="F193" s="634"/>
      <c r="G193" s="21">
        <f t="shared" si="30"/>
        <v>0.04</v>
      </c>
      <c r="H193" s="634"/>
      <c r="I193" s="21">
        <f t="shared" si="31"/>
        <v>0.06</v>
      </c>
      <c r="J193" s="634"/>
      <c r="K193" s="21">
        <f t="shared" si="32"/>
        <v>1</v>
      </c>
      <c r="L193" s="634"/>
      <c r="M193" s="21">
        <f t="shared" si="33"/>
        <v>1</v>
      </c>
      <c r="N193" s="634"/>
      <c r="O193" s="21">
        <f t="shared" si="34"/>
        <v>1</v>
      </c>
      <c r="P193" s="634"/>
      <c r="Q193" s="21">
        <f t="shared" si="35"/>
        <v>1</v>
      </c>
      <c r="R193" s="21">
        <f t="shared" si="36"/>
        <v>0</v>
      </c>
      <c r="S193" s="308">
        <f t="shared" si="37"/>
        <v>0</v>
      </c>
    </row>
    <row r="194" spans="1:19">
      <c r="A194" s="142"/>
      <c r="B194" s="52"/>
      <c r="C194" s="21">
        <f t="shared" si="28"/>
        <v>1</v>
      </c>
      <c r="D194" s="634"/>
      <c r="E194" s="21">
        <f t="shared" si="29"/>
        <v>0.01</v>
      </c>
      <c r="F194" s="634"/>
      <c r="G194" s="21">
        <f t="shared" si="30"/>
        <v>0.04</v>
      </c>
      <c r="H194" s="634"/>
      <c r="I194" s="21">
        <f t="shared" si="31"/>
        <v>0.06</v>
      </c>
      <c r="J194" s="634"/>
      <c r="K194" s="21">
        <f t="shared" si="32"/>
        <v>1</v>
      </c>
      <c r="L194" s="634"/>
      <c r="M194" s="21">
        <f t="shared" si="33"/>
        <v>1</v>
      </c>
      <c r="N194" s="634"/>
      <c r="O194" s="21">
        <f t="shared" si="34"/>
        <v>1</v>
      </c>
      <c r="P194" s="634"/>
      <c r="Q194" s="21">
        <f t="shared" si="35"/>
        <v>1</v>
      </c>
      <c r="R194" s="21">
        <f t="shared" si="36"/>
        <v>0</v>
      </c>
      <c r="S194" s="308">
        <f t="shared" si="37"/>
        <v>0</v>
      </c>
    </row>
    <row r="195" spans="1:19">
      <c r="A195" s="142"/>
      <c r="B195" s="52"/>
      <c r="C195" s="21">
        <f t="shared" si="28"/>
        <v>1</v>
      </c>
      <c r="D195" s="634"/>
      <c r="E195" s="21">
        <f t="shared" si="29"/>
        <v>0.01</v>
      </c>
      <c r="F195" s="634"/>
      <c r="G195" s="21">
        <f t="shared" si="30"/>
        <v>0.04</v>
      </c>
      <c r="H195" s="634"/>
      <c r="I195" s="21">
        <f t="shared" si="31"/>
        <v>0.06</v>
      </c>
      <c r="J195" s="634"/>
      <c r="K195" s="21">
        <f t="shared" si="32"/>
        <v>1</v>
      </c>
      <c r="L195" s="634"/>
      <c r="M195" s="21">
        <f t="shared" si="33"/>
        <v>1</v>
      </c>
      <c r="N195" s="634"/>
      <c r="O195" s="21">
        <f t="shared" si="34"/>
        <v>1</v>
      </c>
      <c r="P195" s="634"/>
      <c r="Q195" s="21">
        <f t="shared" si="35"/>
        <v>1</v>
      </c>
      <c r="R195" s="21">
        <f t="shared" si="36"/>
        <v>0</v>
      </c>
      <c r="S195" s="308">
        <f t="shared" si="37"/>
        <v>0</v>
      </c>
    </row>
    <row r="196" spans="1:19">
      <c r="A196" s="142"/>
      <c r="B196" s="52"/>
      <c r="C196" s="21">
        <f t="shared" si="28"/>
        <v>1</v>
      </c>
      <c r="D196" s="634"/>
      <c r="E196" s="21">
        <f t="shared" si="29"/>
        <v>0.01</v>
      </c>
      <c r="F196" s="634"/>
      <c r="G196" s="21">
        <f t="shared" si="30"/>
        <v>0.04</v>
      </c>
      <c r="H196" s="634"/>
      <c r="I196" s="21">
        <f t="shared" si="31"/>
        <v>0.06</v>
      </c>
      <c r="J196" s="634"/>
      <c r="K196" s="21">
        <f t="shared" si="32"/>
        <v>1</v>
      </c>
      <c r="L196" s="634"/>
      <c r="M196" s="21">
        <f t="shared" si="33"/>
        <v>1</v>
      </c>
      <c r="N196" s="634"/>
      <c r="O196" s="21">
        <f t="shared" si="34"/>
        <v>1</v>
      </c>
      <c r="P196" s="634"/>
      <c r="Q196" s="21">
        <f t="shared" si="35"/>
        <v>1</v>
      </c>
      <c r="R196" s="21">
        <f t="shared" si="36"/>
        <v>0</v>
      </c>
      <c r="S196" s="308">
        <f t="shared" si="37"/>
        <v>0</v>
      </c>
    </row>
    <row r="197" spans="1:19">
      <c r="A197" s="142"/>
      <c r="B197" s="52"/>
      <c r="C197" s="21">
        <f t="shared" si="28"/>
        <v>1</v>
      </c>
      <c r="D197" s="634"/>
      <c r="E197" s="21">
        <f t="shared" si="29"/>
        <v>0.01</v>
      </c>
      <c r="F197" s="634"/>
      <c r="G197" s="21">
        <f t="shared" si="30"/>
        <v>0.04</v>
      </c>
      <c r="H197" s="634"/>
      <c r="I197" s="21">
        <f t="shared" si="31"/>
        <v>0.06</v>
      </c>
      <c r="J197" s="634"/>
      <c r="K197" s="21">
        <f t="shared" si="32"/>
        <v>1</v>
      </c>
      <c r="L197" s="634"/>
      <c r="M197" s="21">
        <f t="shared" si="33"/>
        <v>1</v>
      </c>
      <c r="N197" s="634"/>
      <c r="O197" s="21">
        <f t="shared" si="34"/>
        <v>1</v>
      </c>
      <c r="P197" s="634"/>
      <c r="Q197" s="21">
        <f t="shared" si="35"/>
        <v>1</v>
      </c>
      <c r="R197" s="21">
        <f t="shared" si="36"/>
        <v>0</v>
      </c>
      <c r="S197" s="308">
        <f t="shared" si="37"/>
        <v>0</v>
      </c>
    </row>
    <row r="198" spans="1:19">
      <c r="A198" s="142"/>
      <c r="B198" s="52"/>
      <c r="C198" s="21">
        <f t="shared" si="28"/>
        <v>1</v>
      </c>
      <c r="D198" s="634"/>
      <c r="E198" s="21">
        <f t="shared" si="29"/>
        <v>0.01</v>
      </c>
      <c r="F198" s="634"/>
      <c r="G198" s="21">
        <f t="shared" si="30"/>
        <v>0.04</v>
      </c>
      <c r="H198" s="634"/>
      <c r="I198" s="21">
        <f t="shared" si="31"/>
        <v>0.06</v>
      </c>
      <c r="J198" s="634"/>
      <c r="K198" s="21">
        <f t="shared" si="32"/>
        <v>1</v>
      </c>
      <c r="L198" s="634"/>
      <c r="M198" s="21">
        <f t="shared" si="33"/>
        <v>1</v>
      </c>
      <c r="N198" s="634"/>
      <c r="O198" s="21">
        <f t="shared" si="34"/>
        <v>1</v>
      </c>
      <c r="P198" s="634"/>
      <c r="Q198" s="21">
        <f t="shared" si="35"/>
        <v>1</v>
      </c>
      <c r="R198" s="21">
        <f t="shared" si="36"/>
        <v>0</v>
      </c>
      <c r="S198" s="308">
        <f t="shared" si="37"/>
        <v>0</v>
      </c>
    </row>
    <row r="199" spans="1:19">
      <c r="A199" s="142"/>
      <c r="B199" s="52"/>
      <c r="C199" s="21">
        <f t="shared" si="28"/>
        <v>1</v>
      </c>
      <c r="D199" s="634"/>
      <c r="E199" s="21">
        <f t="shared" si="29"/>
        <v>0.01</v>
      </c>
      <c r="F199" s="634"/>
      <c r="G199" s="21">
        <f t="shared" si="30"/>
        <v>0.04</v>
      </c>
      <c r="H199" s="634"/>
      <c r="I199" s="21">
        <f t="shared" si="31"/>
        <v>0.06</v>
      </c>
      <c r="J199" s="634"/>
      <c r="K199" s="21">
        <f t="shared" si="32"/>
        <v>1</v>
      </c>
      <c r="L199" s="634"/>
      <c r="M199" s="21">
        <f t="shared" si="33"/>
        <v>1</v>
      </c>
      <c r="N199" s="634"/>
      <c r="O199" s="21">
        <f t="shared" si="34"/>
        <v>1</v>
      </c>
      <c r="P199" s="634"/>
      <c r="Q199" s="21">
        <f t="shared" si="35"/>
        <v>1</v>
      </c>
      <c r="R199" s="21">
        <f t="shared" si="36"/>
        <v>0</v>
      </c>
      <c r="S199" s="308">
        <f t="shared" si="37"/>
        <v>0</v>
      </c>
    </row>
    <row r="200" spans="1:19">
      <c r="A200" s="142"/>
      <c r="B200" s="52"/>
      <c r="C200" s="21">
        <f t="shared" si="28"/>
        <v>1</v>
      </c>
      <c r="D200" s="634"/>
      <c r="E200" s="21">
        <f t="shared" si="29"/>
        <v>0.01</v>
      </c>
      <c r="F200" s="634"/>
      <c r="G200" s="21">
        <f t="shared" si="30"/>
        <v>0.04</v>
      </c>
      <c r="H200" s="634"/>
      <c r="I200" s="21">
        <f t="shared" si="31"/>
        <v>0.06</v>
      </c>
      <c r="J200" s="634"/>
      <c r="K200" s="21">
        <f t="shared" si="32"/>
        <v>1</v>
      </c>
      <c r="L200" s="634"/>
      <c r="M200" s="21">
        <f t="shared" si="33"/>
        <v>1</v>
      </c>
      <c r="N200" s="634"/>
      <c r="O200" s="21">
        <f t="shared" si="34"/>
        <v>1</v>
      </c>
      <c r="P200" s="634"/>
      <c r="Q200" s="21">
        <f t="shared" si="35"/>
        <v>1</v>
      </c>
      <c r="R200" s="21">
        <f t="shared" si="36"/>
        <v>0</v>
      </c>
      <c r="S200" s="308">
        <f t="shared" si="37"/>
        <v>0</v>
      </c>
    </row>
    <row r="201" spans="1:19">
      <c r="A201" s="142"/>
      <c r="B201" s="52"/>
      <c r="C201" s="21">
        <f t="shared" si="28"/>
        <v>1</v>
      </c>
      <c r="D201" s="634"/>
      <c r="E201" s="21">
        <f t="shared" si="29"/>
        <v>0.01</v>
      </c>
      <c r="F201" s="634"/>
      <c r="G201" s="21">
        <f t="shared" si="30"/>
        <v>0.04</v>
      </c>
      <c r="H201" s="634"/>
      <c r="I201" s="21">
        <f t="shared" si="31"/>
        <v>0.06</v>
      </c>
      <c r="J201" s="634"/>
      <c r="K201" s="21">
        <f t="shared" si="32"/>
        <v>1</v>
      </c>
      <c r="L201" s="634"/>
      <c r="M201" s="21">
        <f t="shared" si="33"/>
        <v>1</v>
      </c>
      <c r="N201" s="634"/>
      <c r="O201" s="21">
        <f t="shared" si="34"/>
        <v>1</v>
      </c>
      <c r="P201" s="634"/>
      <c r="Q201" s="21">
        <f t="shared" si="35"/>
        <v>1</v>
      </c>
      <c r="R201" s="21">
        <f t="shared" si="36"/>
        <v>0</v>
      </c>
      <c r="S201" s="308">
        <f t="shared" si="37"/>
        <v>0</v>
      </c>
    </row>
    <row r="202" spans="1:19">
      <c r="A202" s="142"/>
      <c r="B202" s="52"/>
      <c r="C202" s="21">
        <f t="shared" si="28"/>
        <v>1</v>
      </c>
      <c r="D202" s="634"/>
      <c r="E202" s="21">
        <f t="shared" si="29"/>
        <v>0.01</v>
      </c>
      <c r="F202" s="634"/>
      <c r="G202" s="21">
        <f t="shared" si="30"/>
        <v>0.04</v>
      </c>
      <c r="H202" s="634"/>
      <c r="I202" s="21">
        <f t="shared" si="31"/>
        <v>0.06</v>
      </c>
      <c r="J202" s="634"/>
      <c r="K202" s="21">
        <f t="shared" si="32"/>
        <v>1</v>
      </c>
      <c r="L202" s="634"/>
      <c r="M202" s="21">
        <f t="shared" si="33"/>
        <v>1</v>
      </c>
      <c r="N202" s="634"/>
      <c r="O202" s="21">
        <f t="shared" si="34"/>
        <v>1</v>
      </c>
      <c r="P202" s="634"/>
      <c r="Q202" s="21">
        <f t="shared" si="35"/>
        <v>1</v>
      </c>
      <c r="R202" s="21">
        <f t="shared" si="36"/>
        <v>0</v>
      </c>
      <c r="S202" s="308">
        <f t="shared" si="37"/>
        <v>0</v>
      </c>
    </row>
    <row r="203" spans="1:19">
      <c r="A203" s="142"/>
      <c r="B203" s="52"/>
      <c r="C203" s="21">
        <f t="shared" si="28"/>
        <v>1</v>
      </c>
      <c r="D203" s="634"/>
      <c r="E203" s="21">
        <f t="shared" si="29"/>
        <v>0.01</v>
      </c>
      <c r="F203" s="634"/>
      <c r="G203" s="21">
        <f t="shared" si="30"/>
        <v>0.04</v>
      </c>
      <c r="H203" s="634"/>
      <c r="I203" s="21">
        <f t="shared" si="31"/>
        <v>0.06</v>
      </c>
      <c r="J203" s="634"/>
      <c r="K203" s="21">
        <f t="shared" si="32"/>
        <v>1</v>
      </c>
      <c r="L203" s="634"/>
      <c r="M203" s="21">
        <f t="shared" si="33"/>
        <v>1</v>
      </c>
      <c r="N203" s="634"/>
      <c r="O203" s="21">
        <f t="shared" si="34"/>
        <v>1</v>
      </c>
      <c r="P203" s="634"/>
      <c r="Q203" s="21">
        <f t="shared" si="35"/>
        <v>1</v>
      </c>
      <c r="R203" s="21">
        <f t="shared" si="36"/>
        <v>0</v>
      </c>
      <c r="S203" s="308">
        <f t="shared" si="37"/>
        <v>0</v>
      </c>
    </row>
    <row r="204" spans="1:19">
      <c r="A204" s="142"/>
      <c r="B204" s="52"/>
      <c r="C204" s="21">
        <f t="shared" si="28"/>
        <v>1</v>
      </c>
      <c r="D204" s="634"/>
      <c r="E204" s="21">
        <f t="shared" si="29"/>
        <v>0.01</v>
      </c>
      <c r="F204" s="634"/>
      <c r="G204" s="21">
        <f t="shared" si="30"/>
        <v>0.04</v>
      </c>
      <c r="H204" s="634"/>
      <c r="I204" s="21">
        <f t="shared" si="31"/>
        <v>0.06</v>
      </c>
      <c r="J204" s="634"/>
      <c r="K204" s="21">
        <f t="shared" si="32"/>
        <v>1</v>
      </c>
      <c r="L204" s="634"/>
      <c r="M204" s="21">
        <f t="shared" si="33"/>
        <v>1</v>
      </c>
      <c r="N204" s="634"/>
      <c r="O204" s="21">
        <f t="shared" si="34"/>
        <v>1</v>
      </c>
      <c r="P204" s="634"/>
      <c r="Q204" s="21">
        <f t="shared" si="35"/>
        <v>1</v>
      </c>
      <c r="R204" s="21">
        <f t="shared" si="36"/>
        <v>0</v>
      </c>
      <c r="S204" s="308">
        <f t="shared" si="37"/>
        <v>0</v>
      </c>
    </row>
    <row r="205" spans="1:19">
      <c r="A205" s="142"/>
      <c r="B205" s="52"/>
      <c r="C205" s="21">
        <f t="shared" si="28"/>
        <v>1</v>
      </c>
      <c r="D205" s="634"/>
      <c r="E205" s="21">
        <f t="shared" si="29"/>
        <v>0.01</v>
      </c>
      <c r="F205" s="634"/>
      <c r="G205" s="21">
        <f t="shared" si="30"/>
        <v>0.04</v>
      </c>
      <c r="H205" s="634"/>
      <c r="I205" s="21">
        <f t="shared" si="31"/>
        <v>0.06</v>
      </c>
      <c r="J205" s="634"/>
      <c r="K205" s="21">
        <f t="shared" si="32"/>
        <v>1</v>
      </c>
      <c r="L205" s="634"/>
      <c r="M205" s="21">
        <f t="shared" si="33"/>
        <v>1</v>
      </c>
      <c r="N205" s="634"/>
      <c r="O205" s="21">
        <f t="shared" si="34"/>
        <v>1</v>
      </c>
      <c r="P205" s="634"/>
      <c r="Q205" s="21">
        <f t="shared" si="35"/>
        <v>1</v>
      </c>
      <c r="R205" s="21">
        <f t="shared" si="36"/>
        <v>0</v>
      </c>
      <c r="S205" s="308">
        <f t="shared" si="37"/>
        <v>0</v>
      </c>
    </row>
    <row r="206" spans="1:19">
      <c r="A206" s="142"/>
      <c r="B206" s="52"/>
      <c r="C206" s="21">
        <f t="shared" si="28"/>
        <v>1</v>
      </c>
      <c r="D206" s="634"/>
      <c r="E206" s="21">
        <f t="shared" si="29"/>
        <v>0.01</v>
      </c>
      <c r="F206" s="634"/>
      <c r="G206" s="21">
        <f t="shared" si="30"/>
        <v>0.04</v>
      </c>
      <c r="H206" s="634"/>
      <c r="I206" s="21">
        <f t="shared" si="31"/>
        <v>0.06</v>
      </c>
      <c r="J206" s="634"/>
      <c r="K206" s="21">
        <f t="shared" si="32"/>
        <v>1</v>
      </c>
      <c r="L206" s="634"/>
      <c r="M206" s="21">
        <f t="shared" si="33"/>
        <v>1</v>
      </c>
      <c r="N206" s="634"/>
      <c r="O206" s="21">
        <f t="shared" si="34"/>
        <v>1</v>
      </c>
      <c r="P206" s="634"/>
      <c r="Q206" s="21">
        <f t="shared" si="35"/>
        <v>1</v>
      </c>
      <c r="R206" s="21">
        <f t="shared" si="36"/>
        <v>0</v>
      </c>
      <c r="S206" s="308">
        <f t="shared" si="37"/>
        <v>0</v>
      </c>
    </row>
    <row r="207" spans="1:19">
      <c r="A207" s="142"/>
      <c r="B207" s="52"/>
      <c r="C207" s="21">
        <f t="shared" si="28"/>
        <v>1</v>
      </c>
      <c r="D207" s="634"/>
      <c r="E207" s="21">
        <f t="shared" si="29"/>
        <v>0.01</v>
      </c>
      <c r="F207" s="634"/>
      <c r="G207" s="21">
        <f t="shared" si="30"/>
        <v>0.04</v>
      </c>
      <c r="H207" s="634"/>
      <c r="I207" s="21">
        <f t="shared" si="31"/>
        <v>0.06</v>
      </c>
      <c r="J207" s="634"/>
      <c r="K207" s="21">
        <f t="shared" si="32"/>
        <v>1</v>
      </c>
      <c r="L207" s="634"/>
      <c r="M207" s="21">
        <f t="shared" si="33"/>
        <v>1</v>
      </c>
      <c r="N207" s="634"/>
      <c r="O207" s="21">
        <f t="shared" si="34"/>
        <v>1</v>
      </c>
      <c r="P207" s="634"/>
      <c r="Q207" s="21">
        <f t="shared" si="35"/>
        <v>1</v>
      </c>
      <c r="R207" s="21">
        <f t="shared" si="36"/>
        <v>0</v>
      </c>
      <c r="S207" s="308">
        <f t="shared" si="37"/>
        <v>0</v>
      </c>
    </row>
    <row r="208" spans="1:19">
      <c r="A208" s="142"/>
      <c r="B208" s="52"/>
      <c r="C208" s="21">
        <f t="shared" si="28"/>
        <v>1</v>
      </c>
      <c r="D208" s="634"/>
      <c r="E208" s="21">
        <f t="shared" si="29"/>
        <v>0.01</v>
      </c>
      <c r="F208" s="634"/>
      <c r="G208" s="21">
        <f t="shared" si="30"/>
        <v>0.04</v>
      </c>
      <c r="H208" s="634"/>
      <c r="I208" s="21">
        <f t="shared" si="31"/>
        <v>0.06</v>
      </c>
      <c r="J208" s="634"/>
      <c r="K208" s="21">
        <f t="shared" si="32"/>
        <v>1</v>
      </c>
      <c r="L208" s="634"/>
      <c r="M208" s="21">
        <f t="shared" si="33"/>
        <v>1</v>
      </c>
      <c r="N208" s="634"/>
      <c r="O208" s="21">
        <f t="shared" si="34"/>
        <v>1</v>
      </c>
      <c r="P208" s="634"/>
      <c r="Q208" s="21">
        <f t="shared" si="35"/>
        <v>1</v>
      </c>
      <c r="R208" s="21">
        <f t="shared" si="36"/>
        <v>0</v>
      </c>
      <c r="S208" s="308">
        <f t="shared" si="37"/>
        <v>0</v>
      </c>
    </row>
    <row r="209" spans="1:19">
      <c r="A209" s="142"/>
      <c r="B209" s="52"/>
      <c r="C209" s="21">
        <f t="shared" si="28"/>
        <v>1</v>
      </c>
      <c r="D209" s="634"/>
      <c r="E209" s="21">
        <f t="shared" si="29"/>
        <v>0.01</v>
      </c>
      <c r="F209" s="634"/>
      <c r="G209" s="21">
        <f t="shared" si="30"/>
        <v>0.04</v>
      </c>
      <c r="H209" s="634"/>
      <c r="I209" s="21">
        <f t="shared" si="31"/>
        <v>0.06</v>
      </c>
      <c r="J209" s="634"/>
      <c r="K209" s="21">
        <f t="shared" si="32"/>
        <v>1</v>
      </c>
      <c r="L209" s="634"/>
      <c r="M209" s="21">
        <f t="shared" si="33"/>
        <v>1</v>
      </c>
      <c r="N209" s="634"/>
      <c r="O209" s="21">
        <f t="shared" si="34"/>
        <v>1</v>
      </c>
      <c r="P209" s="634"/>
      <c r="Q209" s="21">
        <f t="shared" si="35"/>
        <v>1</v>
      </c>
      <c r="R209" s="21">
        <f t="shared" si="36"/>
        <v>0</v>
      </c>
      <c r="S209" s="308">
        <f t="shared" si="37"/>
        <v>0</v>
      </c>
    </row>
    <row r="210" spans="1:19">
      <c r="A210" s="142"/>
      <c r="B210" s="52"/>
      <c r="C210" s="21">
        <f t="shared" si="28"/>
        <v>1</v>
      </c>
      <c r="D210" s="634"/>
      <c r="E210" s="21">
        <f t="shared" si="29"/>
        <v>0.01</v>
      </c>
      <c r="F210" s="634"/>
      <c r="G210" s="21">
        <f t="shared" si="30"/>
        <v>0.04</v>
      </c>
      <c r="H210" s="634"/>
      <c r="I210" s="21">
        <f t="shared" si="31"/>
        <v>0.06</v>
      </c>
      <c r="J210" s="634"/>
      <c r="K210" s="21">
        <f t="shared" si="32"/>
        <v>1</v>
      </c>
      <c r="L210" s="634"/>
      <c r="M210" s="21">
        <f t="shared" si="33"/>
        <v>1</v>
      </c>
      <c r="N210" s="634"/>
      <c r="O210" s="21">
        <f t="shared" si="34"/>
        <v>1</v>
      </c>
      <c r="P210" s="634"/>
      <c r="Q210" s="21">
        <f t="shared" si="35"/>
        <v>1</v>
      </c>
      <c r="R210" s="21">
        <f t="shared" si="36"/>
        <v>0</v>
      </c>
      <c r="S210" s="308">
        <f t="shared" si="37"/>
        <v>0</v>
      </c>
    </row>
    <row r="211" spans="1:19">
      <c r="A211" s="142"/>
      <c r="B211" s="52"/>
      <c r="C211" s="21">
        <f t="shared" si="28"/>
        <v>1</v>
      </c>
      <c r="D211" s="634"/>
      <c r="E211" s="21">
        <f t="shared" si="29"/>
        <v>0.01</v>
      </c>
      <c r="F211" s="634"/>
      <c r="G211" s="21">
        <f t="shared" si="30"/>
        <v>0.04</v>
      </c>
      <c r="H211" s="634"/>
      <c r="I211" s="21">
        <f t="shared" si="31"/>
        <v>0.06</v>
      </c>
      <c r="J211" s="634"/>
      <c r="K211" s="21">
        <f t="shared" si="32"/>
        <v>1</v>
      </c>
      <c r="L211" s="634"/>
      <c r="M211" s="21">
        <f t="shared" si="33"/>
        <v>1</v>
      </c>
      <c r="N211" s="634"/>
      <c r="O211" s="21">
        <f t="shared" si="34"/>
        <v>1</v>
      </c>
      <c r="P211" s="634"/>
      <c r="Q211" s="21">
        <f t="shared" si="35"/>
        <v>1</v>
      </c>
      <c r="R211" s="21">
        <f t="shared" si="36"/>
        <v>0</v>
      </c>
      <c r="S211" s="308">
        <f t="shared" si="37"/>
        <v>0</v>
      </c>
    </row>
    <row r="212" spans="1:19">
      <c r="A212" s="142"/>
      <c r="B212" s="52"/>
      <c r="C212" s="21">
        <f t="shared" si="28"/>
        <v>1</v>
      </c>
      <c r="D212" s="634"/>
      <c r="E212" s="21">
        <f t="shared" si="29"/>
        <v>0.01</v>
      </c>
      <c r="F212" s="634"/>
      <c r="G212" s="21">
        <f t="shared" si="30"/>
        <v>0.04</v>
      </c>
      <c r="H212" s="634"/>
      <c r="I212" s="21">
        <f t="shared" si="31"/>
        <v>0.06</v>
      </c>
      <c r="J212" s="634"/>
      <c r="K212" s="21">
        <f t="shared" si="32"/>
        <v>1</v>
      </c>
      <c r="L212" s="634"/>
      <c r="M212" s="21">
        <f t="shared" si="33"/>
        <v>1</v>
      </c>
      <c r="N212" s="634"/>
      <c r="O212" s="21">
        <f t="shared" si="34"/>
        <v>1</v>
      </c>
      <c r="P212" s="634"/>
      <c r="Q212" s="21">
        <f t="shared" si="35"/>
        <v>1</v>
      </c>
      <c r="R212" s="21">
        <f t="shared" si="36"/>
        <v>0</v>
      </c>
      <c r="S212" s="308">
        <f t="shared" si="37"/>
        <v>0</v>
      </c>
    </row>
    <row r="213" spans="1:19">
      <c r="A213" s="142"/>
      <c r="B213" s="52"/>
      <c r="C213" s="21">
        <f t="shared" si="28"/>
        <v>1</v>
      </c>
      <c r="D213" s="634"/>
      <c r="E213" s="21">
        <f t="shared" si="29"/>
        <v>0.01</v>
      </c>
      <c r="F213" s="634"/>
      <c r="G213" s="21">
        <f t="shared" si="30"/>
        <v>0.04</v>
      </c>
      <c r="H213" s="634"/>
      <c r="I213" s="21">
        <f t="shared" si="31"/>
        <v>0.06</v>
      </c>
      <c r="J213" s="634"/>
      <c r="K213" s="21">
        <f t="shared" si="32"/>
        <v>1</v>
      </c>
      <c r="L213" s="634"/>
      <c r="M213" s="21">
        <f t="shared" si="33"/>
        <v>1</v>
      </c>
      <c r="N213" s="634"/>
      <c r="O213" s="21">
        <f t="shared" si="34"/>
        <v>1</v>
      </c>
      <c r="P213" s="634"/>
      <c r="Q213" s="21">
        <f t="shared" si="35"/>
        <v>1</v>
      </c>
      <c r="R213" s="21">
        <f t="shared" si="36"/>
        <v>0</v>
      </c>
      <c r="S213" s="308">
        <f t="shared" si="37"/>
        <v>0</v>
      </c>
    </row>
    <row r="214" spans="1:19">
      <c r="A214" s="142"/>
      <c r="B214" s="52"/>
      <c r="C214" s="21">
        <f t="shared" si="28"/>
        <v>1</v>
      </c>
      <c r="D214" s="634"/>
      <c r="E214" s="21">
        <f t="shared" si="29"/>
        <v>0.01</v>
      </c>
      <c r="F214" s="634"/>
      <c r="G214" s="21">
        <f t="shared" si="30"/>
        <v>0.04</v>
      </c>
      <c r="H214" s="634"/>
      <c r="I214" s="21">
        <f t="shared" si="31"/>
        <v>0.06</v>
      </c>
      <c r="J214" s="634"/>
      <c r="K214" s="21">
        <f t="shared" si="32"/>
        <v>1</v>
      </c>
      <c r="L214" s="634"/>
      <c r="M214" s="21">
        <f t="shared" si="33"/>
        <v>1</v>
      </c>
      <c r="N214" s="634"/>
      <c r="O214" s="21">
        <f t="shared" si="34"/>
        <v>1</v>
      </c>
      <c r="P214" s="634"/>
      <c r="Q214" s="21">
        <f t="shared" si="35"/>
        <v>1</v>
      </c>
      <c r="R214" s="21">
        <f t="shared" si="36"/>
        <v>0</v>
      </c>
      <c r="S214" s="308">
        <f t="shared" si="37"/>
        <v>0</v>
      </c>
    </row>
    <row r="215" spans="1:19">
      <c r="A215" s="142"/>
      <c r="B215" s="52"/>
      <c r="C215" s="21">
        <f t="shared" si="28"/>
        <v>1</v>
      </c>
      <c r="D215" s="634"/>
      <c r="E215" s="21">
        <f t="shared" si="29"/>
        <v>0.01</v>
      </c>
      <c r="F215" s="634"/>
      <c r="G215" s="21">
        <f t="shared" si="30"/>
        <v>0.04</v>
      </c>
      <c r="H215" s="634"/>
      <c r="I215" s="21">
        <f t="shared" si="31"/>
        <v>0.06</v>
      </c>
      <c r="J215" s="634"/>
      <c r="K215" s="21">
        <f t="shared" si="32"/>
        <v>1</v>
      </c>
      <c r="L215" s="634"/>
      <c r="M215" s="21">
        <f t="shared" si="33"/>
        <v>1</v>
      </c>
      <c r="N215" s="634"/>
      <c r="O215" s="21">
        <f t="shared" si="34"/>
        <v>1</v>
      </c>
      <c r="P215" s="634"/>
      <c r="Q215" s="21">
        <f t="shared" si="35"/>
        <v>1</v>
      </c>
      <c r="R215" s="21">
        <f t="shared" si="36"/>
        <v>0</v>
      </c>
      <c r="S215" s="308">
        <f t="shared" si="37"/>
        <v>0</v>
      </c>
    </row>
    <row r="216" spans="1:19">
      <c r="A216" s="142"/>
      <c r="B216" s="52"/>
      <c r="C216" s="21">
        <f t="shared" si="28"/>
        <v>1</v>
      </c>
      <c r="D216" s="634"/>
      <c r="E216" s="21">
        <f t="shared" si="29"/>
        <v>0.01</v>
      </c>
      <c r="F216" s="634"/>
      <c r="G216" s="21">
        <f t="shared" si="30"/>
        <v>0.04</v>
      </c>
      <c r="H216" s="634"/>
      <c r="I216" s="21">
        <f t="shared" si="31"/>
        <v>0.06</v>
      </c>
      <c r="J216" s="634"/>
      <c r="K216" s="21">
        <f t="shared" si="32"/>
        <v>1</v>
      </c>
      <c r="L216" s="634"/>
      <c r="M216" s="21">
        <f t="shared" si="33"/>
        <v>1</v>
      </c>
      <c r="N216" s="634"/>
      <c r="O216" s="21">
        <f t="shared" si="34"/>
        <v>1</v>
      </c>
      <c r="P216" s="634"/>
      <c r="Q216" s="21">
        <f t="shared" si="35"/>
        <v>1</v>
      </c>
      <c r="R216" s="21">
        <f t="shared" si="36"/>
        <v>0</v>
      </c>
      <c r="S216" s="308">
        <f t="shared" si="37"/>
        <v>0</v>
      </c>
    </row>
    <row r="217" spans="1:19">
      <c r="A217" s="142"/>
      <c r="B217" s="52"/>
      <c r="C217" s="21">
        <f t="shared" si="28"/>
        <v>1</v>
      </c>
      <c r="D217" s="634"/>
      <c r="E217" s="21">
        <f t="shared" si="29"/>
        <v>0.01</v>
      </c>
      <c r="F217" s="634"/>
      <c r="G217" s="21">
        <f t="shared" si="30"/>
        <v>0.04</v>
      </c>
      <c r="H217" s="634"/>
      <c r="I217" s="21">
        <f t="shared" si="31"/>
        <v>0.06</v>
      </c>
      <c r="J217" s="634"/>
      <c r="K217" s="21">
        <f t="shared" si="32"/>
        <v>1</v>
      </c>
      <c r="L217" s="634"/>
      <c r="M217" s="21">
        <f t="shared" si="33"/>
        <v>1</v>
      </c>
      <c r="N217" s="634"/>
      <c r="O217" s="21">
        <f t="shared" si="34"/>
        <v>1</v>
      </c>
      <c r="P217" s="634"/>
      <c r="Q217" s="21">
        <f t="shared" si="35"/>
        <v>1</v>
      </c>
      <c r="R217" s="21">
        <f t="shared" si="36"/>
        <v>0</v>
      </c>
      <c r="S217" s="308">
        <f t="shared" si="37"/>
        <v>0</v>
      </c>
    </row>
    <row r="218" spans="1:19">
      <c r="A218" s="142"/>
      <c r="B218" s="52"/>
      <c r="C218" s="21">
        <f t="shared" ref="C218:C281" si="38">IF(B218="",1,(LOOKUP(B218,$3:$3,$4:$4)-LOOKUP($B$24,$3:$3,$4:$4)+100)/100)</f>
        <v>1</v>
      </c>
      <c r="D218" s="634"/>
      <c r="E218" s="21">
        <f t="shared" ref="E218:E281" si="39">(SUMIF($5:$5,D218,$6:$6)-SUMIF($5:$5,$D$24,$6:$6)+100)/100</f>
        <v>0.01</v>
      </c>
      <c r="F218" s="634"/>
      <c r="G218" s="21">
        <f t="shared" ref="G218:G281" si="40">(SUMIF($7:$7,F218,$8:$8)-SUMIF($7:$7,$F$24,$8:$8)+100)/100</f>
        <v>0.04</v>
      </c>
      <c r="H218" s="634"/>
      <c r="I218" s="21">
        <f t="shared" ref="I218:I281" si="41">(SUMIF($9:$9,H218,$10:$10)-SUMIF($9:$9,$H$24,$10:$10)+100)/100</f>
        <v>0.06</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4"/>
      <c r="E219" s="21">
        <f t="shared" si="39"/>
        <v>0.01</v>
      </c>
      <c r="F219" s="634"/>
      <c r="G219" s="21">
        <f t="shared" si="40"/>
        <v>0.04</v>
      </c>
      <c r="H219" s="634"/>
      <c r="I219" s="21">
        <f t="shared" si="41"/>
        <v>0.06</v>
      </c>
      <c r="J219" s="634"/>
      <c r="K219" s="21">
        <f t="shared" si="42"/>
        <v>1</v>
      </c>
      <c r="L219" s="634"/>
      <c r="M219" s="21">
        <f t="shared" si="43"/>
        <v>1</v>
      </c>
      <c r="N219" s="634"/>
      <c r="O219" s="21">
        <f t="shared" si="44"/>
        <v>1</v>
      </c>
      <c r="P219" s="634"/>
      <c r="Q219" s="21">
        <f t="shared" si="45"/>
        <v>1</v>
      </c>
      <c r="R219" s="21">
        <f t="shared" si="46"/>
        <v>0</v>
      </c>
      <c r="S219" s="308">
        <f t="shared" si="37"/>
        <v>0</v>
      </c>
    </row>
    <row r="220" spans="1:19">
      <c r="A220" s="142"/>
      <c r="B220" s="52"/>
      <c r="C220" s="21">
        <f t="shared" si="38"/>
        <v>1</v>
      </c>
      <c r="D220" s="634"/>
      <c r="E220" s="21">
        <f t="shared" si="39"/>
        <v>0.01</v>
      </c>
      <c r="F220" s="634"/>
      <c r="G220" s="21">
        <f t="shared" si="40"/>
        <v>0.04</v>
      </c>
      <c r="H220" s="634"/>
      <c r="I220" s="21">
        <f t="shared" si="41"/>
        <v>0.06</v>
      </c>
      <c r="J220" s="634"/>
      <c r="K220" s="21">
        <f t="shared" si="42"/>
        <v>1</v>
      </c>
      <c r="L220" s="634"/>
      <c r="M220" s="21">
        <f t="shared" si="43"/>
        <v>1</v>
      </c>
      <c r="N220" s="634"/>
      <c r="O220" s="21">
        <f t="shared" si="44"/>
        <v>1</v>
      </c>
      <c r="P220" s="634"/>
      <c r="Q220" s="21">
        <f t="shared" si="45"/>
        <v>1</v>
      </c>
      <c r="R220" s="21">
        <f t="shared" si="46"/>
        <v>0</v>
      </c>
      <c r="S220" s="308">
        <f t="shared" si="37"/>
        <v>0</v>
      </c>
    </row>
    <row r="221" spans="1:19">
      <c r="A221" s="142"/>
      <c r="B221" s="52"/>
      <c r="C221" s="21">
        <f t="shared" si="38"/>
        <v>1</v>
      </c>
      <c r="D221" s="634"/>
      <c r="E221" s="21">
        <f t="shared" si="39"/>
        <v>0.01</v>
      </c>
      <c r="F221" s="634"/>
      <c r="G221" s="21">
        <f t="shared" si="40"/>
        <v>0.04</v>
      </c>
      <c r="H221" s="634"/>
      <c r="I221" s="21">
        <f t="shared" si="41"/>
        <v>0.06</v>
      </c>
      <c r="J221" s="634"/>
      <c r="K221" s="21">
        <f t="shared" si="42"/>
        <v>1</v>
      </c>
      <c r="L221" s="634"/>
      <c r="M221" s="21">
        <f t="shared" si="43"/>
        <v>1</v>
      </c>
      <c r="N221" s="634"/>
      <c r="O221" s="21">
        <f t="shared" si="44"/>
        <v>1</v>
      </c>
      <c r="P221" s="634"/>
      <c r="Q221" s="21">
        <f t="shared" si="45"/>
        <v>1</v>
      </c>
      <c r="R221" s="21">
        <f t="shared" si="46"/>
        <v>0</v>
      </c>
      <c r="S221" s="308">
        <f t="shared" si="37"/>
        <v>0</v>
      </c>
    </row>
    <row r="222" spans="1:19">
      <c r="A222" s="142"/>
      <c r="B222" s="52"/>
      <c r="C222" s="21">
        <f t="shared" si="38"/>
        <v>1</v>
      </c>
      <c r="D222" s="634"/>
      <c r="E222" s="21">
        <f t="shared" si="39"/>
        <v>0.01</v>
      </c>
      <c r="F222" s="634"/>
      <c r="G222" s="21">
        <f t="shared" si="40"/>
        <v>0.04</v>
      </c>
      <c r="H222" s="634"/>
      <c r="I222" s="21">
        <f t="shared" si="41"/>
        <v>0.06</v>
      </c>
      <c r="J222" s="634"/>
      <c r="K222" s="21">
        <f t="shared" si="42"/>
        <v>1</v>
      </c>
      <c r="L222" s="634"/>
      <c r="M222" s="21">
        <f t="shared" si="43"/>
        <v>1</v>
      </c>
      <c r="N222" s="634"/>
      <c r="O222" s="21">
        <f t="shared" si="44"/>
        <v>1</v>
      </c>
      <c r="P222" s="634"/>
      <c r="Q222" s="21">
        <f t="shared" si="45"/>
        <v>1</v>
      </c>
      <c r="R222" s="21">
        <f t="shared" si="46"/>
        <v>0</v>
      </c>
      <c r="S222" s="308">
        <f t="shared" si="37"/>
        <v>0</v>
      </c>
    </row>
    <row r="223" spans="1:19">
      <c r="A223" s="142"/>
      <c r="B223" s="52"/>
      <c r="C223" s="21">
        <f t="shared" si="38"/>
        <v>1</v>
      </c>
      <c r="D223" s="634"/>
      <c r="E223" s="21">
        <f t="shared" si="39"/>
        <v>0.01</v>
      </c>
      <c r="F223" s="634"/>
      <c r="G223" s="21">
        <f t="shared" si="40"/>
        <v>0.04</v>
      </c>
      <c r="H223" s="634"/>
      <c r="I223" s="21">
        <f t="shared" si="41"/>
        <v>0.06</v>
      </c>
      <c r="J223" s="634"/>
      <c r="K223" s="21">
        <f t="shared" si="42"/>
        <v>1</v>
      </c>
      <c r="L223" s="634"/>
      <c r="M223" s="21">
        <f t="shared" si="43"/>
        <v>1</v>
      </c>
      <c r="N223" s="634"/>
      <c r="O223" s="21">
        <f t="shared" si="44"/>
        <v>1</v>
      </c>
      <c r="P223" s="634"/>
      <c r="Q223" s="21">
        <f t="shared" si="45"/>
        <v>1</v>
      </c>
      <c r="R223" s="21">
        <f t="shared" si="46"/>
        <v>0</v>
      </c>
      <c r="S223" s="308">
        <f t="shared" ref="S223:S286" si="47">ROUND(R223*B223/10000,0)</f>
        <v>0</v>
      </c>
    </row>
    <row r="224" spans="1:19">
      <c r="A224" s="142"/>
      <c r="B224" s="52"/>
      <c r="C224" s="21">
        <f t="shared" si="38"/>
        <v>1</v>
      </c>
      <c r="D224" s="634"/>
      <c r="E224" s="21">
        <f t="shared" si="39"/>
        <v>0.01</v>
      </c>
      <c r="F224" s="634"/>
      <c r="G224" s="21">
        <f t="shared" si="40"/>
        <v>0.04</v>
      </c>
      <c r="H224" s="634"/>
      <c r="I224" s="21">
        <f t="shared" si="41"/>
        <v>0.06</v>
      </c>
      <c r="J224" s="634"/>
      <c r="K224" s="21">
        <f t="shared" si="42"/>
        <v>1</v>
      </c>
      <c r="L224" s="634"/>
      <c r="M224" s="21">
        <f t="shared" si="43"/>
        <v>1</v>
      </c>
      <c r="N224" s="634"/>
      <c r="O224" s="21">
        <f t="shared" si="44"/>
        <v>1</v>
      </c>
      <c r="P224" s="634"/>
      <c r="Q224" s="21">
        <f t="shared" si="45"/>
        <v>1</v>
      </c>
      <c r="R224" s="21">
        <f t="shared" si="46"/>
        <v>0</v>
      </c>
      <c r="S224" s="308">
        <f t="shared" si="47"/>
        <v>0</v>
      </c>
    </row>
    <row r="225" spans="1:19">
      <c r="A225" s="142"/>
      <c r="B225" s="52"/>
      <c r="C225" s="21">
        <f t="shared" si="38"/>
        <v>1</v>
      </c>
      <c r="D225" s="634"/>
      <c r="E225" s="21">
        <f t="shared" si="39"/>
        <v>0.01</v>
      </c>
      <c r="F225" s="634"/>
      <c r="G225" s="21">
        <f t="shared" si="40"/>
        <v>0.04</v>
      </c>
      <c r="H225" s="634"/>
      <c r="I225" s="21">
        <f t="shared" si="41"/>
        <v>0.06</v>
      </c>
      <c r="J225" s="634"/>
      <c r="K225" s="21">
        <f t="shared" si="42"/>
        <v>1</v>
      </c>
      <c r="L225" s="634"/>
      <c r="M225" s="21">
        <f t="shared" si="43"/>
        <v>1</v>
      </c>
      <c r="N225" s="634"/>
      <c r="O225" s="21">
        <f t="shared" si="44"/>
        <v>1</v>
      </c>
      <c r="P225" s="634"/>
      <c r="Q225" s="21">
        <f t="shared" si="45"/>
        <v>1</v>
      </c>
      <c r="R225" s="21">
        <f t="shared" si="46"/>
        <v>0</v>
      </c>
      <c r="S225" s="308">
        <f t="shared" si="47"/>
        <v>0</v>
      </c>
    </row>
    <row r="226" spans="1:19">
      <c r="A226" s="142"/>
      <c r="B226" s="52"/>
      <c r="C226" s="21">
        <f t="shared" si="38"/>
        <v>1</v>
      </c>
      <c r="D226" s="634"/>
      <c r="E226" s="21">
        <f t="shared" si="39"/>
        <v>0.01</v>
      </c>
      <c r="F226" s="634"/>
      <c r="G226" s="21">
        <f t="shared" si="40"/>
        <v>0.04</v>
      </c>
      <c r="H226" s="634"/>
      <c r="I226" s="21">
        <f t="shared" si="41"/>
        <v>0.06</v>
      </c>
      <c r="J226" s="634"/>
      <c r="K226" s="21">
        <f t="shared" si="42"/>
        <v>1</v>
      </c>
      <c r="L226" s="634"/>
      <c r="M226" s="21">
        <f t="shared" si="43"/>
        <v>1</v>
      </c>
      <c r="N226" s="634"/>
      <c r="O226" s="21">
        <f t="shared" si="44"/>
        <v>1</v>
      </c>
      <c r="P226" s="634"/>
      <c r="Q226" s="21">
        <f t="shared" si="45"/>
        <v>1</v>
      </c>
      <c r="R226" s="21">
        <f t="shared" si="46"/>
        <v>0</v>
      </c>
      <c r="S226" s="308">
        <f t="shared" si="47"/>
        <v>0</v>
      </c>
    </row>
    <row r="227" spans="1:19">
      <c r="A227" s="142"/>
      <c r="B227" s="52"/>
      <c r="C227" s="21">
        <f t="shared" si="38"/>
        <v>1</v>
      </c>
      <c r="D227" s="634"/>
      <c r="E227" s="21">
        <f t="shared" si="39"/>
        <v>0.01</v>
      </c>
      <c r="F227" s="634"/>
      <c r="G227" s="21">
        <f t="shared" si="40"/>
        <v>0.04</v>
      </c>
      <c r="H227" s="634"/>
      <c r="I227" s="21">
        <f t="shared" si="41"/>
        <v>0.06</v>
      </c>
      <c r="J227" s="634"/>
      <c r="K227" s="21">
        <f t="shared" si="42"/>
        <v>1</v>
      </c>
      <c r="L227" s="634"/>
      <c r="M227" s="21">
        <f t="shared" si="43"/>
        <v>1</v>
      </c>
      <c r="N227" s="634"/>
      <c r="O227" s="21">
        <f t="shared" si="44"/>
        <v>1</v>
      </c>
      <c r="P227" s="634"/>
      <c r="Q227" s="21">
        <f t="shared" si="45"/>
        <v>1</v>
      </c>
      <c r="R227" s="21">
        <f t="shared" si="46"/>
        <v>0</v>
      </c>
      <c r="S227" s="308">
        <f t="shared" si="47"/>
        <v>0</v>
      </c>
    </row>
    <row r="228" spans="1:19">
      <c r="A228" s="142"/>
      <c r="B228" s="52"/>
      <c r="C228" s="21">
        <f t="shared" si="38"/>
        <v>1</v>
      </c>
      <c r="D228" s="634"/>
      <c r="E228" s="21">
        <f t="shared" si="39"/>
        <v>0.01</v>
      </c>
      <c r="F228" s="634"/>
      <c r="G228" s="21">
        <f t="shared" si="40"/>
        <v>0.04</v>
      </c>
      <c r="H228" s="634"/>
      <c r="I228" s="21">
        <f t="shared" si="41"/>
        <v>0.06</v>
      </c>
      <c r="J228" s="634"/>
      <c r="K228" s="21">
        <f t="shared" si="42"/>
        <v>1</v>
      </c>
      <c r="L228" s="634"/>
      <c r="M228" s="21">
        <f t="shared" si="43"/>
        <v>1</v>
      </c>
      <c r="N228" s="634"/>
      <c r="O228" s="21">
        <f t="shared" si="44"/>
        <v>1</v>
      </c>
      <c r="P228" s="634"/>
      <c r="Q228" s="21">
        <f t="shared" si="45"/>
        <v>1</v>
      </c>
      <c r="R228" s="21">
        <f t="shared" si="46"/>
        <v>0</v>
      </c>
      <c r="S228" s="308">
        <f t="shared" si="47"/>
        <v>0</v>
      </c>
    </row>
    <row r="229" spans="1:19">
      <c r="A229" s="142"/>
      <c r="B229" s="52"/>
      <c r="C229" s="21">
        <f t="shared" si="38"/>
        <v>1</v>
      </c>
      <c r="D229" s="634"/>
      <c r="E229" s="21">
        <f t="shared" si="39"/>
        <v>0.01</v>
      </c>
      <c r="F229" s="634"/>
      <c r="G229" s="21">
        <f t="shared" si="40"/>
        <v>0.04</v>
      </c>
      <c r="H229" s="634"/>
      <c r="I229" s="21">
        <f t="shared" si="41"/>
        <v>0.06</v>
      </c>
      <c r="J229" s="634"/>
      <c r="K229" s="21">
        <f t="shared" si="42"/>
        <v>1</v>
      </c>
      <c r="L229" s="634"/>
      <c r="M229" s="21">
        <f t="shared" si="43"/>
        <v>1</v>
      </c>
      <c r="N229" s="634"/>
      <c r="O229" s="21">
        <f t="shared" si="44"/>
        <v>1</v>
      </c>
      <c r="P229" s="634"/>
      <c r="Q229" s="21">
        <f t="shared" si="45"/>
        <v>1</v>
      </c>
      <c r="R229" s="21">
        <f t="shared" si="46"/>
        <v>0</v>
      </c>
      <c r="S229" s="308">
        <f t="shared" si="47"/>
        <v>0</v>
      </c>
    </row>
    <row r="230" spans="1:19">
      <c r="A230" s="142"/>
      <c r="B230" s="52"/>
      <c r="C230" s="21">
        <f t="shared" si="38"/>
        <v>1</v>
      </c>
      <c r="D230" s="634"/>
      <c r="E230" s="21">
        <f t="shared" si="39"/>
        <v>0.01</v>
      </c>
      <c r="F230" s="634"/>
      <c r="G230" s="21">
        <f t="shared" si="40"/>
        <v>0.04</v>
      </c>
      <c r="H230" s="634"/>
      <c r="I230" s="21">
        <f t="shared" si="41"/>
        <v>0.06</v>
      </c>
      <c r="J230" s="634"/>
      <c r="K230" s="21">
        <f t="shared" si="42"/>
        <v>1</v>
      </c>
      <c r="L230" s="634"/>
      <c r="M230" s="21">
        <f t="shared" si="43"/>
        <v>1</v>
      </c>
      <c r="N230" s="634"/>
      <c r="O230" s="21">
        <f t="shared" si="44"/>
        <v>1</v>
      </c>
      <c r="P230" s="634"/>
      <c r="Q230" s="21">
        <f t="shared" si="45"/>
        <v>1</v>
      </c>
      <c r="R230" s="21">
        <f t="shared" si="46"/>
        <v>0</v>
      </c>
      <c r="S230" s="308">
        <f t="shared" si="47"/>
        <v>0</v>
      </c>
    </row>
    <row r="231" spans="1:19">
      <c r="A231" s="142"/>
      <c r="B231" s="52"/>
      <c r="C231" s="21">
        <f t="shared" si="38"/>
        <v>1</v>
      </c>
      <c r="D231" s="634"/>
      <c r="E231" s="21">
        <f t="shared" si="39"/>
        <v>0.01</v>
      </c>
      <c r="F231" s="634"/>
      <c r="G231" s="21">
        <f t="shared" si="40"/>
        <v>0.04</v>
      </c>
      <c r="H231" s="634"/>
      <c r="I231" s="21">
        <f t="shared" si="41"/>
        <v>0.06</v>
      </c>
      <c r="J231" s="634"/>
      <c r="K231" s="21">
        <f t="shared" si="42"/>
        <v>1</v>
      </c>
      <c r="L231" s="634"/>
      <c r="M231" s="21">
        <f t="shared" si="43"/>
        <v>1</v>
      </c>
      <c r="N231" s="634"/>
      <c r="O231" s="21">
        <f t="shared" si="44"/>
        <v>1</v>
      </c>
      <c r="P231" s="634"/>
      <c r="Q231" s="21">
        <f t="shared" si="45"/>
        <v>1</v>
      </c>
      <c r="R231" s="21">
        <f t="shared" si="46"/>
        <v>0</v>
      </c>
      <c r="S231" s="308">
        <f t="shared" si="47"/>
        <v>0</v>
      </c>
    </row>
    <row r="232" spans="1:19">
      <c r="A232" s="142"/>
      <c r="B232" s="52"/>
      <c r="C232" s="21">
        <f t="shared" si="38"/>
        <v>1</v>
      </c>
      <c r="D232" s="634"/>
      <c r="E232" s="21">
        <f t="shared" si="39"/>
        <v>0.01</v>
      </c>
      <c r="F232" s="634"/>
      <c r="G232" s="21">
        <f t="shared" si="40"/>
        <v>0.04</v>
      </c>
      <c r="H232" s="634"/>
      <c r="I232" s="21">
        <f t="shared" si="41"/>
        <v>0.06</v>
      </c>
      <c r="J232" s="634"/>
      <c r="K232" s="21">
        <f t="shared" si="42"/>
        <v>1</v>
      </c>
      <c r="L232" s="634"/>
      <c r="M232" s="21">
        <f t="shared" si="43"/>
        <v>1</v>
      </c>
      <c r="N232" s="634"/>
      <c r="O232" s="21">
        <f t="shared" si="44"/>
        <v>1</v>
      </c>
      <c r="P232" s="634"/>
      <c r="Q232" s="21">
        <f t="shared" si="45"/>
        <v>1</v>
      </c>
      <c r="R232" s="21">
        <f t="shared" si="46"/>
        <v>0</v>
      </c>
      <c r="S232" s="308">
        <f t="shared" si="47"/>
        <v>0</v>
      </c>
    </row>
    <row r="233" spans="1:19">
      <c r="A233" s="142"/>
      <c r="B233" s="52"/>
      <c r="C233" s="21">
        <f t="shared" si="38"/>
        <v>1</v>
      </c>
      <c r="D233" s="634"/>
      <c r="E233" s="21">
        <f t="shared" si="39"/>
        <v>0.01</v>
      </c>
      <c r="F233" s="634"/>
      <c r="G233" s="21">
        <f t="shared" si="40"/>
        <v>0.04</v>
      </c>
      <c r="H233" s="634"/>
      <c r="I233" s="21">
        <f t="shared" si="41"/>
        <v>0.06</v>
      </c>
      <c r="J233" s="634"/>
      <c r="K233" s="21">
        <f t="shared" si="42"/>
        <v>1</v>
      </c>
      <c r="L233" s="634"/>
      <c r="M233" s="21">
        <f t="shared" si="43"/>
        <v>1</v>
      </c>
      <c r="N233" s="634"/>
      <c r="O233" s="21">
        <f t="shared" si="44"/>
        <v>1</v>
      </c>
      <c r="P233" s="634"/>
      <c r="Q233" s="21">
        <f t="shared" si="45"/>
        <v>1</v>
      </c>
      <c r="R233" s="21">
        <f t="shared" si="46"/>
        <v>0</v>
      </c>
      <c r="S233" s="308">
        <f t="shared" si="47"/>
        <v>0</v>
      </c>
    </row>
    <row r="234" spans="1:19">
      <c r="A234" s="142"/>
      <c r="B234" s="52"/>
      <c r="C234" s="21">
        <f t="shared" si="38"/>
        <v>1</v>
      </c>
      <c r="D234" s="634"/>
      <c r="E234" s="21">
        <f t="shared" si="39"/>
        <v>0.01</v>
      </c>
      <c r="F234" s="634"/>
      <c r="G234" s="21">
        <f t="shared" si="40"/>
        <v>0.04</v>
      </c>
      <c r="H234" s="634"/>
      <c r="I234" s="21">
        <f t="shared" si="41"/>
        <v>0.06</v>
      </c>
      <c r="J234" s="634"/>
      <c r="K234" s="21">
        <f t="shared" si="42"/>
        <v>1</v>
      </c>
      <c r="L234" s="634"/>
      <c r="M234" s="21">
        <f t="shared" si="43"/>
        <v>1</v>
      </c>
      <c r="N234" s="634"/>
      <c r="O234" s="21">
        <f t="shared" si="44"/>
        <v>1</v>
      </c>
      <c r="P234" s="634"/>
      <c r="Q234" s="21">
        <f t="shared" si="45"/>
        <v>1</v>
      </c>
      <c r="R234" s="21">
        <f t="shared" si="46"/>
        <v>0</v>
      </c>
      <c r="S234" s="308">
        <f t="shared" si="47"/>
        <v>0</v>
      </c>
    </row>
    <row r="235" spans="1:19">
      <c r="A235" s="142"/>
      <c r="B235" s="52"/>
      <c r="C235" s="21">
        <f t="shared" si="38"/>
        <v>1</v>
      </c>
      <c r="D235" s="634"/>
      <c r="E235" s="21">
        <f t="shared" si="39"/>
        <v>0.01</v>
      </c>
      <c r="F235" s="634"/>
      <c r="G235" s="21">
        <f t="shared" si="40"/>
        <v>0.04</v>
      </c>
      <c r="H235" s="634"/>
      <c r="I235" s="21">
        <f t="shared" si="41"/>
        <v>0.06</v>
      </c>
      <c r="J235" s="634"/>
      <c r="K235" s="21">
        <f t="shared" si="42"/>
        <v>1</v>
      </c>
      <c r="L235" s="634"/>
      <c r="M235" s="21">
        <f t="shared" si="43"/>
        <v>1</v>
      </c>
      <c r="N235" s="634"/>
      <c r="O235" s="21">
        <f t="shared" si="44"/>
        <v>1</v>
      </c>
      <c r="P235" s="634"/>
      <c r="Q235" s="21">
        <f t="shared" si="45"/>
        <v>1</v>
      </c>
      <c r="R235" s="21">
        <f t="shared" si="46"/>
        <v>0</v>
      </c>
      <c r="S235" s="308">
        <f t="shared" si="47"/>
        <v>0</v>
      </c>
    </row>
    <row r="236" spans="1:19">
      <c r="A236" s="142"/>
      <c r="B236" s="52"/>
      <c r="C236" s="21">
        <f t="shared" si="38"/>
        <v>1</v>
      </c>
      <c r="D236" s="634"/>
      <c r="E236" s="21">
        <f t="shared" si="39"/>
        <v>0.01</v>
      </c>
      <c r="F236" s="634"/>
      <c r="G236" s="21">
        <f t="shared" si="40"/>
        <v>0.04</v>
      </c>
      <c r="H236" s="634"/>
      <c r="I236" s="21">
        <f t="shared" si="41"/>
        <v>0.06</v>
      </c>
      <c r="J236" s="634"/>
      <c r="K236" s="21">
        <f t="shared" si="42"/>
        <v>1</v>
      </c>
      <c r="L236" s="634"/>
      <c r="M236" s="21">
        <f t="shared" si="43"/>
        <v>1</v>
      </c>
      <c r="N236" s="634"/>
      <c r="O236" s="21">
        <f t="shared" si="44"/>
        <v>1</v>
      </c>
      <c r="P236" s="634"/>
      <c r="Q236" s="21">
        <f t="shared" si="45"/>
        <v>1</v>
      </c>
      <c r="R236" s="21">
        <f t="shared" si="46"/>
        <v>0</v>
      </c>
      <c r="S236" s="308">
        <f t="shared" si="47"/>
        <v>0</v>
      </c>
    </row>
    <row r="237" spans="1:19">
      <c r="A237" s="142"/>
      <c r="B237" s="52"/>
      <c r="C237" s="21">
        <f t="shared" si="38"/>
        <v>1</v>
      </c>
      <c r="D237" s="634"/>
      <c r="E237" s="21">
        <f t="shared" si="39"/>
        <v>0.01</v>
      </c>
      <c r="F237" s="634"/>
      <c r="G237" s="21">
        <f t="shared" si="40"/>
        <v>0.04</v>
      </c>
      <c r="H237" s="634"/>
      <c r="I237" s="21">
        <f t="shared" si="41"/>
        <v>0.06</v>
      </c>
      <c r="J237" s="634"/>
      <c r="K237" s="21">
        <f t="shared" si="42"/>
        <v>1</v>
      </c>
      <c r="L237" s="634"/>
      <c r="M237" s="21">
        <f t="shared" si="43"/>
        <v>1</v>
      </c>
      <c r="N237" s="634"/>
      <c r="O237" s="21">
        <f t="shared" si="44"/>
        <v>1</v>
      </c>
      <c r="P237" s="634"/>
      <c r="Q237" s="21">
        <f t="shared" si="45"/>
        <v>1</v>
      </c>
      <c r="R237" s="21">
        <f t="shared" si="46"/>
        <v>0</v>
      </c>
      <c r="S237" s="308">
        <f t="shared" si="47"/>
        <v>0</v>
      </c>
    </row>
    <row r="238" spans="1:19">
      <c r="A238" s="142"/>
      <c r="B238" s="52"/>
      <c r="C238" s="21">
        <f t="shared" si="38"/>
        <v>1</v>
      </c>
      <c r="D238" s="634"/>
      <c r="E238" s="21">
        <f t="shared" si="39"/>
        <v>0.01</v>
      </c>
      <c r="F238" s="634"/>
      <c r="G238" s="21">
        <f t="shared" si="40"/>
        <v>0.04</v>
      </c>
      <c r="H238" s="634"/>
      <c r="I238" s="21">
        <f t="shared" si="41"/>
        <v>0.06</v>
      </c>
      <c r="J238" s="634"/>
      <c r="K238" s="21">
        <f t="shared" si="42"/>
        <v>1</v>
      </c>
      <c r="L238" s="634"/>
      <c r="M238" s="21">
        <f t="shared" si="43"/>
        <v>1</v>
      </c>
      <c r="N238" s="634"/>
      <c r="O238" s="21">
        <f t="shared" si="44"/>
        <v>1</v>
      </c>
      <c r="P238" s="634"/>
      <c r="Q238" s="21">
        <f t="shared" si="45"/>
        <v>1</v>
      </c>
      <c r="R238" s="21">
        <f t="shared" si="46"/>
        <v>0</v>
      </c>
      <c r="S238" s="308">
        <f t="shared" si="47"/>
        <v>0</v>
      </c>
    </row>
    <row r="239" spans="1:19">
      <c r="A239" s="142"/>
      <c r="B239" s="52"/>
      <c r="C239" s="21">
        <f t="shared" si="38"/>
        <v>1</v>
      </c>
      <c r="D239" s="634"/>
      <c r="E239" s="21">
        <f t="shared" si="39"/>
        <v>0.01</v>
      </c>
      <c r="F239" s="634"/>
      <c r="G239" s="21">
        <f t="shared" si="40"/>
        <v>0.04</v>
      </c>
      <c r="H239" s="634"/>
      <c r="I239" s="21">
        <f t="shared" si="41"/>
        <v>0.06</v>
      </c>
      <c r="J239" s="634"/>
      <c r="K239" s="21">
        <f t="shared" si="42"/>
        <v>1</v>
      </c>
      <c r="L239" s="634"/>
      <c r="M239" s="21">
        <f t="shared" si="43"/>
        <v>1</v>
      </c>
      <c r="N239" s="634"/>
      <c r="O239" s="21">
        <f t="shared" si="44"/>
        <v>1</v>
      </c>
      <c r="P239" s="634"/>
      <c r="Q239" s="21">
        <f t="shared" si="45"/>
        <v>1</v>
      </c>
      <c r="R239" s="21">
        <f t="shared" si="46"/>
        <v>0</v>
      </c>
      <c r="S239" s="308">
        <f t="shared" si="47"/>
        <v>0</v>
      </c>
    </row>
    <row r="240" spans="1:19">
      <c r="A240" s="142"/>
      <c r="B240" s="52"/>
      <c r="C240" s="21">
        <f t="shared" si="38"/>
        <v>1</v>
      </c>
      <c r="D240" s="634"/>
      <c r="E240" s="21">
        <f t="shared" si="39"/>
        <v>0.01</v>
      </c>
      <c r="F240" s="634"/>
      <c r="G240" s="21">
        <f t="shared" si="40"/>
        <v>0.04</v>
      </c>
      <c r="H240" s="634"/>
      <c r="I240" s="21">
        <f t="shared" si="41"/>
        <v>0.06</v>
      </c>
      <c r="J240" s="634"/>
      <c r="K240" s="21">
        <f t="shared" si="42"/>
        <v>1</v>
      </c>
      <c r="L240" s="634"/>
      <c r="M240" s="21">
        <f t="shared" si="43"/>
        <v>1</v>
      </c>
      <c r="N240" s="634"/>
      <c r="O240" s="21">
        <f t="shared" si="44"/>
        <v>1</v>
      </c>
      <c r="P240" s="634"/>
      <c r="Q240" s="21">
        <f t="shared" si="45"/>
        <v>1</v>
      </c>
      <c r="R240" s="21">
        <f t="shared" si="46"/>
        <v>0</v>
      </c>
      <c r="S240" s="308">
        <f t="shared" si="47"/>
        <v>0</v>
      </c>
    </row>
    <row r="241" spans="1:19">
      <c r="A241" s="142"/>
      <c r="B241" s="52"/>
      <c r="C241" s="21">
        <f t="shared" si="38"/>
        <v>1</v>
      </c>
      <c r="D241" s="634"/>
      <c r="E241" s="21">
        <f t="shared" si="39"/>
        <v>0.01</v>
      </c>
      <c r="F241" s="634"/>
      <c r="G241" s="21">
        <f t="shared" si="40"/>
        <v>0.04</v>
      </c>
      <c r="H241" s="634"/>
      <c r="I241" s="21">
        <f t="shared" si="41"/>
        <v>0.06</v>
      </c>
      <c r="J241" s="634"/>
      <c r="K241" s="21">
        <f t="shared" si="42"/>
        <v>1</v>
      </c>
      <c r="L241" s="634"/>
      <c r="M241" s="21">
        <f t="shared" si="43"/>
        <v>1</v>
      </c>
      <c r="N241" s="634"/>
      <c r="O241" s="21">
        <f t="shared" si="44"/>
        <v>1</v>
      </c>
      <c r="P241" s="634"/>
      <c r="Q241" s="21">
        <f t="shared" si="45"/>
        <v>1</v>
      </c>
      <c r="R241" s="21">
        <f t="shared" si="46"/>
        <v>0</v>
      </c>
      <c r="S241" s="308">
        <f t="shared" si="47"/>
        <v>0</v>
      </c>
    </row>
    <row r="242" spans="1:19">
      <c r="A242" s="142"/>
      <c r="B242" s="52"/>
      <c r="C242" s="21">
        <f t="shared" si="38"/>
        <v>1</v>
      </c>
      <c r="D242" s="634"/>
      <c r="E242" s="21">
        <f t="shared" si="39"/>
        <v>0.01</v>
      </c>
      <c r="F242" s="634"/>
      <c r="G242" s="21">
        <f t="shared" si="40"/>
        <v>0.04</v>
      </c>
      <c r="H242" s="634"/>
      <c r="I242" s="21">
        <f t="shared" si="41"/>
        <v>0.06</v>
      </c>
      <c r="J242" s="634"/>
      <c r="K242" s="21">
        <f t="shared" si="42"/>
        <v>1</v>
      </c>
      <c r="L242" s="634"/>
      <c r="M242" s="21">
        <f t="shared" si="43"/>
        <v>1</v>
      </c>
      <c r="N242" s="634"/>
      <c r="O242" s="21">
        <f t="shared" si="44"/>
        <v>1</v>
      </c>
      <c r="P242" s="634"/>
      <c r="Q242" s="21">
        <f t="shared" si="45"/>
        <v>1</v>
      </c>
      <c r="R242" s="21">
        <f t="shared" si="46"/>
        <v>0</v>
      </c>
      <c r="S242" s="308">
        <f t="shared" si="47"/>
        <v>0</v>
      </c>
    </row>
    <row r="243" spans="1:19">
      <c r="A243" s="142"/>
      <c r="B243" s="52"/>
      <c r="C243" s="21">
        <f t="shared" si="38"/>
        <v>1</v>
      </c>
      <c r="D243" s="634"/>
      <c r="E243" s="21">
        <f t="shared" si="39"/>
        <v>0.01</v>
      </c>
      <c r="F243" s="634"/>
      <c r="G243" s="21">
        <f t="shared" si="40"/>
        <v>0.04</v>
      </c>
      <c r="H243" s="634"/>
      <c r="I243" s="21">
        <f t="shared" si="41"/>
        <v>0.06</v>
      </c>
      <c r="J243" s="634"/>
      <c r="K243" s="21">
        <f t="shared" si="42"/>
        <v>1</v>
      </c>
      <c r="L243" s="634"/>
      <c r="M243" s="21">
        <f t="shared" si="43"/>
        <v>1</v>
      </c>
      <c r="N243" s="634"/>
      <c r="O243" s="21">
        <f t="shared" si="44"/>
        <v>1</v>
      </c>
      <c r="P243" s="634"/>
      <c r="Q243" s="21">
        <f t="shared" si="45"/>
        <v>1</v>
      </c>
      <c r="R243" s="21">
        <f t="shared" si="46"/>
        <v>0</v>
      </c>
      <c r="S243" s="308">
        <f t="shared" si="47"/>
        <v>0</v>
      </c>
    </row>
    <row r="244" spans="1:19">
      <c r="A244" s="142"/>
      <c r="B244" s="52"/>
      <c r="C244" s="21">
        <f t="shared" si="38"/>
        <v>1</v>
      </c>
      <c r="D244" s="634"/>
      <c r="E244" s="21">
        <f t="shared" si="39"/>
        <v>0.01</v>
      </c>
      <c r="F244" s="634"/>
      <c r="G244" s="21">
        <f t="shared" si="40"/>
        <v>0.04</v>
      </c>
      <c r="H244" s="634"/>
      <c r="I244" s="21">
        <f t="shared" si="41"/>
        <v>0.06</v>
      </c>
      <c r="J244" s="634"/>
      <c r="K244" s="21">
        <f t="shared" si="42"/>
        <v>1</v>
      </c>
      <c r="L244" s="634"/>
      <c r="M244" s="21">
        <f t="shared" si="43"/>
        <v>1</v>
      </c>
      <c r="N244" s="634"/>
      <c r="O244" s="21">
        <f t="shared" si="44"/>
        <v>1</v>
      </c>
      <c r="P244" s="634"/>
      <c r="Q244" s="21">
        <f t="shared" si="45"/>
        <v>1</v>
      </c>
      <c r="R244" s="21">
        <f t="shared" si="46"/>
        <v>0</v>
      </c>
      <c r="S244" s="308">
        <f t="shared" si="47"/>
        <v>0</v>
      </c>
    </row>
    <row r="245" spans="1:19">
      <c r="A245" s="142"/>
      <c r="B245" s="52"/>
      <c r="C245" s="21">
        <f t="shared" si="38"/>
        <v>1</v>
      </c>
      <c r="D245" s="634"/>
      <c r="E245" s="21">
        <f t="shared" si="39"/>
        <v>0.01</v>
      </c>
      <c r="F245" s="634"/>
      <c r="G245" s="21">
        <f t="shared" si="40"/>
        <v>0.04</v>
      </c>
      <c r="H245" s="634"/>
      <c r="I245" s="21">
        <f t="shared" si="41"/>
        <v>0.06</v>
      </c>
      <c r="J245" s="634"/>
      <c r="K245" s="21">
        <f t="shared" si="42"/>
        <v>1</v>
      </c>
      <c r="L245" s="634"/>
      <c r="M245" s="21">
        <f t="shared" si="43"/>
        <v>1</v>
      </c>
      <c r="N245" s="634"/>
      <c r="O245" s="21">
        <f t="shared" si="44"/>
        <v>1</v>
      </c>
      <c r="P245" s="634"/>
      <c r="Q245" s="21">
        <f t="shared" si="45"/>
        <v>1</v>
      </c>
      <c r="R245" s="21">
        <f t="shared" si="46"/>
        <v>0</v>
      </c>
      <c r="S245" s="308">
        <f t="shared" si="47"/>
        <v>0</v>
      </c>
    </row>
    <row r="246" spans="1:19">
      <c r="A246" s="142"/>
      <c r="B246" s="52"/>
      <c r="C246" s="21">
        <f t="shared" si="38"/>
        <v>1</v>
      </c>
      <c r="D246" s="634"/>
      <c r="E246" s="21">
        <f t="shared" si="39"/>
        <v>0.01</v>
      </c>
      <c r="F246" s="634"/>
      <c r="G246" s="21">
        <f t="shared" si="40"/>
        <v>0.04</v>
      </c>
      <c r="H246" s="634"/>
      <c r="I246" s="21">
        <f t="shared" si="41"/>
        <v>0.06</v>
      </c>
      <c r="J246" s="634"/>
      <c r="K246" s="21">
        <f t="shared" si="42"/>
        <v>1</v>
      </c>
      <c r="L246" s="634"/>
      <c r="M246" s="21">
        <f t="shared" si="43"/>
        <v>1</v>
      </c>
      <c r="N246" s="634"/>
      <c r="O246" s="21">
        <f t="shared" si="44"/>
        <v>1</v>
      </c>
      <c r="P246" s="634"/>
      <c r="Q246" s="21">
        <f t="shared" si="45"/>
        <v>1</v>
      </c>
      <c r="R246" s="21">
        <f t="shared" si="46"/>
        <v>0</v>
      </c>
      <c r="S246" s="308">
        <f t="shared" si="47"/>
        <v>0</v>
      </c>
    </row>
    <row r="247" spans="1:19">
      <c r="A247" s="142"/>
      <c r="B247" s="52"/>
      <c r="C247" s="21">
        <f t="shared" si="38"/>
        <v>1</v>
      </c>
      <c r="D247" s="634"/>
      <c r="E247" s="21">
        <f t="shared" si="39"/>
        <v>0.01</v>
      </c>
      <c r="F247" s="634"/>
      <c r="G247" s="21">
        <f t="shared" si="40"/>
        <v>0.04</v>
      </c>
      <c r="H247" s="634"/>
      <c r="I247" s="21">
        <f t="shared" si="41"/>
        <v>0.06</v>
      </c>
      <c r="J247" s="634"/>
      <c r="K247" s="21">
        <f t="shared" si="42"/>
        <v>1</v>
      </c>
      <c r="L247" s="634"/>
      <c r="M247" s="21">
        <f t="shared" si="43"/>
        <v>1</v>
      </c>
      <c r="N247" s="634"/>
      <c r="O247" s="21">
        <f t="shared" si="44"/>
        <v>1</v>
      </c>
      <c r="P247" s="634"/>
      <c r="Q247" s="21">
        <f t="shared" si="45"/>
        <v>1</v>
      </c>
      <c r="R247" s="21">
        <f t="shared" si="46"/>
        <v>0</v>
      </c>
      <c r="S247" s="308">
        <f t="shared" si="47"/>
        <v>0</v>
      </c>
    </row>
    <row r="248" spans="1:19">
      <c r="A248" s="142"/>
      <c r="B248" s="52"/>
      <c r="C248" s="21">
        <f t="shared" si="38"/>
        <v>1</v>
      </c>
      <c r="D248" s="634"/>
      <c r="E248" s="21">
        <f t="shared" si="39"/>
        <v>0.01</v>
      </c>
      <c r="F248" s="634"/>
      <c r="G248" s="21">
        <f t="shared" si="40"/>
        <v>0.04</v>
      </c>
      <c r="H248" s="634"/>
      <c r="I248" s="21">
        <f t="shared" si="41"/>
        <v>0.06</v>
      </c>
      <c r="J248" s="634"/>
      <c r="K248" s="21">
        <f t="shared" si="42"/>
        <v>1</v>
      </c>
      <c r="L248" s="634"/>
      <c r="M248" s="21">
        <f t="shared" si="43"/>
        <v>1</v>
      </c>
      <c r="N248" s="634"/>
      <c r="O248" s="21">
        <f t="shared" si="44"/>
        <v>1</v>
      </c>
      <c r="P248" s="634"/>
      <c r="Q248" s="21">
        <f t="shared" si="45"/>
        <v>1</v>
      </c>
      <c r="R248" s="21">
        <f t="shared" si="46"/>
        <v>0</v>
      </c>
      <c r="S248" s="308">
        <f t="shared" si="47"/>
        <v>0</v>
      </c>
    </row>
    <row r="249" spans="1:19">
      <c r="A249" s="142"/>
      <c r="B249" s="52"/>
      <c r="C249" s="21">
        <f t="shared" si="38"/>
        <v>1</v>
      </c>
      <c r="D249" s="634"/>
      <c r="E249" s="21">
        <f t="shared" si="39"/>
        <v>0.01</v>
      </c>
      <c r="F249" s="634"/>
      <c r="G249" s="21">
        <f t="shared" si="40"/>
        <v>0.04</v>
      </c>
      <c r="H249" s="634"/>
      <c r="I249" s="21">
        <f t="shared" si="41"/>
        <v>0.06</v>
      </c>
      <c r="J249" s="634"/>
      <c r="K249" s="21">
        <f t="shared" si="42"/>
        <v>1</v>
      </c>
      <c r="L249" s="634"/>
      <c r="M249" s="21">
        <f t="shared" si="43"/>
        <v>1</v>
      </c>
      <c r="N249" s="634"/>
      <c r="O249" s="21">
        <f t="shared" si="44"/>
        <v>1</v>
      </c>
      <c r="P249" s="634"/>
      <c r="Q249" s="21">
        <f t="shared" si="45"/>
        <v>1</v>
      </c>
      <c r="R249" s="21">
        <f t="shared" si="46"/>
        <v>0</v>
      </c>
      <c r="S249" s="308">
        <f t="shared" si="47"/>
        <v>0</v>
      </c>
    </row>
    <row r="250" spans="1:19">
      <c r="A250" s="142"/>
      <c r="B250" s="52"/>
      <c r="C250" s="21">
        <f t="shared" si="38"/>
        <v>1</v>
      </c>
      <c r="D250" s="634"/>
      <c r="E250" s="21">
        <f t="shared" si="39"/>
        <v>0.01</v>
      </c>
      <c r="F250" s="634"/>
      <c r="G250" s="21">
        <f t="shared" si="40"/>
        <v>0.04</v>
      </c>
      <c r="H250" s="634"/>
      <c r="I250" s="21">
        <f t="shared" si="41"/>
        <v>0.06</v>
      </c>
      <c r="J250" s="634"/>
      <c r="K250" s="21">
        <f t="shared" si="42"/>
        <v>1</v>
      </c>
      <c r="L250" s="634"/>
      <c r="M250" s="21">
        <f t="shared" si="43"/>
        <v>1</v>
      </c>
      <c r="N250" s="634"/>
      <c r="O250" s="21">
        <f t="shared" si="44"/>
        <v>1</v>
      </c>
      <c r="P250" s="634"/>
      <c r="Q250" s="21">
        <f t="shared" si="45"/>
        <v>1</v>
      </c>
      <c r="R250" s="21">
        <f t="shared" si="46"/>
        <v>0</v>
      </c>
      <c r="S250" s="308">
        <f t="shared" si="47"/>
        <v>0</v>
      </c>
    </row>
    <row r="251" spans="1:19">
      <c r="A251" s="142"/>
      <c r="B251" s="52"/>
      <c r="C251" s="21">
        <f t="shared" si="38"/>
        <v>1</v>
      </c>
      <c r="D251" s="634"/>
      <c r="E251" s="21">
        <f t="shared" si="39"/>
        <v>0.01</v>
      </c>
      <c r="F251" s="634"/>
      <c r="G251" s="21">
        <f t="shared" si="40"/>
        <v>0.04</v>
      </c>
      <c r="H251" s="634"/>
      <c r="I251" s="21">
        <f t="shared" si="41"/>
        <v>0.06</v>
      </c>
      <c r="J251" s="634"/>
      <c r="K251" s="21">
        <f t="shared" si="42"/>
        <v>1</v>
      </c>
      <c r="L251" s="634"/>
      <c r="M251" s="21">
        <f t="shared" si="43"/>
        <v>1</v>
      </c>
      <c r="N251" s="634"/>
      <c r="O251" s="21">
        <f t="shared" si="44"/>
        <v>1</v>
      </c>
      <c r="P251" s="634"/>
      <c r="Q251" s="21">
        <f t="shared" si="45"/>
        <v>1</v>
      </c>
      <c r="R251" s="21">
        <f t="shared" si="46"/>
        <v>0</v>
      </c>
      <c r="S251" s="308">
        <f t="shared" si="47"/>
        <v>0</v>
      </c>
    </row>
    <row r="252" spans="1:19">
      <c r="A252" s="142"/>
      <c r="B252" s="52"/>
      <c r="C252" s="21">
        <f t="shared" si="38"/>
        <v>1</v>
      </c>
      <c r="D252" s="634"/>
      <c r="E252" s="21">
        <f t="shared" si="39"/>
        <v>0.01</v>
      </c>
      <c r="F252" s="634"/>
      <c r="G252" s="21">
        <f t="shared" si="40"/>
        <v>0.04</v>
      </c>
      <c r="H252" s="634"/>
      <c r="I252" s="21">
        <f t="shared" si="41"/>
        <v>0.06</v>
      </c>
      <c r="J252" s="634"/>
      <c r="K252" s="21">
        <f t="shared" si="42"/>
        <v>1</v>
      </c>
      <c r="L252" s="634"/>
      <c r="M252" s="21">
        <f t="shared" si="43"/>
        <v>1</v>
      </c>
      <c r="N252" s="634"/>
      <c r="O252" s="21">
        <f t="shared" si="44"/>
        <v>1</v>
      </c>
      <c r="P252" s="634"/>
      <c r="Q252" s="21">
        <f t="shared" si="45"/>
        <v>1</v>
      </c>
      <c r="R252" s="21">
        <f t="shared" si="46"/>
        <v>0</v>
      </c>
      <c r="S252" s="308">
        <f t="shared" si="47"/>
        <v>0</v>
      </c>
    </row>
    <row r="253" spans="1:19">
      <c r="A253" s="142"/>
      <c r="B253" s="52"/>
      <c r="C253" s="21">
        <f t="shared" si="38"/>
        <v>1</v>
      </c>
      <c r="D253" s="634"/>
      <c r="E253" s="21">
        <f t="shared" si="39"/>
        <v>0.01</v>
      </c>
      <c r="F253" s="634"/>
      <c r="G253" s="21">
        <f t="shared" si="40"/>
        <v>0.04</v>
      </c>
      <c r="H253" s="634"/>
      <c r="I253" s="21">
        <f t="shared" si="41"/>
        <v>0.06</v>
      </c>
      <c r="J253" s="634"/>
      <c r="K253" s="21">
        <f t="shared" si="42"/>
        <v>1</v>
      </c>
      <c r="L253" s="634"/>
      <c r="M253" s="21">
        <f t="shared" si="43"/>
        <v>1</v>
      </c>
      <c r="N253" s="634"/>
      <c r="O253" s="21">
        <f t="shared" si="44"/>
        <v>1</v>
      </c>
      <c r="P253" s="634"/>
      <c r="Q253" s="21">
        <f t="shared" si="45"/>
        <v>1</v>
      </c>
      <c r="R253" s="21">
        <f t="shared" si="46"/>
        <v>0</v>
      </c>
      <c r="S253" s="308">
        <f t="shared" si="47"/>
        <v>0</v>
      </c>
    </row>
    <row r="254" spans="1:19">
      <c r="A254" s="142"/>
      <c r="B254" s="52"/>
      <c r="C254" s="21">
        <f t="shared" si="38"/>
        <v>1</v>
      </c>
      <c r="D254" s="634"/>
      <c r="E254" s="21">
        <f t="shared" si="39"/>
        <v>0.01</v>
      </c>
      <c r="F254" s="634"/>
      <c r="G254" s="21">
        <f t="shared" si="40"/>
        <v>0.04</v>
      </c>
      <c r="H254" s="634"/>
      <c r="I254" s="21">
        <f t="shared" si="41"/>
        <v>0.06</v>
      </c>
      <c r="J254" s="634"/>
      <c r="K254" s="21">
        <f t="shared" si="42"/>
        <v>1</v>
      </c>
      <c r="L254" s="634"/>
      <c r="M254" s="21">
        <f t="shared" si="43"/>
        <v>1</v>
      </c>
      <c r="N254" s="634"/>
      <c r="O254" s="21">
        <f t="shared" si="44"/>
        <v>1</v>
      </c>
      <c r="P254" s="634"/>
      <c r="Q254" s="21">
        <f t="shared" si="45"/>
        <v>1</v>
      </c>
      <c r="R254" s="21">
        <f t="shared" si="46"/>
        <v>0</v>
      </c>
      <c r="S254" s="308">
        <f t="shared" si="47"/>
        <v>0</v>
      </c>
    </row>
    <row r="255" spans="1:19">
      <c r="A255" s="142"/>
      <c r="B255" s="52"/>
      <c r="C255" s="21">
        <f t="shared" si="38"/>
        <v>1</v>
      </c>
      <c r="D255" s="634"/>
      <c r="E255" s="21">
        <f t="shared" si="39"/>
        <v>0.01</v>
      </c>
      <c r="F255" s="634"/>
      <c r="G255" s="21">
        <f t="shared" si="40"/>
        <v>0.04</v>
      </c>
      <c r="H255" s="634"/>
      <c r="I255" s="21">
        <f t="shared" si="41"/>
        <v>0.06</v>
      </c>
      <c r="J255" s="634"/>
      <c r="K255" s="21">
        <f t="shared" si="42"/>
        <v>1</v>
      </c>
      <c r="L255" s="634"/>
      <c r="M255" s="21">
        <f t="shared" si="43"/>
        <v>1</v>
      </c>
      <c r="N255" s="634"/>
      <c r="O255" s="21">
        <f t="shared" si="44"/>
        <v>1</v>
      </c>
      <c r="P255" s="634"/>
      <c r="Q255" s="21">
        <f t="shared" si="45"/>
        <v>1</v>
      </c>
      <c r="R255" s="21">
        <f t="shared" si="46"/>
        <v>0</v>
      </c>
      <c r="S255" s="308">
        <f t="shared" si="47"/>
        <v>0</v>
      </c>
    </row>
    <row r="256" spans="1:19">
      <c r="A256" s="142"/>
      <c r="B256" s="52"/>
      <c r="C256" s="21">
        <f t="shared" si="38"/>
        <v>1</v>
      </c>
      <c r="D256" s="634"/>
      <c r="E256" s="21">
        <f t="shared" si="39"/>
        <v>0.01</v>
      </c>
      <c r="F256" s="634"/>
      <c r="G256" s="21">
        <f t="shared" si="40"/>
        <v>0.04</v>
      </c>
      <c r="H256" s="634"/>
      <c r="I256" s="21">
        <f t="shared" si="41"/>
        <v>0.06</v>
      </c>
      <c r="J256" s="634"/>
      <c r="K256" s="21">
        <f t="shared" si="42"/>
        <v>1</v>
      </c>
      <c r="L256" s="634"/>
      <c r="M256" s="21">
        <f t="shared" si="43"/>
        <v>1</v>
      </c>
      <c r="N256" s="634"/>
      <c r="O256" s="21">
        <f t="shared" si="44"/>
        <v>1</v>
      </c>
      <c r="P256" s="634"/>
      <c r="Q256" s="21">
        <f t="shared" si="45"/>
        <v>1</v>
      </c>
      <c r="R256" s="21">
        <f t="shared" si="46"/>
        <v>0</v>
      </c>
      <c r="S256" s="308">
        <f t="shared" si="47"/>
        <v>0</v>
      </c>
    </row>
    <row r="257" spans="1:19">
      <c r="A257" s="142"/>
      <c r="B257" s="52"/>
      <c r="C257" s="21">
        <f t="shared" si="38"/>
        <v>1</v>
      </c>
      <c r="D257" s="634"/>
      <c r="E257" s="21">
        <f t="shared" si="39"/>
        <v>0.01</v>
      </c>
      <c r="F257" s="634"/>
      <c r="G257" s="21">
        <f t="shared" si="40"/>
        <v>0.04</v>
      </c>
      <c r="H257" s="634"/>
      <c r="I257" s="21">
        <f t="shared" si="41"/>
        <v>0.06</v>
      </c>
      <c r="J257" s="634"/>
      <c r="K257" s="21">
        <f t="shared" si="42"/>
        <v>1</v>
      </c>
      <c r="L257" s="634"/>
      <c r="M257" s="21">
        <f t="shared" si="43"/>
        <v>1</v>
      </c>
      <c r="N257" s="634"/>
      <c r="O257" s="21">
        <f t="shared" si="44"/>
        <v>1</v>
      </c>
      <c r="P257" s="634"/>
      <c r="Q257" s="21">
        <f t="shared" si="45"/>
        <v>1</v>
      </c>
      <c r="R257" s="21">
        <f t="shared" si="46"/>
        <v>0</v>
      </c>
      <c r="S257" s="308">
        <f t="shared" si="47"/>
        <v>0</v>
      </c>
    </row>
    <row r="258" spans="1:19">
      <c r="A258" s="142"/>
      <c r="B258" s="52"/>
      <c r="C258" s="21">
        <f t="shared" si="38"/>
        <v>1</v>
      </c>
      <c r="D258" s="634"/>
      <c r="E258" s="21">
        <f t="shared" si="39"/>
        <v>0.01</v>
      </c>
      <c r="F258" s="634"/>
      <c r="G258" s="21">
        <f t="shared" si="40"/>
        <v>0.04</v>
      </c>
      <c r="H258" s="634"/>
      <c r="I258" s="21">
        <f t="shared" si="41"/>
        <v>0.06</v>
      </c>
      <c r="J258" s="634"/>
      <c r="K258" s="21">
        <f t="shared" si="42"/>
        <v>1</v>
      </c>
      <c r="L258" s="634"/>
      <c r="M258" s="21">
        <f t="shared" si="43"/>
        <v>1</v>
      </c>
      <c r="N258" s="634"/>
      <c r="O258" s="21">
        <f t="shared" si="44"/>
        <v>1</v>
      </c>
      <c r="P258" s="634"/>
      <c r="Q258" s="21">
        <f t="shared" si="45"/>
        <v>1</v>
      </c>
      <c r="R258" s="21">
        <f t="shared" si="46"/>
        <v>0</v>
      </c>
      <c r="S258" s="308">
        <f t="shared" si="47"/>
        <v>0</v>
      </c>
    </row>
    <row r="259" spans="1:19">
      <c r="A259" s="142"/>
      <c r="B259" s="52"/>
      <c r="C259" s="21">
        <f t="shared" si="38"/>
        <v>1</v>
      </c>
      <c r="D259" s="634"/>
      <c r="E259" s="21">
        <f t="shared" si="39"/>
        <v>0.01</v>
      </c>
      <c r="F259" s="634"/>
      <c r="G259" s="21">
        <f t="shared" si="40"/>
        <v>0.04</v>
      </c>
      <c r="H259" s="634"/>
      <c r="I259" s="21">
        <f t="shared" si="41"/>
        <v>0.06</v>
      </c>
      <c r="J259" s="634"/>
      <c r="K259" s="21">
        <f t="shared" si="42"/>
        <v>1</v>
      </c>
      <c r="L259" s="634"/>
      <c r="M259" s="21">
        <f t="shared" si="43"/>
        <v>1</v>
      </c>
      <c r="N259" s="634"/>
      <c r="O259" s="21">
        <f t="shared" si="44"/>
        <v>1</v>
      </c>
      <c r="P259" s="634"/>
      <c r="Q259" s="21">
        <f t="shared" si="45"/>
        <v>1</v>
      </c>
      <c r="R259" s="21">
        <f t="shared" si="46"/>
        <v>0</v>
      </c>
      <c r="S259" s="308">
        <f t="shared" si="47"/>
        <v>0</v>
      </c>
    </row>
    <row r="260" spans="1:19">
      <c r="A260" s="142"/>
      <c r="B260" s="52"/>
      <c r="C260" s="21">
        <f t="shared" si="38"/>
        <v>1</v>
      </c>
      <c r="D260" s="634"/>
      <c r="E260" s="21">
        <f t="shared" si="39"/>
        <v>0.01</v>
      </c>
      <c r="F260" s="634"/>
      <c r="G260" s="21">
        <f t="shared" si="40"/>
        <v>0.04</v>
      </c>
      <c r="H260" s="634"/>
      <c r="I260" s="21">
        <f t="shared" si="41"/>
        <v>0.06</v>
      </c>
      <c r="J260" s="634"/>
      <c r="K260" s="21">
        <f t="shared" si="42"/>
        <v>1</v>
      </c>
      <c r="L260" s="634"/>
      <c r="M260" s="21">
        <f t="shared" si="43"/>
        <v>1</v>
      </c>
      <c r="N260" s="634"/>
      <c r="O260" s="21">
        <f t="shared" si="44"/>
        <v>1</v>
      </c>
      <c r="P260" s="634"/>
      <c r="Q260" s="21">
        <f t="shared" si="45"/>
        <v>1</v>
      </c>
      <c r="R260" s="21">
        <f t="shared" si="46"/>
        <v>0</v>
      </c>
      <c r="S260" s="308">
        <f t="shared" si="47"/>
        <v>0</v>
      </c>
    </row>
    <row r="261" spans="1:19">
      <c r="A261" s="142"/>
      <c r="B261" s="52"/>
      <c r="C261" s="21">
        <f t="shared" si="38"/>
        <v>1</v>
      </c>
      <c r="D261" s="634"/>
      <c r="E261" s="21">
        <f t="shared" si="39"/>
        <v>0.01</v>
      </c>
      <c r="F261" s="634"/>
      <c r="G261" s="21">
        <f t="shared" si="40"/>
        <v>0.04</v>
      </c>
      <c r="H261" s="634"/>
      <c r="I261" s="21">
        <f t="shared" si="41"/>
        <v>0.06</v>
      </c>
      <c r="J261" s="634"/>
      <c r="K261" s="21">
        <f t="shared" si="42"/>
        <v>1</v>
      </c>
      <c r="L261" s="634"/>
      <c r="M261" s="21">
        <f t="shared" si="43"/>
        <v>1</v>
      </c>
      <c r="N261" s="634"/>
      <c r="O261" s="21">
        <f t="shared" si="44"/>
        <v>1</v>
      </c>
      <c r="P261" s="634"/>
      <c r="Q261" s="21">
        <f t="shared" si="45"/>
        <v>1</v>
      </c>
      <c r="R261" s="21">
        <f t="shared" si="46"/>
        <v>0</v>
      </c>
      <c r="S261" s="308">
        <f t="shared" si="47"/>
        <v>0</v>
      </c>
    </row>
    <row r="262" spans="1:19">
      <c r="A262" s="142"/>
      <c r="B262" s="52"/>
      <c r="C262" s="21">
        <f t="shared" si="38"/>
        <v>1</v>
      </c>
      <c r="D262" s="634"/>
      <c r="E262" s="21">
        <f t="shared" si="39"/>
        <v>0.01</v>
      </c>
      <c r="F262" s="634"/>
      <c r="G262" s="21">
        <f t="shared" si="40"/>
        <v>0.04</v>
      </c>
      <c r="H262" s="634"/>
      <c r="I262" s="21">
        <f t="shared" si="41"/>
        <v>0.06</v>
      </c>
      <c r="J262" s="634"/>
      <c r="K262" s="21">
        <f t="shared" si="42"/>
        <v>1</v>
      </c>
      <c r="L262" s="634"/>
      <c r="M262" s="21">
        <f t="shared" si="43"/>
        <v>1</v>
      </c>
      <c r="N262" s="634"/>
      <c r="O262" s="21">
        <f t="shared" si="44"/>
        <v>1</v>
      </c>
      <c r="P262" s="634"/>
      <c r="Q262" s="21">
        <f t="shared" si="45"/>
        <v>1</v>
      </c>
      <c r="R262" s="21">
        <f t="shared" si="46"/>
        <v>0</v>
      </c>
      <c r="S262" s="308">
        <f t="shared" si="47"/>
        <v>0</v>
      </c>
    </row>
    <row r="263" spans="1:19">
      <c r="A263" s="142"/>
      <c r="B263" s="52"/>
      <c r="C263" s="21">
        <f t="shared" si="38"/>
        <v>1</v>
      </c>
      <c r="D263" s="634"/>
      <c r="E263" s="21">
        <f t="shared" si="39"/>
        <v>0.01</v>
      </c>
      <c r="F263" s="634"/>
      <c r="G263" s="21">
        <f t="shared" si="40"/>
        <v>0.04</v>
      </c>
      <c r="H263" s="634"/>
      <c r="I263" s="21">
        <f t="shared" si="41"/>
        <v>0.06</v>
      </c>
      <c r="J263" s="634"/>
      <c r="K263" s="21">
        <f t="shared" si="42"/>
        <v>1</v>
      </c>
      <c r="L263" s="634"/>
      <c r="M263" s="21">
        <f t="shared" si="43"/>
        <v>1</v>
      </c>
      <c r="N263" s="634"/>
      <c r="O263" s="21">
        <f t="shared" si="44"/>
        <v>1</v>
      </c>
      <c r="P263" s="634"/>
      <c r="Q263" s="21">
        <f t="shared" si="45"/>
        <v>1</v>
      </c>
      <c r="R263" s="21">
        <f t="shared" si="46"/>
        <v>0</v>
      </c>
      <c r="S263" s="308">
        <f t="shared" si="47"/>
        <v>0</v>
      </c>
    </row>
    <row r="264" spans="1:19">
      <c r="A264" s="142"/>
      <c r="B264" s="52"/>
      <c r="C264" s="21">
        <f t="shared" si="38"/>
        <v>1</v>
      </c>
      <c r="D264" s="634"/>
      <c r="E264" s="21">
        <f t="shared" si="39"/>
        <v>0.01</v>
      </c>
      <c r="F264" s="634"/>
      <c r="G264" s="21">
        <f t="shared" si="40"/>
        <v>0.04</v>
      </c>
      <c r="H264" s="634"/>
      <c r="I264" s="21">
        <f t="shared" si="41"/>
        <v>0.06</v>
      </c>
      <c r="J264" s="634"/>
      <c r="K264" s="21">
        <f t="shared" si="42"/>
        <v>1</v>
      </c>
      <c r="L264" s="634"/>
      <c r="M264" s="21">
        <f t="shared" si="43"/>
        <v>1</v>
      </c>
      <c r="N264" s="634"/>
      <c r="O264" s="21">
        <f t="shared" si="44"/>
        <v>1</v>
      </c>
      <c r="P264" s="634"/>
      <c r="Q264" s="21">
        <f t="shared" si="45"/>
        <v>1</v>
      </c>
      <c r="R264" s="21">
        <f t="shared" si="46"/>
        <v>0</v>
      </c>
      <c r="S264" s="308">
        <f t="shared" si="47"/>
        <v>0</v>
      </c>
    </row>
    <row r="265" spans="1:19">
      <c r="A265" s="142"/>
      <c r="B265" s="52"/>
      <c r="C265" s="21">
        <f t="shared" si="38"/>
        <v>1</v>
      </c>
      <c r="D265" s="634"/>
      <c r="E265" s="21">
        <f t="shared" si="39"/>
        <v>0.01</v>
      </c>
      <c r="F265" s="634"/>
      <c r="G265" s="21">
        <f t="shared" si="40"/>
        <v>0.04</v>
      </c>
      <c r="H265" s="634"/>
      <c r="I265" s="21">
        <f t="shared" si="41"/>
        <v>0.06</v>
      </c>
      <c r="J265" s="634"/>
      <c r="K265" s="21">
        <f t="shared" si="42"/>
        <v>1</v>
      </c>
      <c r="L265" s="634"/>
      <c r="M265" s="21">
        <f t="shared" si="43"/>
        <v>1</v>
      </c>
      <c r="N265" s="634"/>
      <c r="O265" s="21">
        <f t="shared" si="44"/>
        <v>1</v>
      </c>
      <c r="P265" s="634"/>
      <c r="Q265" s="21">
        <f t="shared" si="45"/>
        <v>1</v>
      </c>
      <c r="R265" s="21">
        <f t="shared" si="46"/>
        <v>0</v>
      </c>
      <c r="S265" s="308">
        <f t="shared" si="47"/>
        <v>0</v>
      </c>
    </row>
    <row r="266" spans="1:19">
      <c r="A266" s="142"/>
      <c r="B266" s="52"/>
      <c r="C266" s="21">
        <f t="shared" si="38"/>
        <v>1</v>
      </c>
      <c r="D266" s="634"/>
      <c r="E266" s="21">
        <f t="shared" si="39"/>
        <v>0.01</v>
      </c>
      <c r="F266" s="634"/>
      <c r="G266" s="21">
        <f t="shared" si="40"/>
        <v>0.04</v>
      </c>
      <c r="H266" s="634"/>
      <c r="I266" s="21">
        <f t="shared" si="41"/>
        <v>0.06</v>
      </c>
      <c r="J266" s="634"/>
      <c r="K266" s="21">
        <f t="shared" si="42"/>
        <v>1</v>
      </c>
      <c r="L266" s="634"/>
      <c r="M266" s="21">
        <f t="shared" si="43"/>
        <v>1</v>
      </c>
      <c r="N266" s="634"/>
      <c r="O266" s="21">
        <f t="shared" si="44"/>
        <v>1</v>
      </c>
      <c r="P266" s="634"/>
      <c r="Q266" s="21">
        <f t="shared" si="45"/>
        <v>1</v>
      </c>
      <c r="R266" s="21">
        <f t="shared" si="46"/>
        <v>0</v>
      </c>
      <c r="S266" s="308">
        <f t="shared" si="47"/>
        <v>0</v>
      </c>
    </row>
    <row r="267" spans="1:19">
      <c r="A267" s="142"/>
      <c r="B267" s="52"/>
      <c r="C267" s="21">
        <f t="shared" si="38"/>
        <v>1</v>
      </c>
      <c r="D267" s="634"/>
      <c r="E267" s="21">
        <f t="shared" si="39"/>
        <v>0.01</v>
      </c>
      <c r="F267" s="634"/>
      <c r="G267" s="21">
        <f t="shared" si="40"/>
        <v>0.04</v>
      </c>
      <c r="H267" s="634"/>
      <c r="I267" s="21">
        <f t="shared" si="41"/>
        <v>0.06</v>
      </c>
      <c r="J267" s="634"/>
      <c r="K267" s="21">
        <f t="shared" si="42"/>
        <v>1</v>
      </c>
      <c r="L267" s="634"/>
      <c r="M267" s="21">
        <f t="shared" si="43"/>
        <v>1</v>
      </c>
      <c r="N267" s="634"/>
      <c r="O267" s="21">
        <f t="shared" si="44"/>
        <v>1</v>
      </c>
      <c r="P267" s="634"/>
      <c r="Q267" s="21">
        <f t="shared" si="45"/>
        <v>1</v>
      </c>
      <c r="R267" s="21">
        <f t="shared" si="46"/>
        <v>0</v>
      </c>
      <c r="S267" s="308">
        <f t="shared" si="47"/>
        <v>0</v>
      </c>
    </row>
    <row r="268" spans="1:19">
      <c r="A268" s="142"/>
      <c r="B268" s="52"/>
      <c r="C268" s="21">
        <f t="shared" si="38"/>
        <v>1</v>
      </c>
      <c r="D268" s="634"/>
      <c r="E268" s="21">
        <f t="shared" si="39"/>
        <v>0.01</v>
      </c>
      <c r="F268" s="634"/>
      <c r="G268" s="21">
        <f t="shared" si="40"/>
        <v>0.04</v>
      </c>
      <c r="H268" s="634"/>
      <c r="I268" s="21">
        <f t="shared" si="41"/>
        <v>0.06</v>
      </c>
      <c r="J268" s="634"/>
      <c r="K268" s="21">
        <f t="shared" si="42"/>
        <v>1</v>
      </c>
      <c r="L268" s="634"/>
      <c r="M268" s="21">
        <f t="shared" si="43"/>
        <v>1</v>
      </c>
      <c r="N268" s="634"/>
      <c r="O268" s="21">
        <f t="shared" si="44"/>
        <v>1</v>
      </c>
      <c r="P268" s="634"/>
      <c r="Q268" s="21">
        <f t="shared" si="45"/>
        <v>1</v>
      </c>
      <c r="R268" s="21">
        <f t="shared" si="46"/>
        <v>0</v>
      </c>
      <c r="S268" s="308">
        <f t="shared" si="47"/>
        <v>0</v>
      </c>
    </row>
    <row r="269" spans="1:19">
      <c r="A269" s="142"/>
      <c r="B269" s="52"/>
      <c r="C269" s="21">
        <f t="shared" si="38"/>
        <v>1</v>
      </c>
      <c r="D269" s="634"/>
      <c r="E269" s="21">
        <f t="shared" si="39"/>
        <v>0.01</v>
      </c>
      <c r="F269" s="634"/>
      <c r="G269" s="21">
        <f t="shared" si="40"/>
        <v>0.04</v>
      </c>
      <c r="H269" s="634"/>
      <c r="I269" s="21">
        <f t="shared" si="41"/>
        <v>0.06</v>
      </c>
      <c r="J269" s="634"/>
      <c r="K269" s="21">
        <f t="shared" si="42"/>
        <v>1</v>
      </c>
      <c r="L269" s="634"/>
      <c r="M269" s="21">
        <f t="shared" si="43"/>
        <v>1</v>
      </c>
      <c r="N269" s="634"/>
      <c r="O269" s="21">
        <f t="shared" si="44"/>
        <v>1</v>
      </c>
      <c r="P269" s="634"/>
      <c r="Q269" s="21">
        <f t="shared" si="45"/>
        <v>1</v>
      </c>
      <c r="R269" s="21">
        <f t="shared" si="46"/>
        <v>0</v>
      </c>
      <c r="S269" s="308">
        <f t="shared" si="47"/>
        <v>0</v>
      </c>
    </row>
    <row r="270" spans="1:19">
      <c r="A270" s="142"/>
      <c r="B270" s="52"/>
      <c r="C270" s="21">
        <f t="shared" si="38"/>
        <v>1</v>
      </c>
      <c r="D270" s="634"/>
      <c r="E270" s="21">
        <f t="shared" si="39"/>
        <v>0.01</v>
      </c>
      <c r="F270" s="634"/>
      <c r="G270" s="21">
        <f t="shared" si="40"/>
        <v>0.04</v>
      </c>
      <c r="H270" s="634"/>
      <c r="I270" s="21">
        <f t="shared" si="41"/>
        <v>0.06</v>
      </c>
      <c r="J270" s="634"/>
      <c r="K270" s="21">
        <f t="shared" si="42"/>
        <v>1</v>
      </c>
      <c r="L270" s="634"/>
      <c r="M270" s="21">
        <f t="shared" si="43"/>
        <v>1</v>
      </c>
      <c r="N270" s="634"/>
      <c r="O270" s="21">
        <f t="shared" si="44"/>
        <v>1</v>
      </c>
      <c r="P270" s="634"/>
      <c r="Q270" s="21">
        <f t="shared" si="45"/>
        <v>1</v>
      </c>
      <c r="R270" s="21">
        <f t="shared" si="46"/>
        <v>0</v>
      </c>
      <c r="S270" s="308">
        <f t="shared" si="47"/>
        <v>0</v>
      </c>
    </row>
    <row r="271" spans="1:19">
      <c r="A271" s="142"/>
      <c r="B271" s="52"/>
      <c r="C271" s="21">
        <f t="shared" si="38"/>
        <v>1</v>
      </c>
      <c r="D271" s="634"/>
      <c r="E271" s="21">
        <f t="shared" si="39"/>
        <v>0.01</v>
      </c>
      <c r="F271" s="634"/>
      <c r="G271" s="21">
        <f t="shared" si="40"/>
        <v>0.04</v>
      </c>
      <c r="H271" s="634"/>
      <c r="I271" s="21">
        <f t="shared" si="41"/>
        <v>0.06</v>
      </c>
      <c r="J271" s="634"/>
      <c r="K271" s="21">
        <f t="shared" si="42"/>
        <v>1</v>
      </c>
      <c r="L271" s="634"/>
      <c r="M271" s="21">
        <f t="shared" si="43"/>
        <v>1</v>
      </c>
      <c r="N271" s="634"/>
      <c r="O271" s="21">
        <f t="shared" si="44"/>
        <v>1</v>
      </c>
      <c r="P271" s="634"/>
      <c r="Q271" s="21">
        <f t="shared" si="45"/>
        <v>1</v>
      </c>
      <c r="R271" s="21">
        <f t="shared" si="46"/>
        <v>0</v>
      </c>
      <c r="S271" s="308">
        <f t="shared" si="47"/>
        <v>0</v>
      </c>
    </row>
    <row r="272" spans="1:19">
      <c r="A272" s="142"/>
      <c r="B272" s="52"/>
      <c r="C272" s="21">
        <f t="shared" si="38"/>
        <v>1</v>
      </c>
      <c r="D272" s="634"/>
      <c r="E272" s="21">
        <f t="shared" si="39"/>
        <v>0.01</v>
      </c>
      <c r="F272" s="634"/>
      <c r="G272" s="21">
        <f t="shared" si="40"/>
        <v>0.04</v>
      </c>
      <c r="H272" s="634"/>
      <c r="I272" s="21">
        <f t="shared" si="41"/>
        <v>0.06</v>
      </c>
      <c r="J272" s="634"/>
      <c r="K272" s="21">
        <f t="shared" si="42"/>
        <v>1</v>
      </c>
      <c r="L272" s="634"/>
      <c r="M272" s="21">
        <f t="shared" si="43"/>
        <v>1</v>
      </c>
      <c r="N272" s="634"/>
      <c r="O272" s="21">
        <f t="shared" si="44"/>
        <v>1</v>
      </c>
      <c r="P272" s="634"/>
      <c r="Q272" s="21">
        <f t="shared" si="45"/>
        <v>1</v>
      </c>
      <c r="R272" s="21">
        <f t="shared" si="46"/>
        <v>0</v>
      </c>
      <c r="S272" s="308">
        <f t="shared" si="47"/>
        <v>0</v>
      </c>
    </row>
    <row r="273" spans="1:19">
      <c r="A273" s="142"/>
      <c r="B273" s="52"/>
      <c r="C273" s="21">
        <f t="shared" si="38"/>
        <v>1</v>
      </c>
      <c r="D273" s="634"/>
      <c r="E273" s="21">
        <f t="shared" si="39"/>
        <v>0.01</v>
      </c>
      <c r="F273" s="634"/>
      <c r="G273" s="21">
        <f t="shared" si="40"/>
        <v>0.04</v>
      </c>
      <c r="H273" s="634"/>
      <c r="I273" s="21">
        <f t="shared" si="41"/>
        <v>0.06</v>
      </c>
      <c r="J273" s="634"/>
      <c r="K273" s="21">
        <f t="shared" si="42"/>
        <v>1</v>
      </c>
      <c r="L273" s="634"/>
      <c r="M273" s="21">
        <f t="shared" si="43"/>
        <v>1</v>
      </c>
      <c r="N273" s="634"/>
      <c r="O273" s="21">
        <f t="shared" si="44"/>
        <v>1</v>
      </c>
      <c r="P273" s="634"/>
      <c r="Q273" s="21">
        <f t="shared" si="45"/>
        <v>1</v>
      </c>
      <c r="R273" s="21">
        <f t="shared" si="46"/>
        <v>0</v>
      </c>
      <c r="S273" s="308">
        <f t="shared" si="47"/>
        <v>0</v>
      </c>
    </row>
    <row r="274" spans="1:19">
      <c r="A274" s="142"/>
      <c r="B274" s="52"/>
      <c r="C274" s="21">
        <f t="shared" si="38"/>
        <v>1</v>
      </c>
      <c r="D274" s="634"/>
      <c r="E274" s="21">
        <f t="shared" si="39"/>
        <v>0.01</v>
      </c>
      <c r="F274" s="634"/>
      <c r="G274" s="21">
        <f t="shared" si="40"/>
        <v>0.04</v>
      </c>
      <c r="H274" s="634"/>
      <c r="I274" s="21">
        <f t="shared" si="41"/>
        <v>0.06</v>
      </c>
      <c r="J274" s="634"/>
      <c r="K274" s="21">
        <f t="shared" si="42"/>
        <v>1</v>
      </c>
      <c r="L274" s="634"/>
      <c r="M274" s="21">
        <f t="shared" si="43"/>
        <v>1</v>
      </c>
      <c r="N274" s="634"/>
      <c r="O274" s="21">
        <f t="shared" si="44"/>
        <v>1</v>
      </c>
      <c r="P274" s="634"/>
      <c r="Q274" s="21">
        <f t="shared" si="45"/>
        <v>1</v>
      </c>
      <c r="R274" s="21">
        <f t="shared" si="46"/>
        <v>0</v>
      </c>
      <c r="S274" s="308">
        <f t="shared" si="47"/>
        <v>0</v>
      </c>
    </row>
    <row r="275" spans="1:19">
      <c r="A275" s="142"/>
      <c r="B275" s="52"/>
      <c r="C275" s="21">
        <f t="shared" si="38"/>
        <v>1</v>
      </c>
      <c r="D275" s="634"/>
      <c r="E275" s="21">
        <f t="shared" si="39"/>
        <v>0.01</v>
      </c>
      <c r="F275" s="634"/>
      <c r="G275" s="21">
        <f t="shared" si="40"/>
        <v>0.04</v>
      </c>
      <c r="H275" s="634"/>
      <c r="I275" s="21">
        <f t="shared" si="41"/>
        <v>0.06</v>
      </c>
      <c r="J275" s="634"/>
      <c r="K275" s="21">
        <f t="shared" si="42"/>
        <v>1</v>
      </c>
      <c r="L275" s="634"/>
      <c r="M275" s="21">
        <f t="shared" si="43"/>
        <v>1</v>
      </c>
      <c r="N275" s="634"/>
      <c r="O275" s="21">
        <f t="shared" si="44"/>
        <v>1</v>
      </c>
      <c r="P275" s="634"/>
      <c r="Q275" s="21">
        <f t="shared" si="45"/>
        <v>1</v>
      </c>
      <c r="R275" s="21">
        <f t="shared" si="46"/>
        <v>0</v>
      </c>
      <c r="S275" s="308">
        <f t="shared" si="47"/>
        <v>0</v>
      </c>
    </row>
    <row r="276" spans="1:19">
      <c r="A276" s="142"/>
      <c r="B276" s="52"/>
      <c r="C276" s="21">
        <f t="shared" si="38"/>
        <v>1</v>
      </c>
      <c r="D276" s="634"/>
      <c r="E276" s="21">
        <f t="shared" si="39"/>
        <v>0.01</v>
      </c>
      <c r="F276" s="634"/>
      <c r="G276" s="21">
        <f t="shared" si="40"/>
        <v>0.04</v>
      </c>
      <c r="H276" s="634"/>
      <c r="I276" s="21">
        <f t="shared" si="41"/>
        <v>0.06</v>
      </c>
      <c r="J276" s="634"/>
      <c r="K276" s="21">
        <f t="shared" si="42"/>
        <v>1</v>
      </c>
      <c r="L276" s="634"/>
      <c r="M276" s="21">
        <f t="shared" si="43"/>
        <v>1</v>
      </c>
      <c r="N276" s="634"/>
      <c r="O276" s="21">
        <f t="shared" si="44"/>
        <v>1</v>
      </c>
      <c r="P276" s="634"/>
      <c r="Q276" s="21">
        <f t="shared" si="45"/>
        <v>1</v>
      </c>
      <c r="R276" s="21">
        <f t="shared" si="46"/>
        <v>0</v>
      </c>
      <c r="S276" s="308">
        <f t="shared" si="47"/>
        <v>0</v>
      </c>
    </row>
    <row r="277" spans="1:19">
      <c r="A277" s="142"/>
      <c r="B277" s="52"/>
      <c r="C277" s="21">
        <f t="shared" si="38"/>
        <v>1</v>
      </c>
      <c r="D277" s="634"/>
      <c r="E277" s="21">
        <f t="shared" si="39"/>
        <v>0.01</v>
      </c>
      <c r="F277" s="634"/>
      <c r="G277" s="21">
        <f t="shared" si="40"/>
        <v>0.04</v>
      </c>
      <c r="H277" s="634"/>
      <c r="I277" s="21">
        <f t="shared" si="41"/>
        <v>0.06</v>
      </c>
      <c r="J277" s="634"/>
      <c r="K277" s="21">
        <f t="shared" si="42"/>
        <v>1</v>
      </c>
      <c r="L277" s="634"/>
      <c r="M277" s="21">
        <f t="shared" si="43"/>
        <v>1</v>
      </c>
      <c r="N277" s="634"/>
      <c r="O277" s="21">
        <f t="shared" si="44"/>
        <v>1</v>
      </c>
      <c r="P277" s="634"/>
      <c r="Q277" s="21">
        <f t="shared" si="45"/>
        <v>1</v>
      </c>
      <c r="R277" s="21">
        <f t="shared" si="46"/>
        <v>0</v>
      </c>
      <c r="S277" s="308">
        <f t="shared" si="47"/>
        <v>0</v>
      </c>
    </row>
    <row r="278" spans="1:19">
      <c r="A278" s="142"/>
      <c r="B278" s="52"/>
      <c r="C278" s="21">
        <f t="shared" si="38"/>
        <v>1</v>
      </c>
      <c r="D278" s="634"/>
      <c r="E278" s="21">
        <f t="shared" si="39"/>
        <v>0.01</v>
      </c>
      <c r="F278" s="634"/>
      <c r="G278" s="21">
        <f t="shared" si="40"/>
        <v>0.04</v>
      </c>
      <c r="H278" s="634"/>
      <c r="I278" s="21">
        <f t="shared" si="41"/>
        <v>0.06</v>
      </c>
      <c r="J278" s="634"/>
      <c r="K278" s="21">
        <f t="shared" si="42"/>
        <v>1</v>
      </c>
      <c r="L278" s="634"/>
      <c r="M278" s="21">
        <f t="shared" si="43"/>
        <v>1</v>
      </c>
      <c r="N278" s="634"/>
      <c r="O278" s="21">
        <f t="shared" si="44"/>
        <v>1</v>
      </c>
      <c r="P278" s="634"/>
      <c r="Q278" s="21">
        <f t="shared" si="45"/>
        <v>1</v>
      </c>
      <c r="R278" s="21">
        <f t="shared" si="46"/>
        <v>0</v>
      </c>
      <c r="S278" s="308">
        <f t="shared" si="47"/>
        <v>0</v>
      </c>
    </row>
    <row r="279" spans="1:19">
      <c r="A279" s="142"/>
      <c r="B279" s="52"/>
      <c r="C279" s="21">
        <f t="shared" si="38"/>
        <v>1</v>
      </c>
      <c r="D279" s="634"/>
      <c r="E279" s="21">
        <f t="shared" si="39"/>
        <v>0.01</v>
      </c>
      <c r="F279" s="634"/>
      <c r="G279" s="21">
        <f t="shared" si="40"/>
        <v>0.04</v>
      </c>
      <c r="H279" s="634"/>
      <c r="I279" s="21">
        <f t="shared" si="41"/>
        <v>0.06</v>
      </c>
      <c r="J279" s="634"/>
      <c r="K279" s="21">
        <f t="shared" si="42"/>
        <v>1</v>
      </c>
      <c r="L279" s="634"/>
      <c r="M279" s="21">
        <f t="shared" si="43"/>
        <v>1</v>
      </c>
      <c r="N279" s="634"/>
      <c r="O279" s="21">
        <f t="shared" si="44"/>
        <v>1</v>
      </c>
      <c r="P279" s="634"/>
      <c r="Q279" s="21">
        <f t="shared" si="45"/>
        <v>1</v>
      </c>
      <c r="R279" s="21">
        <f t="shared" si="46"/>
        <v>0</v>
      </c>
      <c r="S279" s="308">
        <f t="shared" si="47"/>
        <v>0</v>
      </c>
    </row>
    <row r="280" spans="1:19">
      <c r="A280" s="142"/>
      <c r="B280" s="52"/>
      <c r="C280" s="21">
        <f t="shared" si="38"/>
        <v>1</v>
      </c>
      <c r="D280" s="634"/>
      <c r="E280" s="21">
        <f t="shared" si="39"/>
        <v>0.01</v>
      </c>
      <c r="F280" s="634"/>
      <c r="G280" s="21">
        <f t="shared" si="40"/>
        <v>0.04</v>
      </c>
      <c r="H280" s="634"/>
      <c r="I280" s="21">
        <f t="shared" si="41"/>
        <v>0.06</v>
      </c>
      <c r="J280" s="634"/>
      <c r="K280" s="21">
        <f t="shared" si="42"/>
        <v>1</v>
      </c>
      <c r="L280" s="634"/>
      <c r="M280" s="21">
        <f t="shared" si="43"/>
        <v>1</v>
      </c>
      <c r="N280" s="634"/>
      <c r="O280" s="21">
        <f t="shared" si="44"/>
        <v>1</v>
      </c>
      <c r="P280" s="634"/>
      <c r="Q280" s="21">
        <f t="shared" si="45"/>
        <v>1</v>
      </c>
      <c r="R280" s="21">
        <f t="shared" si="46"/>
        <v>0</v>
      </c>
      <c r="S280" s="308">
        <f t="shared" si="47"/>
        <v>0</v>
      </c>
    </row>
    <row r="281" spans="1:19">
      <c r="A281" s="142"/>
      <c r="B281" s="52"/>
      <c r="C281" s="21">
        <f t="shared" si="38"/>
        <v>1</v>
      </c>
      <c r="D281" s="634"/>
      <c r="E281" s="21">
        <f t="shared" si="39"/>
        <v>0.01</v>
      </c>
      <c r="F281" s="634"/>
      <c r="G281" s="21">
        <f t="shared" si="40"/>
        <v>0.04</v>
      </c>
      <c r="H281" s="634"/>
      <c r="I281" s="21">
        <f t="shared" si="41"/>
        <v>0.06</v>
      </c>
      <c r="J281" s="634"/>
      <c r="K281" s="21">
        <f t="shared" si="42"/>
        <v>1</v>
      </c>
      <c r="L281" s="634"/>
      <c r="M281" s="21">
        <f t="shared" si="43"/>
        <v>1</v>
      </c>
      <c r="N281" s="634"/>
      <c r="O281" s="21">
        <f t="shared" si="44"/>
        <v>1</v>
      </c>
      <c r="P281" s="634"/>
      <c r="Q281" s="21">
        <f t="shared" si="45"/>
        <v>1</v>
      </c>
      <c r="R281" s="21">
        <f t="shared" si="46"/>
        <v>0</v>
      </c>
      <c r="S281" s="308">
        <f t="shared" si="47"/>
        <v>0</v>
      </c>
    </row>
    <row r="282" spans="1:19">
      <c r="A282" s="142"/>
      <c r="B282" s="52"/>
      <c r="C282" s="21">
        <f t="shared" ref="C282:C345" si="48">IF(B282="",1,(LOOKUP(B282,$3:$3,$4:$4)-LOOKUP($B$24,$3:$3,$4:$4)+100)/100)</f>
        <v>1</v>
      </c>
      <c r="D282" s="634"/>
      <c r="E282" s="21">
        <f t="shared" ref="E282:E345" si="49">(SUMIF($5:$5,D282,$6:$6)-SUMIF($5:$5,$D$24,$6:$6)+100)/100</f>
        <v>0.01</v>
      </c>
      <c r="F282" s="634"/>
      <c r="G282" s="21">
        <f t="shared" ref="G282:G345" si="50">(SUMIF($7:$7,F282,$8:$8)-SUMIF($7:$7,$F$24,$8:$8)+100)/100</f>
        <v>0.04</v>
      </c>
      <c r="H282" s="634"/>
      <c r="I282" s="21">
        <f t="shared" ref="I282:I345" si="51">(SUMIF($9:$9,H282,$10:$10)-SUMIF($9:$9,$H$24,$10:$10)+100)/100</f>
        <v>0.06</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4"/>
      <c r="E283" s="21">
        <f t="shared" si="49"/>
        <v>0.01</v>
      </c>
      <c r="F283" s="634"/>
      <c r="G283" s="21">
        <f t="shared" si="50"/>
        <v>0.04</v>
      </c>
      <c r="H283" s="634"/>
      <c r="I283" s="21">
        <f t="shared" si="51"/>
        <v>0.06</v>
      </c>
      <c r="J283" s="634"/>
      <c r="K283" s="21">
        <f t="shared" si="52"/>
        <v>1</v>
      </c>
      <c r="L283" s="634"/>
      <c r="M283" s="21">
        <f t="shared" si="53"/>
        <v>1</v>
      </c>
      <c r="N283" s="634"/>
      <c r="O283" s="21">
        <f t="shared" si="54"/>
        <v>1</v>
      </c>
      <c r="P283" s="634"/>
      <c r="Q283" s="21">
        <f t="shared" si="55"/>
        <v>1</v>
      </c>
      <c r="R283" s="21">
        <f t="shared" si="56"/>
        <v>0</v>
      </c>
      <c r="S283" s="308">
        <f t="shared" si="47"/>
        <v>0</v>
      </c>
    </row>
    <row r="284" spans="1:19">
      <c r="A284" s="142"/>
      <c r="B284" s="52"/>
      <c r="C284" s="21">
        <f t="shared" si="48"/>
        <v>1</v>
      </c>
      <c r="D284" s="634"/>
      <c r="E284" s="21">
        <f t="shared" si="49"/>
        <v>0.01</v>
      </c>
      <c r="F284" s="634"/>
      <c r="G284" s="21">
        <f t="shared" si="50"/>
        <v>0.04</v>
      </c>
      <c r="H284" s="634"/>
      <c r="I284" s="21">
        <f t="shared" si="51"/>
        <v>0.06</v>
      </c>
      <c r="J284" s="634"/>
      <c r="K284" s="21">
        <f t="shared" si="52"/>
        <v>1</v>
      </c>
      <c r="L284" s="634"/>
      <c r="M284" s="21">
        <f t="shared" si="53"/>
        <v>1</v>
      </c>
      <c r="N284" s="634"/>
      <c r="O284" s="21">
        <f t="shared" si="54"/>
        <v>1</v>
      </c>
      <c r="P284" s="634"/>
      <c r="Q284" s="21">
        <f t="shared" si="55"/>
        <v>1</v>
      </c>
      <c r="R284" s="21">
        <f t="shared" si="56"/>
        <v>0</v>
      </c>
      <c r="S284" s="308">
        <f t="shared" si="47"/>
        <v>0</v>
      </c>
    </row>
    <row r="285" spans="1:19">
      <c r="A285" s="142"/>
      <c r="B285" s="52"/>
      <c r="C285" s="21">
        <f t="shared" si="48"/>
        <v>1</v>
      </c>
      <c r="D285" s="634"/>
      <c r="E285" s="21">
        <f t="shared" si="49"/>
        <v>0.01</v>
      </c>
      <c r="F285" s="634"/>
      <c r="G285" s="21">
        <f t="shared" si="50"/>
        <v>0.04</v>
      </c>
      <c r="H285" s="634"/>
      <c r="I285" s="21">
        <f t="shared" si="51"/>
        <v>0.06</v>
      </c>
      <c r="J285" s="634"/>
      <c r="K285" s="21">
        <f t="shared" si="52"/>
        <v>1</v>
      </c>
      <c r="L285" s="634"/>
      <c r="M285" s="21">
        <f t="shared" si="53"/>
        <v>1</v>
      </c>
      <c r="N285" s="634"/>
      <c r="O285" s="21">
        <f t="shared" si="54"/>
        <v>1</v>
      </c>
      <c r="P285" s="634"/>
      <c r="Q285" s="21">
        <f t="shared" si="55"/>
        <v>1</v>
      </c>
      <c r="R285" s="21">
        <f t="shared" si="56"/>
        <v>0</v>
      </c>
      <c r="S285" s="308">
        <f t="shared" si="47"/>
        <v>0</v>
      </c>
    </row>
    <row r="286" spans="1:19">
      <c r="A286" s="142"/>
      <c r="B286" s="52"/>
      <c r="C286" s="21">
        <f t="shared" si="48"/>
        <v>1</v>
      </c>
      <c r="D286" s="634"/>
      <c r="E286" s="21">
        <f t="shared" si="49"/>
        <v>0.01</v>
      </c>
      <c r="F286" s="634"/>
      <c r="G286" s="21">
        <f t="shared" si="50"/>
        <v>0.04</v>
      </c>
      <c r="H286" s="634"/>
      <c r="I286" s="21">
        <f t="shared" si="51"/>
        <v>0.06</v>
      </c>
      <c r="J286" s="634"/>
      <c r="K286" s="21">
        <f t="shared" si="52"/>
        <v>1</v>
      </c>
      <c r="L286" s="634"/>
      <c r="M286" s="21">
        <f t="shared" si="53"/>
        <v>1</v>
      </c>
      <c r="N286" s="634"/>
      <c r="O286" s="21">
        <f t="shared" si="54"/>
        <v>1</v>
      </c>
      <c r="P286" s="634"/>
      <c r="Q286" s="21">
        <f t="shared" si="55"/>
        <v>1</v>
      </c>
      <c r="R286" s="21">
        <f t="shared" si="56"/>
        <v>0</v>
      </c>
      <c r="S286" s="308">
        <f t="shared" si="47"/>
        <v>0</v>
      </c>
    </row>
    <row r="287" spans="1:19">
      <c r="A287" s="142"/>
      <c r="B287" s="52"/>
      <c r="C287" s="21">
        <f t="shared" si="48"/>
        <v>1</v>
      </c>
      <c r="D287" s="634"/>
      <c r="E287" s="21">
        <f t="shared" si="49"/>
        <v>0.01</v>
      </c>
      <c r="F287" s="634"/>
      <c r="G287" s="21">
        <f t="shared" si="50"/>
        <v>0.04</v>
      </c>
      <c r="H287" s="634"/>
      <c r="I287" s="21">
        <f t="shared" si="51"/>
        <v>0.06</v>
      </c>
      <c r="J287" s="634"/>
      <c r="K287" s="21">
        <f t="shared" si="52"/>
        <v>1</v>
      </c>
      <c r="L287" s="634"/>
      <c r="M287" s="21">
        <f t="shared" si="53"/>
        <v>1</v>
      </c>
      <c r="N287" s="634"/>
      <c r="O287" s="21">
        <f t="shared" si="54"/>
        <v>1</v>
      </c>
      <c r="P287" s="634"/>
      <c r="Q287" s="21">
        <f t="shared" si="55"/>
        <v>1</v>
      </c>
      <c r="R287" s="21">
        <f t="shared" si="56"/>
        <v>0</v>
      </c>
      <c r="S287" s="308">
        <f t="shared" ref="S287:S320" si="57">ROUND(R287*B287/10000,0)</f>
        <v>0</v>
      </c>
    </row>
    <row r="288" spans="1:19">
      <c r="A288" s="142"/>
      <c r="B288" s="52"/>
      <c r="C288" s="21">
        <f t="shared" si="48"/>
        <v>1</v>
      </c>
      <c r="D288" s="634"/>
      <c r="E288" s="21">
        <f t="shared" si="49"/>
        <v>0.01</v>
      </c>
      <c r="F288" s="634"/>
      <c r="G288" s="21">
        <f t="shared" si="50"/>
        <v>0.04</v>
      </c>
      <c r="H288" s="634"/>
      <c r="I288" s="21">
        <f t="shared" si="51"/>
        <v>0.06</v>
      </c>
      <c r="J288" s="634"/>
      <c r="K288" s="21">
        <f t="shared" si="52"/>
        <v>1</v>
      </c>
      <c r="L288" s="634"/>
      <c r="M288" s="21">
        <f t="shared" si="53"/>
        <v>1</v>
      </c>
      <c r="N288" s="634"/>
      <c r="O288" s="21">
        <f t="shared" si="54"/>
        <v>1</v>
      </c>
      <c r="P288" s="634"/>
      <c r="Q288" s="21">
        <f t="shared" si="55"/>
        <v>1</v>
      </c>
      <c r="R288" s="21">
        <f t="shared" si="56"/>
        <v>0</v>
      </c>
      <c r="S288" s="308">
        <f t="shared" si="57"/>
        <v>0</v>
      </c>
    </row>
    <row r="289" spans="1:19">
      <c r="A289" s="142"/>
      <c r="B289" s="52"/>
      <c r="C289" s="21">
        <f t="shared" si="48"/>
        <v>1</v>
      </c>
      <c r="D289" s="634"/>
      <c r="E289" s="21">
        <f t="shared" si="49"/>
        <v>0.01</v>
      </c>
      <c r="F289" s="634"/>
      <c r="G289" s="21">
        <f t="shared" si="50"/>
        <v>0.04</v>
      </c>
      <c r="H289" s="634"/>
      <c r="I289" s="21">
        <f t="shared" si="51"/>
        <v>0.06</v>
      </c>
      <c r="J289" s="634"/>
      <c r="K289" s="21">
        <f t="shared" si="52"/>
        <v>1</v>
      </c>
      <c r="L289" s="634"/>
      <c r="M289" s="21">
        <f t="shared" si="53"/>
        <v>1</v>
      </c>
      <c r="N289" s="634"/>
      <c r="O289" s="21">
        <f t="shared" si="54"/>
        <v>1</v>
      </c>
      <c r="P289" s="634"/>
      <c r="Q289" s="21">
        <f t="shared" si="55"/>
        <v>1</v>
      </c>
      <c r="R289" s="21">
        <f t="shared" si="56"/>
        <v>0</v>
      </c>
      <c r="S289" s="308">
        <f t="shared" si="57"/>
        <v>0</v>
      </c>
    </row>
    <row r="290" spans="1:19">
      <c r="A290" s="142"/>
      <c r="B290" s="52"/>
      <c r="C290" s="21">
        <f t="shared" si="48"/>
        <v>1</v>
      </c>
      <c r="D290" s="634"/>
      <c r="E290" s="21">
        <f t="shared" si="49"/>
        <v>0.01</v>
      </c>
      <c r="F290" s="634"/>
      <c r="G290" s="21">
        <f t="shared" si="50"/>
        <v>0.04</v>
      </c>
      <c r="H290" s="634"/>
      <c r="I290" s="21">
        <f t="shared" si="51"/>
        <v>0.06</v>
      </c>
      <c r="J290" s="634"/>
      <c r="K290" s="21">
        <f t="shared" si="52"/>
        <v>1</v>
      </c>
      <c r="L290" s="634"/>
      <c r="M290" s="21">
        <f t="shared" si="53"/>
        <v>1</v>
      </c>
      <c r="N290" s="634"/>
      <c r="O290" s="21">
        <f t="shared" si="54"/>
        <v>1</v>
      </c>
      <c r="P290" s="634"/>
      <c r="Q290" s="21">
        <f t="shared" si="55"/>
        <v>1</v>
      </c>
      <c r="R290" s="21">
        <f t="shared" si="56"/>
        <v>0</v>
      </c>
      <c r="S290" s="308">
        <f t="shared" si="57"/>
        <v>0</v>
      </c>
    </row>
    <row r="291" spans="1:19">
      <c r="A291" s="142"/>
      <c r="B291" s="52"/>
      <c r="C291" s="21">
        <f t="shared" si="48"/>
        <v>1</v>
      </c>
      <c r="D291" s="634"/>
      <c r="E291" s="21">
        <f t="shared" si="49"/>
        <v>0.01</v>
      </c>
      <c r="F291" s="634"/>
      <c r="G291" s="21">
        <f t="shared" si="50"/>
        <v>0.04</v>
      </c>
      <c r="H291" s="634"/>
      <c r="I291" s="21">
        <f t="shared" si="51"/>
        <v>0.06</v>
      </c>
      <c r="J291" s="634"/>
      <c r="K291" s="21">
        <f t="shared" si="52"/>
        <v>1</v>
      </c>
      <c r="L291" s="634"/>
      <c r="M291" s="21">
        <f t="shared" si="53"/>
        <v>1</v>
      </c>
      <c r="N291" s="634"/>
      <c r="O291" s="21">
        <f t="shared" si="54"/>
        <v>1</v>
      </c>
      <c r="P291" s="634"/>
      <c r="Q291" s="21">
        <f t="shared" si="55"/>
        <v>1</v>
      </c>
      <c r="R291" s="21">
        <f t="shared" si="56"/>
        <v>0</v>
      </c>
      <c r="S291" s="308">
        <f t="shared" si="57"/>
        <v>0</v>
      </c>
    </row>
    <row r="292" spans="1:19">
      <c r="A292" s="142"/>
      <c r="B292" s="52"/>
      <c r="C292" s="21">
        <f t="shared" si="48"/>
        <v>1</v>
      </c>
      <c r="D292" s="634"/>
      <c r="E292" s="21">
        <f t="shared" si="49"/>
        <v>0.01</v>
      </c>
      <c r="F292" s="634"/>
      <c r="G292" s="21">
        <f t="shared" si="50"/>
        <v>0.04</v>
      </c>
      <c r="H292" s="634"/>
      <c r="I292" s="21">
        <f t="shared" si="51"/>
        <v>0.06</v>
      </c>
      <c r="J292" s="634"/>
      <c r="K292" s="21">
        <f t="shared" si="52"/>
        <v>1</v>
      </c>
      <c r="L292" s="634"/>
      <c r="M292" s="21">
        <f t="shared" si="53"/>
        <v>1</v>
      </c>
      <c r="N292" s="634"/>
      <c r="O292" s="21">
        <f t="shared" si="54"/>
        <v>1</v>
      </c>
      <c r="P292" s="634"/>
      <c r="Q292" s="21">
        <f t="shared" si="55"/>
        <v>1</v>
      </c>
      <c r="R292" s="21">
        <f t="shared" si="56"/>
        <v>0</v>
      </c>
      <c r="S292" s="308">
        <f t="shared" si="57"/>
        <v>0</v>
      </c>
    </row>
    <row r="293" spans="1:19">
      <c r="A293" s="142"/>
      <c r="B293" s="52"/>
      <c r="C293" s="21">
        <f t="shared" si="48"/>
        <v>1</v>
      </c>
      <c r="D293" s="634"/>
      <c r="E293" s="21">
        <f t="shared" si="49"/>
        <v>0.01</v>
      </c>
      <c r="F293" s="634"/>
      <c r="G293" s="21">
        <f t="shared" si="50"/>
        <v>0.04</v>
      </c>
      <c r="H293" s="634"/>
      <c r="I293" s="21">
        <f t="shared" si="51"/>
        <v>0.06</v>
      </c>
      <c r="J293" s="634"/>
      <c r="K293" s="21">
        <f t="shared" si="52"/>
        <v>1</v>
      </c>
      <c r="L293" s="634"/>
      <c r="M293" s="21">
        <f t="shared" si="53"/>
        <v>1</v>
      </c>
      <c r="N293" s="634"/>
      <c r="O293" s="21">
        <f t="shared" si="54"/>
        <v>1</v>
      </c>
      <c r="P293" s="634"/>
      <c r="Q293" s="21">
        <f t="shared" si="55"/>
        <v>1</v>
      </c>
      <c r="R293" s="21">
        <f t="shared" si="56"/>
        <v>0</v>
      </c>
      <c r="S293" s="308">
        <f t="shared" si="57"/>
        <v>0</v>
      </c>
    </row>
    <row r="294" spans="1:19">
      <c r="A294" s="142"/>
      <c r="B294" s="52"/>
      <c r="C294" s="21">
        <f t="shared" si="48"/>
        <v>1</v>
      </c>
      <c r="D294" s="634"/>
      <c r="E294" s="21">
        <f t="shared" si="49"/>
        <v>0.01</v>
      </c>
      <c r="F294" s="634"/>
      <c r="G294" s="21">
        <f t="shared" si="50"/>
        <v>0.04</v>
      </c>
      <c r="H294" s="634"/>
      <c r="I294" s="21">
        <f t="shared" si="51"/>
        <v>0.06</v>
      </c>
      <c r="J294" s="634"/>
      <c r="K294" s="21">
        <f t="shared" si="52"/>
        <v>1</v>
      </c>
      <c r="L294" s="634"/>
      <c r="M294" s="21">
        <f t="shared" si="53"/>
        <v>1</v>
      </c>
      <c r="N294" s="634"/>
      <c r="O294" s="21">
        <f t="shared" si="54"/>
        <v>1</v>
      </c>
      <c r="P294" s="634"/>
      <c r="Q294" s="21">
        <f t="shared" si="55"/>
        <v>1</v>
      </c>
      <c r="R294" s="21">
        <f t="shared" si="56"/>
        <v>0</v>
      </c>
      <c r="S294" s="308">
        <f t="shared" si="57"/>
        <v>0</v>
      </c>
    </row>
    <row r="295" spans="1:19">
      <c r="A295" s="142"/>
      <c r="B295" s="52"/>
      <c r="C295" s="21">
        <f t="shared" si="48"/>
        <v>1</v>
      </c>
      <c r="D295" s="634"/>
      <c r="E295" s="21">
        <f t="shared" si="49"/>
        <v>0.01</v>
      </c>
      <c r="F295" s="634"/>
      <c r="G295" s="21">
        <f t="shared" si="50"/>
        <v>0.04</v>
      </c>
      <c r="H295" s="634"/>
      <c r="I295" s="21">
        <f t="shared" si="51"/>
        <v>0.06</v>
      </c>
      <c r="J295" s="634"/>
      <c r="K295" s="21">
        <f t="shared" si="52"/>
        <v>1</v>
      </c>
      <c r="L295" s="634"/>
      <c r="M295" s="21">
        <f t="shared" si="53"/>
        <v>1</v>
      </c>
      <c r="N295" s="634"/>
      <c r="O295" s="21">
        <f t="shared" si="54"/>
        <v>1</v>
      </c>
      <c r="P295" s="634"/>
      <c r="Q295" s="21">
        <f t="shared" si="55"/>
        <v>1</v>
      </c>
      <c r="R295" s="21">
        <f t="shared" si="56"/>
        <v>0</v>
      </c>
      <c r="S295" s="308">
        <f t="shared" si="57"/>
        <v>0</v>
      </c>
    </row>
    <row r="296" spans="1:19">
      <c r="A296" s="142"/>
      <c r="B296" s="52"/>
      <c r="C296" s="21">
        <f t="shared" si="48"/>
        <v>1</v>
      </c>
      <c r="D296" s="634"/>
      <c r="E296" s="21">
        <f t="shared" si="49"/>
        <v>0.01</v>
      </c>
      <c r="F296" s="634"/>
      <c r="G296" s="21">
        <f t="shared" si="50"/>
        <v>0.04</v>
      </c>
      <c r="H296" s="634"/>
      <c r="I296" s="21">
        <f t="shared" si="51"/>
        <v>0.06</v>
      </c>
      <c r="J296" s="634"/>
      <c r="K296" s="21">
        <f t="shared" si="52"/>
        <v>1</v>
      </c>
      <c r="L296" s="634"/>
      <c r="M296" s="21">
        <f t="shared" si="53"/>
        <v>1</v>
      </c>
      <c r="N296" s="634"/>
      <c r="O296" s="21">
        <f t="shared" si="54"/>
        <v>1</v>
      </c>
      <c r="P296" s="634"/>
      <c r="Q296" s="21">
        <f t="shared" si="55"/>
        <v>1</v>
      </c>
      <c r="R296" s="21">
        <f t="shared" si="56"/>
        <v>0</v>
      </c>
      <c r="S296" s="308">
        <f t="shared" si="57"/>
        <v>0</v>
      </c>
    </row>
    <row r="297" spans="1:19">
      <c r="A297" s="142"/>
      <c r="B297" s="52"/>
      <c r="C297" s="21">
        <f t="shared" si="48"/>
        <v>1</v>
      </c>
      <c r="D297" s="634"/>
      <c r="E297" s="21">
        <f t="shared" si="49"/>
        <v>0.01</v>
      </c>
      <c r="F297" s="634"/>
      <c r="G297" s="21">
        <f t="shared" si="50"/>
        <v>0.04</v>
      </c>
      <c r="H297" s="634"/>
      <c r="I297" s="21">
        <f t="shared" si="51"/>
        <v>0.06</v>
      </c>
      <c r="J297" s="634"/>
      <c r="K297" s="21">
        <f t="shared" si="52"/>
        <v>1</v>
      </c>
      <c r="L297" s="634"/>
      <c r="M297" s="21">
        <f t="shared" si="53"/>
        <v>1</v>
      </c>
      <c r="N297" s="634"/>
      <c r="O297" s="21">
        <f t="shared" si="54"/>
        <v>1</v>
      </c>
      <c r="P297" s="634"/>
      <c r="Q297" s="21">
        <f t="shared" si="55"/>
        <v>1</v>
      </c>
      <c r="R297" s="21">
        <f t="shared" si="56"/>
        <v>0</v>
      </c>
      <c r="S297" s="308">
        <f t="shared" si="57"/>
        <v>0</v>
      </c>
    </row>
    <row r="298" spans="1:19">
      <c r="A298" s="142"/>
      <c r="B298" s="52"/>
      <c r="C298" s="21">
        <f t="shared" si="48"/>
        <v>1</v>
      </c>
      <c r="D298" s="634"/>
      <c r="E298" s="21">
        <f t="shared" si="49"/>
        <v>0.01</v>
      </c>
      <c r="F298" s="634"/>
      <c r="G298" s="21">
        <f t="shared" si="50"/>
        <v>0.04</v>
      </c>
      <c r="H298" s="634"/>
      <c r="I298" s="21">
        <f t="shared" si="51"/>
        <v>0.06</v>
      </c>
      <c r="J298" s="634"/>
      <c r="K298" s="21">
        <f t="shared" si="52"/>
        <v>1</v>
      </c>
      <c r="L298" s="634"/>
      <c r="M298" s="21">
        <f t="shared" si="53"/>
        <v>1</v>
      </c>
      <c r="N298" s="634"/>
      <c r="O298" s="21">
        <f t="shared" si="54"/>
        <v>1</v>
      </c>
      <c r="P298" s="634"/>
      <c r="Q298" s="21">
        <f t="shared" si="55"/>
        <v>1</v>
      </c>
      <c r="R298" s="21">
        <f t="shared" si="56"/>
        <v>0</v>
      </c>
      <c r="S298" s="308">
        <f t="shared" si="57"/>
        <v>0</v>
      </c>
    </row>
    <row r="299" spans="1:19">
      <c r="A299" s="142"/>
      <c r="B299" s="52"/>
      <c r="C299" s="21">
        <f t="shared" si="48"/>
        <v>1</v>
      </c>
      <c r="D299" s="634"/>
      <c r="E299" s="21">
        <f t="shared" si="49"/>
        <v>0.01</v>
      </c>
      <c r="F299" s="634"/>
      <c r="G299" s="21">
        <f t="shared" si="50"/>
        <v>0.04</v>
      </c>
      <c r="H299" s="634"/>
      <c r="I299" s="21">
        <f t="shared" si="51"/>
        <v>0.06</v>
      </c>
      <c r="J299" s="634"/>
      <c r="K299" s="21">
        <f t="shared" si="52"/>
        <v>1</v>
      </c>
      <c r="L299" s="634"/>
      <c r="M299" s="21">
        <f t="shared" si="53"/>
        <v>1</v>
      </c>
      <c r="N299" s="634"/>
      <c r="O299" s="21">
        <f t="shared" si="54"/>
        <v>1</v>
      </c>
      <c r="P299" s="634"/>
      <c r="Q299" s="21">
        <f t="shared" si="55"/>
        <v>1</v>
      </c>
      <c r="R299" s="21">
        <f t="shared" si="56"/>
        <v>0</v>
      </c>
      <c r="S299" s="308">
        <f t="shared" si="57"/>
        <v>0</v>
      </c>
    </row>
    <row r="300" spans="1:19">
      <c r="A300" s="142"/>
      <c r="B300" s="52"/>
      <c r="C300" s="21">
        <f t="shared" si="48"/>
        <v>1</v>
      </c>
      <c r="D300" s="634"/>
      <c r="E300" s="21">
        <f t="shared" si="49"/>
        <v>0.01</v>
      </c>
      <c r="F300" s="634"/>
      <c r="G300" s="21">
        <f t="shared" si="50"/>
        <v>0.04</v>
      </c>
      <c r="H300" s="634"/>
      <c r="I300" s="21">
        <f t="shared" si="51"/>
        <v>0.06</v>
      </c>
      <c r="J300" s="634"/>
      <c r="K300" s="21">
        <f t="shared" si="52"/>
        <v>1</v>
      </c>
      <c r="L300" s="634"/>
      <c r="M300" s="21">
        <f t="shared" si="53"/>
        <v>1</v>
      </c>
      <c r="N300" s="634"/>
      <c r="O300" s="21">
        <f t="shared" si="54"/>
        <v>1</v>
      </c>
      <c r="P300" s="634"/>
      <c r="Q300" s="21">
        <f t="shared" si="55"/>
        <v>1</v>
      </c>
      <c r="R300" s="21">
        <f t="shared" si="56"/>
        <v>0</v>
      </c>
      <c r="S300" s="308">
        <f t="shared" si="57"/>
        <v>0</v>
      </c>
    </row>
    <row r="301" spans="1:19">
      <c r="A301" s="142"/>
      <c r="B301" s="52"/>
      <c r="C301" s="21">
        <f t="shared" si="48"/>
        <v>1</v>
      </c>
      <c r="D301" s="634"/>
      <c r="E301" s="21">
        <f t="shared" si="49"/>
        <v>0.01</v>
      </c>
      <c r="F301" s="634"/>
      <c r="G301" s="21">
        <f t="shared" si="50"/>
        <v>0.04</v>
      </c>
      <c r="H301" s="634"/>
      <c r="I301" s="21">
        <f t="shared" si="51"/>
        <v>0.06</v>
      </c>
      <c r="J301" s="634"/>
      <c r="K301" s="21">
        <f t="shared" si="52"/>
        <v>1</v>
      </c>
      <c r="L301" s="634"/>
      <c r="M301" s="21">
        <f t="shared" si="53"/>
        <v>1</v>
      </c>
      <c r="N301" s="634"/>
      <c r="O301" s="21">
        <f t="shared" si="54"/>
        <v>1</v>
      </c>
      <c r="P301" s="634"/>
      <c r="Q301" s="21">
        <f t="shared" si="55"/>
        <v>1</v>
      </c>
      <c r="R301" s="21">
        <f t="shared" si="56"/>
        <v>0</v>
      </c>
      <c r="S301" s="308">
        <f t="shared" si="57"/>
        <v>0</v>
      </c>
    </row>
    <row r="302" spans="1:19">
      <c r="A302" s="142"/>
      <c r="B302" s="52"/>
      <c r="C302" s="21">
        <f t="shared" si="48"/>
        <v>1</v>
      </c>
      <c r="D302" s="634"/>
      <c r="E302" s="21">
        <f t="shared" si="49"/>
        <v>0.01</v>
      </c>
      <c r="F302" s="634"/>
      <c r="G302" s="21">
        <f t="shared" si="50"/>
        <v>0.04</v>
      </c>
      <c r="H302" s="634"/>
      <c r="I302" s="21">
        <f t="shared" si="51"/>
        <v>0.06</v>
      </c>
      <c r="J302" s="634"/>
      <c r="K302" s="21">
        <f t="shared" si="52"/>
        <v>1</v>
      </c>
      <c r="L302" s="634"/>
      <c r="M302" s="21">
        <f t="shared" si="53"/>
        <v>1</v>
      </c>
      <c r="N302" s="634"/>
      <c r="O302" s="21">
        <f t="shared" si="54"/>
        <v>1</v>
      </c>
      <c r="P302" s="634"/>
      <c r="Q302" s="21">
        <f t="shared" si="55"/>
        <v>1</v>
      </c>
      <c r="R302" s="21">
        <f t="shared" si="56"/>
        <v>0</v>
      </c>
      <c r="S302" s="308">
        <f t="shared" si="57"/>
        <v>0</v>
      </c>
    </row>
    <row r="303" spans="1:19">
      <c r="A303" s="142"/>
      <c r="B303" s="52"/>
      <c r="C303" s="21">
        <f t="shared" si="48"/>
        <v>1</v>
      </c>
      <c r="D303" s="634"/>
      <c r="E303" s="21">
        <f t="shared" si="49"/>
        <v>0.01</v>
      </c>
      <c r="F303" s="634"/>
      <c r="G303" s="21">
        <f t="shared" si="50"/>
        <v>0.04</v>
      </c>
      <c r="H303" s="634"/>
      <c r="I303" s="21">
        <f t="shared" si="51"/>
        <v>0.06</v>
      </c>
      <c r="J303" s="634"/>
      <c r="K303" s="21">
        <f t="shared" si="52"/>
        <v>1</v>
      </c>
      <c r="L303" s="634"/>
      <c r="M303" s="21">
        <f t="shared" si="53"/>
        <v>1</v>
      </c>
      <c r="N303" s="634"/>
      <c r="O303" s="21">
        <f t="shared" si="54"/>
        <v>1</v>
      </c>
      <c r="P303" s="634"/>
      <c r="Q303" s="21">
        <f t="shared" si="55"/>
        <v>1</v>
      </c>
      <c r="R303" s="21">
        <f t="shared" si="56"/>
        <v>0</v>
      </c>
      <c r="S303" s="308">
        <f t="shared" si="57"/>
        <v>0</v>
      </c>
    </row>
    <row r="304" spans="1:19">
      <c r="A304" s="142"/>
      <c r="B304" s="52"/>
      <c r="C304" s="21">
        <f t="shared" si="48"/>
        <v>1</v>
      </c>
      <c r="D304" s="634"/>
      <c r="E304" s="21">
        <f t="shared" si="49"/>
        <v>0.01</v>
      </c>
      <c r="F304" s="634"/>
      <c r="G304" s="21">
        <f t="shared" si="50"/>
        <v>0.04</v>
      </c>
      <c r="H304" s="634"/>
      <c r="I304" s="21">
        <f t="shared" si="51"/>
        <v>0.06</v>
      </c>
      <c r="J304" s="634"/>
      <c r="K304" s="21">
        <f t="shared" si="52"/>
        <v>1</v>
      </c>
      <c r="L304" s="634"/>
      <c r="M304" s="21">
        <f t="shared" si="53"/>
        <v>1</v>
      </c>
      <c r="N304" s="634"/>
      <c r="O304" s="21">
        <f t="shared" si="54"/>
        <v>1</v>
      </c>
      <c r="P304" s="634"/>
      <c r="Q304" s="21">
        <f t="shared" si="55"/>
        <v>1</v>
      </c>
      <c r="R304" s="21">
        <f t="shared" si="56"/>
        <v>0</v>
      </c>
      <c r="S304" s="308">
        <f t="shared" si="57"/>
        <v>0</v>
      </c>
    </row>
    <row r="305" spans="1:19">
      <c r="A305" s="142"/>
      <c r="B305" s="52"/>
      <c r="C305" s="21">
        <f t="shared" si="48"/>
        <v>1</v>
      </c>
      <c r="D305" s="634"/>
      <c r="E305" s="21">
        <f t="shared" si="49"/>
        <v>0.01</v>
      </c>
      <c r="F305" s="634"/>
      <c r="G305" s="21">
        <f t="shared" si="50"/>
        <v>0.04</v>
      </c>
      <c r="H305" s="634"/>
      <c r="I305" s="21">
        <f t="shared" si="51"/>
        <v>0.06</v>
      </c>
      <c r="J305" s="634"/>
      <c r="K305" s="21">
        <f t="shared" si="52"/>
        <v>1</v>
      </c>
      <c r="L305" s="634"/>
      <c r="M305" s="21">
        <f t="shared" si="53"/>
        <v>1</v>
      </c>
      <c r="N305" s="634"/>
      <c r="O305" s="21">
        <f t="shared" si="54"/>
        <v>1</v>
      </c>
      <c r="P305" s="634"/>
      <c r="Q305" s="21">
        <f t="shared" si="55"/>
        <v>1</v>
      </c>
      <c r="R305" s="21">
        <f t="shared" si="56"/>
        <v>0</v>
      </c>
      <c r="S305" s="308">
        <f t="shared" si="57"/>
        <v>0</v>
      </c>
    </row>
    <row r="306" spans="1:19">
      <c r="A306" s="142"/>
      <c r="B306" s="52"/>
      <c r="C306" s="21">
        <f t="shared" si="48"/>
        <v>1</v>
      </c>
      <c r="D306" s="634"/>
      <c r="E306" s="21">
        <f t="shared" si="49"/>
        <v>0.01</v>
      </c>
      <c r="F306" s="634"/>
      <c r="G306" s="21">
        <f t="shared" si="50"/>
        <v>0.04</v>
      </c>
      <c r="H306" s="634"/>
      <c r="I306" s="21">
        <f t="shared" si="51"/>
        <v>0.06</v>
      </c>
      <c r="J306" s="634"/>
      <c r="K306" s="21">
        <f t="shared" si="52"/>
        <v>1</v>
      </c>
      <c r="L306" s="634"/>
      <c r="M306" s="21">
        <f t="shared" si="53"/>
        <v>1</v>
      </c>
      <c r="N306" s="634"/>
      <c r="O306" s="21">
        <f t="shared" si="54"/>
        <v>1</v>
      </c>
      <c r="P306" s="634"/>
      <c r="Q306" s="21">
        <f t="shared" si="55"/>
        <v>1</v>
      </c>
      <c r="R306" s="21">
        <f t="shared" si="56"/>
        <v>0</v>
      </c>
      <c r="S306" s="308">
        <f t="shared" si="57"/>
        <v>0</v>
      </c>
    </row>
    <row r="307" spans="1:19">
      <c r="A307" s="142"/>
      <c r="B307" s="52"/>
      <c r="C307" s="21">
        <f t="shared" si="48"/>
        <v>1</v>
      </c>
      <c r="D307" s="634"/>
      <c r="E307" s="21">
        <f t="shared" si="49"/>
        <v>0.01</v>
      </c>
      <c r="F307" s="634"/>
      <c r="G307" s="21">
        <f t="shared" si="50"/>
        <v>0.04</v>
      </c>
      <c r="H307" s="634"/>
      <c r="I307" s="21">
        <f t="shared" si="51"/>
        <v>0.06</v>
      </c>
      <c r="J307" s="634"/>
      <c r="K307" s="21">
        <f t="shared" si="52"/>
        <v>1</v>
      </c>
      <c r="L307" s="634"/>
      <c r="M307" s="21">
        <f t="shared" si="53"/>
        <v>1</v>
      </c>
      <c r="N307" s="634"/>
      <c r="O307" s="21">
        <f t="shared" si="54"/>
        <v>1</v>
      </c>
      <c r="P307" s="634"/>
      <c r="Q307" s="21">
        <f t="shared" si="55"/>
        <v>1</v>
      </c>
      <c r="R307" s="21">
        <f t="shared" si="56"/>
        <v>0</v>
      </c>
      <c r="S307" s="308">
        <f t="shared" si="57"/>
        <v>0</v>
      </c>
    </row>
    <row r="308" spans="1:19">
      <c r="A308" s="142"/>
      <c r="B308" s="52"/>
      <c r="C308" s="21">
        <f t="shared" si="48"/>
        <v>1</v>
      </c>
      <c r="D308" s="634"/>
      <c r="E308" s="21">
        <f t="shared" si="49"/>
        <v>0.01</v>
      </c>
      <c r="F308" s="634"/>
      <c r="G308" s="21">
        <f t="shared" si="50"/>
        <v>0.04</v>
      </c>
      <c r="H308" s="634"/>
      <c r="I308" s="21">
        <f t="shared" si="51"/>
        <v>0.06</v>
      </c>
      <c r="J308" s="634"/>
      <c r="K308" s="21">
        <f t="shared" si="52"/>
        <v>1</v>
      </c>
      <c r="L308" s="634"/>
      <c r="M308" s="21">
        <f t="shared" si="53"/>
        <v>1</v>
      </c>
      <c r="N308" s="634"/>
      <c r="O308" s="21">
        <f t="shared" si="54"/>
        <v>1</v>
      </c>
      <c r="P308" s="634"/>
      <c r="Q308" s="21">
        <f t="shared" si="55"/>
        <v>1</v>
      </c>
      <c r="R308" s="21">
        <f t="shared" si="56"/>
        <v>0</v>
      </c>
      <c r="S308" s="308">
        <f t="shared" si="57"/>
        <v>0</v>
      </c>
    </row>
    <row r="309" spans="1:19">
      <c r="A309" s="142"/>
      <c r="B309" s="52"/>
      <c r="C309" s="21">
        <f t="shared" si="48"/>
        <v>1</v>
      </c>
      <c r="D309" s="634"/>
      <c r="E309" s="21">
        <f t="shared" si="49"/>
        <v>0.01</v>
      </c>
      <c r="F309" s="634"/>
      <c r="G309" s="21">
        <f t="shared" si="50"/>
        <v>0.04</v>
      </c>
      <c r="H309" s="634"/>
      <c r="I309" s="21">
        <f t="shared" si="51"/>
        <v>0.06</v>
      </c>
      <c r="J309" s="634"/>
      <c r="K309" s="21">
        <f t="shared" si="52"/>
        <v>1</v>
      </c>
      <c r="L309" s="634"/>
      <c r="M309" s="21">
        <f t="shared" si="53"/>
        <v>1</v>
      </c>
      <c r="N309" s="634"/>
      <c r="O309" s="21">
        <f t="shared" si="54"/>
        <v>1</v>
      </c>
      <c r="P309" s="634"/>
      <c r="Q309" s="21">
        <f t="shared" si="55"/>
        <v>1</v>
      </c>
      <c r="R309" s="21">
        <f t="shared" si="56"/>
        <v>0</v>
      </c>
      <c r="S309" s="308">
        <f t="shared" si="57"/>
        <v>0</v>
      </c>
    </row>
    <row r="310" spans="1:19">
      <c r="A310" s="142"/>
      <c r="B310" s="52"/>
      <c r="C310" s="21">
        <f t="shared" si="48"/>
        <v>1</v>
      </c>
      <c r="D310" s="634"/>
      <c r="E310" s="21">
        <f t="shared" si="49"/>
        <v>0.01</v>
      </c>
      <c r="F310" s="634"/>
      <c r="G310" s="21">
        <f t="shared" si="50"/>
        <v>0.04</v>
      </c>
      <c r="H310" s="634"/>
      <c r="I310" s="21">
        <f t="shared" si="51"/>
        <v>0.06</v>
      </c>
      <c r="J310" s="634"/>
      <c r="K310" s="21">
        <f t="shared" si="52"/>
        <v>1</v>
      </c>
      <c r="L310" s="634"/>
      <c r="M310" s="21">
        <f t="shared" si="53"/>
        <v>1</v>
      </c>
      <c r="N310" s="634"/>
      <c r="O310" s="21">
        <f t="shared" si="54"/>
        <v>1</v>
      </c>
      <c r="P310" s="634"/>
      <c r="Q310" s="21">
        <f t="shared" si="55"/>
        <v>1</v>
      </c>
      <c r="R310" s="21">
        <f t="shared" si="56"/>
        <v>0</v>
      </c>
      <c r="S310" s="308">
        <f t="shared" si="57"/>
        <v>0</v>
      </c>
    </row>
    <row r="311" spans="1:19">
      <c r="A311" s="142"/>
      <c r="B311" s="52"/>
      <c r="C311" s="21">
        <f t="shared" si="48"/>
        <v>1</v>
      </c>
      <c r="D311" s="634"/>
      <c r="E311" s="21">
        <f t="shared" si="49"/>
        <v>0.01</v>
      </c>
      <c r="F311" s="634"/>
      <c r="G311" s="21">
        <f t="shared" si="50"/>
        <v>0.04</v>
      </c>
      <c r="H311" s="634"/>
      <c r="I311" s="21">
        <f t="shared" si="51"/>
        <v>0.06</v>
      </c>
      <c r="J311" s="634"/>
      <c r="K311" s="21">
        <f t="shared" si="52"/>
        <v>1</v>
      </c>
      <c r="L311" s="634"/>
      <c r="M311" s="21">
        <f t="shared" si="53"/>
        <v>1</v>
      </c>
      <c r="N311" s="634"/>
      <c r="O311" s="21">
        <f t="shared" si="54"/>
        <v>1</v>
      </c>
      <c r="P311" s="634"/>
      <c r="Q311" s="21">
        <f t="shared" si="55"/>
        <v>1</v>
      </c>
      <c r="R311" s="21">
        <f t="shared" si="56"/>
        <v>0</v>
      </c>
      <c r="S311" s="308">
        <f t="shared" si="57"/>
        <v>0</v>
      </c>
    </row>
    <row r="312" spans="1:19">
      <c r="A312" s="142"/>
      <c r="B312" s="52"/>
      <c r="C312" s="21">
        <f t="shared" si="48"/>
        <v>1</v>
      </c>
      <c r="D312" s="634"/>
      <c r="E312" s="21">
        <f t="shared" si="49"/>
        <v>0.01</v>
      </c>
      <c r="F312" s="634"/>
      <c r="G312" s="21">
        <f t="shared" si="50"/>
        <v>0.04</v>
      </c>
      <c r="H312" s="634"/>
      <c r="I312" s="21">
        <f t="shared" si="51"/>
        <v>0.06</v>
      </c>
      <c r="J312" s="634"/>
      <c r="K312" s="21">
        <f t="shared" si="52"/>
        <v>1</v>
      </c>
      <c r="L312" s="634"/>
      <c r="M312" s="21">
        <f t="shared" si="53"/>
        <v>1</v>
      </c>
      <c r="N312" s="634"/>
      <c r="O312" s="21">
        <f t="shared" si="54"/>
        <v>1</v>
      </c>
      <c r="P312" s="634"/>
      <c r="Q312" s="21">
        <f t="shared" si="55"/>
        <v>1</v>
      </c>
      <c r="R312" s="21">
        <f t="shared" si="56"/>
        <v>0</v>
      </c>
      <c r="S312" s="308">
        <f t="shared" si="57"/>
        <v>0</v>
      </c>
    </row>
    <row r="313" spans="1:19">
      <c r="A313" s="142"/>
      <c r="B313" s="52"/>
      <c r="C313" s="21">
        <f t="shared" si="48"/>
        <v>1</v>
      </c>
      <c r="D313" s="634"/>
      <c r="E313" s="21">
        <f t="shared" si="49"/>
        <v>0.01</v>
      </c>
      <c r="F313" s="634"/>
      <c r="G313" s="21">
        <f t="shared" si="50"/>
        <v>0.04</v>
      </c>
      <c r="H313" s="634"/>
      <c r="I313" s="21">
        <f t="shared" si="51"/>
        <v>0.06</v>
      </c>
      <c r="J313" s="634"/>
      <c r="K313" s="21">
        <f t="shared" si="52"/>
        <v>1</v>
      </c>
      <c r="L313" s="634"/>
      <c r="M313" s="21">
        <f t="shared" si="53"/>
        <v>1</v>
      </c>
      <c r="N313" s="634"/>
      <c r="O313" s="21">
        <f t="shared" si="54"/>
        <v>1</v>
      </c>
      <c r="P313" s="634"/>
      <c r="Q313" s="21">
        <f t="shared" si="55"/>
        <v>1</v>
      </c>
      <c r="R313" s="21">
        <f t="shared" si="56"/>
        <v>0</v>
      </c>
      <c r="S313" s="308">
        <f t="shared" si="57"/>
        <v>0</v>
      </c>
    </row>
    <row r="314" spans="1:19">
      <c r="A314" s="142"/>
      <c r="B314" s="52"/>
      <c r="C314" s="21">
        <f t="shared" si="48"/>
        <v>1</v>
      </c>
      <c r="D314" s="634"/>
      <c r="E314" s="21">
        <f t="shared" si="49"/>
        <v>0.01</v>
      </c>
      <c r="F314" s="634"/>
      <c r="G314" s="21">
        <f t="shared" si="50"/>
        <v>0.04</v>
      </c>
      <c r="H314" s="634"/>
      <c r="I314" s="21">
        <f t="shared" si="51"/>
        <v>0.06</v>
      </c>
      <c r="J314" s="634"/>
      <c r="K314" s="21">
        <f t="shared" si="52"/>
        <v>1</v>
      </c>
      <c r="L314" s="634"/>
      <c r="M314" s="21">
        <f t="shared" si="53"/>
        <v>1</v>
      </c>
      <c r="N314" s="634"/>
      <c r="O314" s="21">
        <f t="shared" si="54"/>
        <v>1</v>
      </c>
      <c r="P314" s="634"/>
      <c r="Q314" s="21">
        <f t="shared" si="55"/>
        <v>1</v>
      </c>
      <c r="R314" s="21">
        <f t="shared" si="56"/>
        <v>0</v>
      </c>
      <c r="S314" s="308">
        <f t="shared" si="57"/>
        <v>0</v>
      </c>
    </row>
    <row r="315" spans="1:19">
      <c r="A315" s="142"/>
      <c r="B315" s="52"/>
      <c r="C315" s="21">
        <f t="shared" si="48"/>
        <v>1</v>
      </c>
      <c r="D315" s="634"/>
      <c r="E315" s="21">
        <f t="shared" si="49"/>
        <v>0.01</v>
      </c>
      <c r="F315" s="634"/>
      <c r="G315" s="21">
        <f t="shared" si="50"/>
        <v>0.04</v>
      </c>
      <c r="H315" s="634"/>
      <c r="I315" s="21">
        <f t="shared" si="51"/>
        <v>0.06</v>
      </c>
      <c r="J315" s="634"/>
      <c r="K315" s="21">
        <f t="shared" si="52"/>
        <v>1</v>
      </c>
      <c r="L315" s="634"/>
      <c r="M315" s="21">
        <f t="shared" si="53"/>
        <v>1</v>
      </c>
      <c r="N315" s="634"/>
      <c r="O315" s="21">
        <f t="shared" si="54"/>
        <v>1</v>
      </c>
      <c r="P315" s="634"/>
      <c r="Q315" s="21">
        <f t="shared" si="55"/>
        <v>1</v>
      </c>
      <c r="R315" s="21">
        <f t="shared" si="56"/>
        <v>0</v>
      </c>
      <c r="S315" s="308">
        <f t="shared" si="57"/>
        <v>0</v>
      </c>
    </row>
    <row r="316" spans="1:19">
      <c r="A316" s="142"/>
      <c r="B316" s="52"/>
      <c r="C316" s="21">
        <f t="shared" si="48"/>
        <v>1</v>
      </c>
      <c r="D316" s="634"/>
      <c r="E316" s="21">
        <f t="shared" si="49"/>
        <v>0.01</v>
      </c>
      <c r="F316" s="634"/>
      <c r="G316" s="21">
        <f t="shared" si="50"/>
        <v>0.04</v>
      </c>
      <c r="H316" s="634"/>
      <c r="I316" s="21">
        <f t="shared" si="51"/>
        <v>0.06</v>
      </c>
      <c r="J316" s="634"/>
      <c r="K316" s="21">
        <f t="shared" si="52"/>
        <v>1</v>
      </c>
      <c r="L316" s="634"/>
      <c r="M316" s="21">
        <f t="shared" si="53"/>
        <v>1</v>
      </c>
      <c r="N316" s="634"/>
      <c r="O316" s="21">
        <f t="shared" si="54"/>
        <v>1</v>
      </c>
      <c r="P316" s="634"/>
      <c r="Q316" s="21">
        <f t="shared" si="55"/>
        <v>1</v>
      </c>
      <c r="R316" s="21">
        <f t="shared" si="56"/>
        <v>0</v>
      </c>
      <c r="S316" s="308">
        <f t="shared" si="57"/>
        <v>0</v>
      </c>
    </row>
    <row r="317" spans="1:19">
      <c r="A317" s="142"/>
      <c r="B317" s="52"/>
      <c r="C317" s="21">
        <f t="shared" si="48"/>
        <v>1</v>
      </c>
      <c r="D317" s="634"/>
      <c r="E317" s="21">
        <f t="shared" si="49"/>
        <v>0.01</v>
      </c>
      <c r="F317" s="634"/>
      <c r="G317" s="21">
        <f t="shared" si="50"/>
        <v>0.04</v>
      </c>
      <c r="H317" s="634"/>
      <c r="I317" s="21">
        <f t="shared" si="51"/>
        <v>0.06</v>
      </c>
      <c r="J317" s="634"/>
      <c r="K317" s="21">
        <f t="shared" si="52"/>
        <v>1</v>
      </c>
      <c r="L317" s="634"/>
      <c r="M317" s="21">
        <f t="shared" si="53"/>
        <v>1</v>
      </c>
      <c r="N317" s="634"/>
      <c r="O317" s="21">
        <f t="shared" si="54"/>
        <v>1</v>
      </c>
      <c r="P317" s="634"/>
      <c r="Q317" s="21">
        <f t="shared" si="55"/>
        <v>1</v>
      </c>
      <c r="R317" s="21">
        <f t="shared" si="56"/>
        <v>0</v>
      </c>
      <c r="S317" s="308">
        <f t="shared" si="57"/>
        <v>0</v>
      </c>
    </row>
    <row r="318" spans="1:19">
      <c r="A318" s="142"/>
      <c r="B318" s="52"/>
      <c r="C318" s="21">
        <f t="shared" si="48"/>
        <v>1</v>
      </c>
      <c r="D318" s="634"/>
      <c r="E318" s="21">
        <f t="shared" si="49"/>
        <v>0.01</v>
      </c>
      <c r="F318" s="634"/>
      <c r="G318" s="21">
        <f t="shared" si="50"/>
        <v>0.04</v>
      </c>
      <c r="H318" s="634"/>
      <c r="I318" s="21">
        <f t="shared" si="51"/>
        <v>0.06</v>
      </c>
      <c r="J318" s="634"/>
      <c r="K318" s="21">
        <f t="shared" si="52"/>
        <v>1</v>
      </c>
      <c r="L318" s="634"/>
      <c r="M318" s="21">
        <f t="shared" si="53"/>
        <v>1</v>
      </c>
      <c r="N318" s="634"/>
      <c r="O318" s="21">
        <f t="shared" si="54"/>
        <v>1</v>
      </c>
      <c r="P318" s="634"/>
      <c r="Q318" s="21">
        <f t="shared" si="55"/>
        <v>1</v>
      </c>
      <c r="R318" s="21">
        <f t="shared" si="56"/>
        <v>0</v>
      </c>
      <c r="S318" s="308">
        <f t="shared" si="57"/>
        <v>0</v>
      </c>
    </row>
    <row r="319" spans="1:19">
      <c r="A319" s="142"/>
      <c r="B319" s="52"/>
      <c r="C319" s="21">
        <f t="shared" si="48"/>
        <v>1</v>
      </c>
      <c r="D319" s="634"/>
      <c r="E319" s="21">
        <f t="shared" si="49"/>
        <v>0.01</v>
      </c>
      <c r="F319" s="634"/>
      <c r="G319" s="21">
        <f t="shared" si="50"/>
        <v>0.04</v>
      </c>
      <c r="H319" s="634"/>
      <c r="I319" s="21">
        <f t="shared" si="51"/>
        <v>0.06</v>
      </c>
      <c r="J319" s="634"/>
      <c r="K319" s="21">
        <f t="shared" si="52"/>
        <v>1</v>
      </c>
      <c r="L319" s="634"/>
      <c r="M319" s="21">
        <f t="shared" si="53"/>
        <v>1</v>
      </c>
      <c r="N319" s="634"/>
      <c r="O319" s="21">
        <f t="shared" si="54"/>
        <v>1</v>
      </c>
      <c r="P319" s="634"/>
      <c r="Q319" s="21">
        <f t="shared" si="55"/>
        <v>1</v>
      </c>
      <c r="R319" s="21">
        <f t="shared" si="56"/>
        <v>0</v>
      </c>
      <c r="S319" s="308">
        <f t="shared" si="57"/>
        <v>0</v>
      </c>
    </row>
    <row r="320" spans="1:19">
      <c r="A320" s="142"/>
      <c r="B320" s="52"/>
      <c r="C320" s="21">
        <f t="shared" si="48"/>
        <v>1</v>
      </c>
      <c r="D320" s="634"/>
      <c r="E320" s="21">
        <f t="shared" si="49"/>
        <v>0.01</v>
      </c>
      <c r="F320" s="634"/>
      <c r="G320" s="21">
        <f t="shared" si="50"/>
        <v>0.04</v>
      </c>
      <c r="H320" s="634"/>
      <c r="I320" s="21">
        <f t="shared" si="51"/>
        <v>0.06</v>
      </c>
      <c r="J320" s="634"/>
      <c r="K320" s="21">
        <f t="shared" si="52"/>
        <v>1</v>
      </c>
      <c r="L320" s="634"/>
      <c r="M320" s="21">
        <f t="shared" si="53"/>
        <v>1</v>
      </c>
      <c r="N320" s="634"/>
      <c r="O320" s="21">
        <f t="shared" si="54"/>
        <v>1</v>
      </c>
      <c r="P320" s="634"/>
      <c r="Q320" s="21">
        <f t="shared" si="55"/>
        <v>1</v>
      </c>
      <c r="R320" s="21">
        <f t="shared" si="56"/>
        <v>0</v>
      </c>
      <c r="S320" s="308">
        <f t="shared" si="57"/>
        <v>0</v>
      </c>
    </row>
    <row r="321" spans="1:19">
      <c r="A321" s="142"/>
      <c r="B321" s="52"/>
      <c r="C321" s="21">
        <f t="shared" si="48"/>
        <v>1</v>
      </c>
      <c r="D321" s="634"/>
      <c r="E321" s="21">
        <f t="shared" si="49"/>
        <v>0.01</v>
      </c>
      <c r="F321" s="634"/>
      <c r="G321" s="21">
        <f t="shared" si="50"/>
        <v>0.04</v>
      </c>
      <c r="H321" s="634"/>
      <c r="I321" s="21">
        <f t="shared" si="51"/>
        <v>0.06</v>
      </c>
      <c r="J321" s="634"/>
      <c r="K321" s="21">
        <f t="shared" si="52"/>
        <v>1</v>
      </c>
      <c r="L321" s="634"/>
      <c r="M321" s="21">
        <f t="shared" si="53"/>
        <v>1</v>
      </c>
      <c r="N321" s="634"/>
      <c r="O321" s="21">
        <f t="shared" si="54"/>
        <v>1</v>
      </c>
      <c r="P321" s="634"/>
      <c r="Q321" s="21">
        <f t="shared" si="55"/>
        <v>1</v>
      </c>
      <c r="R321" s="21">
        <f t="shared" si="56"/>
        <v>0</v>
      </c>
      <c r="S321" s="308">
        <f t="shared" ref="S321:S384" si="58">ROUND(R321*B321/10000,0)</f>
        <v>0</v>
      </c>
    </row>
    <row r="322" spans="1:19">
      <c r="A322" s="142"/>
      <c r="B322" s="52"/>
      <c r="C322" s="21">
        <f t="shared" si="48"/>
        <v>1</v>
      </c>
      <c r="D322" s="634"/>
      <c r="E322" s="21">
        <f t="shared" si="49"/>
        <v>0.01</v>
      </c>
      <c r="F322" s="634"/>
      <c r="G322" s="21">
        <f t="shared" si="50"/>
        <v>0.04</v>
      </c>
      <c r="H322" s="634"/>
      <c r="I322" s="21">
        <f t="shared" si="51"/>
        <v>0.06</v>
      </c>
      <c r="J322" s="634"/>
      <c r="K322" s="21">
        <f t="shared" si="52"/>
        <v>1</v>
      </c>
      <c r="L322" s="634"/>
      <c r="M322" s="21">
        <f t="shared" si="53"/>
        <v>1</v>
      </c>
      <c r="N322" s="634"/>
      <c r="O322" s="21">
        <f t="shared" si="54"/>
        <v>1</v>
      </c>
      <c r="P322" s="634"/>
      <c r="Q322" s="21">
        <f t="shared" si="55"/>
        <v>1</v>
      </c>
      <c r="R322" s="21">
        <f t="shared" si="56"/>
        <v>0</v>
      </c>
      <c r="S322" s="308">
        <f t="shared" si="58"/>
        <v>0</v>
      </c>
    </row>
    <row r="323" spans="1:19">
      <c r="A323" s="142"/>
      <c r="B323" s="52"/>
      <c r="C323" s="21">
        <f t="shared" si="48"/>
        <v>1</v>
      </c>
      <c r="D323" s="634"/>
      <c r="E323" s="21">
        <f t="shared" si="49"/>
        <v>0.01</v>
      </c>
      <c r="F323" s="634"/>
      <c r="G323" s="21">
        <f t="shared" si="50"/>
        <v>0.04</v>
      </c>
      <c r="H323" s="634"/>
      <c r="I323" s="21">
        <f t="shared" si="51"/>
        <v>0.06</v>
      </c>
      <c r="J323" s="634"/>
      <c r="K323" s="21">
        <f t="shared" si="52"/>
        <v>1</v>
      </c>
      <c r="L323" s="634"/>
      <c r="M323" s="21">
        <f t="shared" si="53"/>
        <v>1</v>
      </c>
      <c r="N323" s="634"/>
      <c r="O323" s="21">
        <f t="shared" si="54"/>
        <v>1</v>
      </c>
      <c r="P323" s="634"/>
      <c r="Q323" s="21">
        <f t="shared" si="55"/>
        <v>1</v>
      </c>
      <c r="R323" s="21">
        <f t="shared" si="56"/>
        <v>0</v>
      </c>
      <c r="S323" s="308">
        <f t="shared" si="58"/>
        <v>0</v>
      </c>
    </row>
    <row r="324" spans="1:19">
      <c r="A324" s="142"/>
      <c r="B324" s="52"/>
      <c r="C324" s="21">
        <f t="shared" si="48"/>
        <v>1</v>
      </c>
      <c r="D324" s="634"/>
      <c r="E324" s="21">
        <f t="shared" si="49"/>
        <v>0.01</v>
      </c>
      <c r="F324" s="634"/>
      <c r="G324" s="21">
        <f t="shared" si="50"/>
        <v>0.04</v>
      </c>
      <c r="H324" s="634"/>
      <c r="I324" s="21">
        <f t="shared" si="51"/>
        <v>0.06</v>
      </c>
      <c r="J324" s="634"/>
      <c r="K324" s="21">
        <f t="shared" si="52"/>
        <v>1</v>
      </c>
      <c r="L324" s="634"/>
      <c r="M324" s="21">
        <f t="shared" si="53"/>
        <v>1</v>
      </c>
      <c r="N324" s="634"/>
      <c r="O324" s="21">
        <f t="shared" si="54"/>
        <v>1</v>
      </c>
      <c r="P324" s="634"/>
      <c r="Q324" s="21">
        <f t="shared" si="55"/>
        <v>1</v>
      </c>
      <c r="R324" s="21">
        <f t="shared" si="56"/>
        <v>0</v>
      </c>
      <c r="S324" s="308">
        <f t="shared" si="58"/>
        <v>0</v>
      </c>
    </row>
    <row r="325" spans="1:19">
      <c r="A325" s="142"/>
      <c r="B325" s="52"/>
      <c r="C325" s="21">
        <f t="shared" si="48"/>
        <v>1</v>
      </c>
      <c r="D325" s="634"/>
      <c r="E325" s="21">
        <f t="shared" si="49"/>
        <v>0.01</v>
      </c>
      <c r="F325" s="634"/>
      <c r="G325" s="21">
        <f t="shared" si="50"/>
        <v>0.04</v>
      </c>
      <c r="H325" s="634"/>
      <c r="I325" s="21">
        <f t="shared" si="51"/>
        <v>0.06</v>
      </c>
      <c r="J325" s="634"/>
      <c r="K325" s="21">
        <f t="shared" si="52"/>
        <v>1</v>
      </c>
      <c r="L325" s="634"/>
      <c r="M325" s="21">
        <f t="shared" si="53"/>
        <v>1</v>
      </c>
      <c r="N325" s="634"/>
      <c r="O325" s="21">
        <f t="shared" si="54"/>
        <v>1</v>
      </c>
      <c r="P325" s="634"/>
      <c r="Q325" s="21">
        <f t="shared" si="55"/>
        <v>1</v>
      </c>
      <c r="R325" s="21">
        <f t="shared" si="56"/>
        <v>0</v>
      </c>
      <c r="S325" s="308">
        <f t="shared" si="58"/>
        <v>0</v>
      </c>
    </row>
    <row r="326" spans="1:19">
      <c r="A326" s="142"/>
      <c r="B326" s="52"/>
      <c r="C326" s="21">
        <f t="shared" si="48"/>
        <v>1</v>
      </c>
      <c r="D326" s="634"/>
      <c r="E326" s="21">
        <f t="shared" si="49"/>
        <v>0.01</v>
      </c>
      <c r="F326" s="634"/>
      <c r="G326" s="21">
        <f t="shared" si="50"/>
        <v>0.04</v>
      </c>
      <c r="H326" s="634"/>
      <c r="I326" s="21">
        <f t="shared" si="51"/>
        <v>0.06</v>
      </c>
      <c r="J326" s="634"/>
      <c r="K326" s="21">
        <f t="shared" si="52"/>
        <v>1</v>
      </c>
      <c r="L326" s="634"/>
      <c r="M326" s="21">
        <f t="shared" si="53"/>
        <v>1</v>
      </c>
      <c r="N326" s="634"/>
      <c r="O326" s="21">
        <f t="shared" si="54"/>
        <v>1</v>
      </c>
      <c r="P326" s="634"/>
      <c r="Q326" s="21">
        <f t="shared" si="55"/>
        <v>1</v>
      </c>
      <c r="R326" s="21">
        <f t="shared" si="56"/>
        <v>0</v>
      </c>
      <c r="S326" s="308">
        <f t="shared" si="58"/>
        <v>0</v>
      </c>
    </row>
    <row r="327" spans="1:19">
      <c r="A327" s="142"/>
      <c r="B327" s="52"/>
      <c r="C327" s="21">
        <f t="shared" si="48"/>
        <v>1</v>
      </c>
      <c r="D327" s="634"/>
      <c r="E327" s="21">
        <f t="shared" si="49"/>
        <v>0.01</v>
      </c>
      <c r="F327" s="634"/>
      <c r="G327" s="21">
        <f t="shared" si="50"/>
        <v>0.04</v>
      </c>
      <c r="H327" s="634"/>
      <c r="I327" s="21">
        <f t="shared" si="51"/>
        <v>0.06</v>
      </c>
      <c r="J327" s="634"/>
      <c r="K327" s="21">
        <f t="shared" si="52"/>
        <v>1</v>
      </c>
      <c r="L327" s="634"/>
      <c r="M327" s="21">
        <f t="shared" si="53"/>
        <v>1</v>
      </c>
      <c r="N327" s="634"/>
      <c r="O327" s="21">
        <f t="shared" si="54"/>
        <v>1</v>
      </c>
      <c r="P327" s="634"/>
      <c r="Q327" s="21">
        <f t="shared" si="55"/>
        <v>1</v>
      </c>
      <c r="R327" s="21">
        <f t="shared" si="56"/>
        <v>0</v>
      </c>
      <c r="S327" s="308">
        <f t="shared" si="58"/>
        <v>0</v>
      </c>
    </row>
    <row r="328" spans="1:19">
      <c r="A328" s="142"/>
      <c r="B328" s="52"/>
      <c r="C328" s="21">
        <f t="shared" si="48"/>
        <v>1</v>
      </c>
      <c r="D328" s="634"/>
      <c r="E328" s="21">
        <f t="shared" si="49"/>
        <v>0.01</v>
      </c>
      <c r="F328" s="634"/>
      <c r="G328" s="21">
        <f t="shared" si="50"/>
        <v>0.04</v>
      </c>
      <c r="H328" s="634"/>
      <c r="I328" s="21">
        <f t="shared" si="51"/>
        <v>0.06</v>
      </c>
      <c r="J328" s="634"/>
      <c r="K328" s="21">
        <f t="shared" si="52"/>
        <v>1</v>
      </c>
      <c r="L328" s="634"/>
      <c r="M328" s="21">
        <f t="shared" si="53"/>
        <v>1</v>
      </c>
      <c r="N328" s="634"/>
      <c r="O328" s="21">
        <f t="shared" si="54"/>
        <v>1</v>
      </c>
      <c r="P328" s="634"/>
      <c r="Q328" s="21">
        <f t="shared" si="55"/>
        <v>1</v>
      </c>
      <c r="R328" s="21">
        <f t="shared" si="56"/>
        <v>0</v>
      </c>
      <c r="S328" s="308">
        <f t="shared" si="58"/>
        <v>0</v>
      </c>
    </row>
    <row r="329" spans="1:19">
      <c r="A329" s="142"/>
      <c r="B329" s="52"/>
      <c r="C329" s="21">
        <f t="shared" si="48"/>
        <v>1</v>
      </c>
      <c r="D329" s="634"/>
      <c r="E329" s="21">
        <f t="shared" si="49"/>
        <v>0.01</v>
      </c>
      <c r="F329" s="634"/>
      <c r="G329" s="21">
        <f t="shared" si="50"/>
        <v>0.04</v>
      </c>
      <c r="H329" s="634"/>
      <c r="I329" s="21">
        <f t="shared" si="51"/>
        <v>0.06</v>
      </c>
      <c r="J329" s="634"/>
      <c r="K329" s="21">
        <f t="shared" si="52"/>
        <v>1</v>
      </c>
      <c r="L329" s="634"/>
      <c r="M329" s="21">
        <f t="shared" si="53"/>
        <v>1</v>
      </c>
      <c r="N329" s="634"/>
      <c r="O329" s="21">
        <f t="shared" si="54"/>
        <v>1</v>
      </c>
      <c r="P329" s="634"/>
      <c r="Q329" s="21">
        <f t="shared" si="55"/>
        <v>1</v>
      </c>
      <c r="R329" s="21">
        <f t="shared" si="56"/>
        <v>0</v>
      </c>
      <c r="S329" s="308">
        <f t="shared" si="58"/>
        <v>0</v>
      </c>
    </row>
    <row r="330" spans="1:19">
      <c r="A330" s="142"/>
      <c r="B330" s="52"/>
      <c r="C330" s="21">
        <f t="shared" si="48"/>
        <v>1</v>
      </c>
      <c r="D330" s="634"/>
      <c r="E330" s="21">
        <f t="shared" si="49"/>
        <v>0.01</v>
      </c>
      <c r="F330" s="634"/>
      <c r="G330" s="21">
        <f t="shared" si="50"/>
        <v>0.04</v>
      </c>
      <c r="H330" s="634"/>
      <c r="I330" s="21">
        <f t="shared" si="51"/>
        <v>0.06</v>
      </c>
      <c r="J330" s="634"/>
      <c r="K330" s="21">
        <f t="shared" si="52"/>
        <v>1</v>
      </c>
      <c r="L330" s="634"/>
      <c r="M330" s="21">
        <f t="shared" si="53"/>
        <v>1</v>
      </c>
      <c r="N330" s="634"/>
      <c r="O330" s="21">
        <f t="shared" si="54"/>
        <v>1</v>
      </c>
      <c r="P330" s="634"/>
      <c r="Q330" s="21">
        <f t="shared" si="55"/>
        <v>1</v>
      </c>
      <c r="R330" s="21">
        <f t="shared" si="56"/>
        <v>0</v>
      </c>
      <c r="S330" s="308">
        <f t="shared" si="58"/>
        <v>0</v>
      </c>
    </row>
    <row r="331" spans="1:19">
      <c r="A331" s="142"/>
      <c r="B331" s="52"/>
      <c r="C331" s="21">
        <f t="shared" si="48"/>
        <v>1</v>
      </c>
      <c r="D331" s="634"/>
      <c r="E331" s="21">
        <f t="shared" si="49"/>
        <v>0.01</v>
      </c>
      <c r="F331" s="634"/>
      <c r="G331" s="21">
        <f t="shared" si="50"/>
        <v>0.04</v>
      </c>
      <c r="H331" s="634"/>
      <c r="I331" s="21">
        <f t="shared" si="51"/>
        <v>0.06</v>
      </c>
      <c r="J331" s="634"/>
      <c r="K331" s="21">
        <f t="shared" si="52"/>
        <v>1</v>
      </c>
      <c r="L331" s="634"/>
      <c r="M331" s="21">
        <f t="shared" si="53"/>
        <v>1</v>
      </c>
      <c r="N331" s="634"/>
      <c r="O331" s="21">
        <f t="shared" si="54"/>
        <v>1</v>
      </c>
      <c r="P331" s="634"/>
      <c r="Q331" s="21">
        <f t="shared" si="55"/>
        <v>1</v>
      </c>
      <c r="R331" s="21">
        <f t="shared" si="56"/>
        <v>0</v>
      </c>
      <c r="S331" s="308">
        <f t="shared" si="58"/>
        <v>0</v>
      </c>
    </row>
    <row r="332" spans="1:19">
      <c r="A332" s="142"/>
      <c r="B332" s="52"/>
      <c r="C332" s="21">
        <f t="shared" si="48"/>
        <v>1</v>
      </c>
      <c r="D332" s="634"/>
      <c r="E332" s="21">
        <f t="shared" si="49"/>
        <v>0.01</v>
      </c>
      <c r="F332" s="634"/>
      <c r="G332" s="21">
        <f t="shared" si="50"/>
        <v>0.04</v>
      </c>
      <c r="H332" s="634"/>
      <c r="I332" s="21">
        <f t="shared" si="51"/>
        <v>0.06</v>
      </c>
      <c r="J332" s="634"/>
      <c r="K332" s="21">
        <f t="shared" si="52"/>
        <v>1</v>
      </c>
      <c r="L332" s="634"/>
      <c r="M332" s="21">
        <f t="shared" si="53"/>
        <v>1</v>
      </c>
      <c r="N332" s="634"/>
      <c r="O332" s="21">
        <f t="shared" si="54"/>
        <v>1</v>
      </c>
      <c r="P332" s="634"/>
      <c r="Q332" s="21">
        <f t="shared" si="55"/>
        <v>1</v>
      </c>
      <c r="R332" s="21">
        <f t="shared" si="56"/>
        <v>0</v>
      </c>
      <c r="S332" s="308">
        <f t="shared" si="58"/>
        <v>0</v>
      </c>
    </row>
    <row r="333" spans="1:19">
      <c r="A333" s="142"/>
      <c r="B333" s="52"/>
      <c r="C333" s="21">
        <f t="shared" si="48"/>
        <v>1</v>
      </c>
      <c r="D333" s="634"/>
      <c r="E333" s="21">
        <f t="shared" si="49"/>
        <v>0.01</v>
      </c>
      <c r="F333" s="634"/>
      <c r="G333" s="21">
        <f t="shared" si="50"/>
        <v>0.04</v>
      </c>
      <c r="H333" s="634"/>
      <c r="I333" s="21">
        <f t="shared" si="51"/>
        <v>0.06</v>
      </c>
      <c r="J333" s="634"/>
      <c r="K333" s="21">
        <f t="shared" si="52"/>
        <v>1</v>
      </c>
      <c r="L333" s="634"/>
      <c r="M333" s="21">
        <f t="shared" si="53"/>
        <v>1</v>
      </c>
      <c r="N333" s="634"/>
      <c r="O333" s="21">
        <f t="shared" si="54"/>
        <v>1</v>
      </c>
      <c r="P333" s="634"/>
      <c r="Q333" s="21">
        <f t="shared" si="55"/>
        <v>1</v>
      </c>
      <c r="R333" s="21">
        <f t="shared" si="56"/>
        <v>0</v>
      </c>
      <c r="S333" s="308">
        <f t="shared" si="58"/>
        <v>0</v>
      </c>
    </row>
    <row r="334" spans="1:19">
      <c r="A334" s="142"/>
      <c r="B334" s="52"/>
      <c r="C334" s="21">
        <f t="shared" si="48"/>
        <v>1</v>
      </c>
      <c r="D334" s="634"/>
      <c r="E334" s="21">
        <f t="shared" si="49"/>
        <v>0.01</v>
      </c>
      <c r="F334" s="634"/>
      <c r="G334" s="21">
        <f t="shared" si="50"/>
        <v>0.04</v>
      </c>
      <c r="H334" s="634"/>
      <c r="I334" s="21">
        <f t="shared" si="51"/>
        <v>0.06</v>
      </c>
      <c r="J334" s="634"/>
      <c r="K334" s="21">
        <f t="shared" si="52"/>
        <v>1</v>
      </c>
      <c r="L334" s="634"/>
      <c r="M334" s="21">
        <f t="shared" si="53"/>
        <v>1</v>
      </c>
      <c r="N334" s="634"/>
      <c r="O334" s="21">
        <f t="shared" si="54"/>
        <v>1</v>
      </c>
      <c r="P334" s="634"/>
      <c r="Q334" s="21">
        <f t="shared" si="55"/>
        <v>1</v>
      </c>
      <c r="R334" s="21">
        <f t="shared" si="56"/>
        <v>0</v>
      </c>
      <c r="S334" s="308">
        <f t="shared" si="58"/>
        <v>0</v>
      </c>
    </row>
    <row r="335" spans="1:19">
      <c r="A335" s="142"/>
      <c r="B335" s="52"/>
      <c r="C335" s="21">
        <f t="shared" si="48"/>
        <v>1</v>
      </c>
      <c r="D335" s="634"/>
      <c r="E335" s="21">
        <f t="shared" si="49"/>
        <v>0.01</v>
      </c>
      <c r="F335" s="634"/>
      <c r="G335" s="21">
        <f t="shared" si="50"/>
        <v>0.04</v>
      </c>
      <c r="H335" s="634"/>
      <c r="I335" s="21">
        <f t="shared" si="51"/>
        <v>0.06</v>
      </c>
      <c r="J335" s="634"/>
      <c r="K335" s="21">
        <f t="shared" si="52"/>
        <v>1</v>
      </c>
      <c r="L335" s="634"/>
      <c r="M335" s="21">
        <f t="shared" si="53"/>
        <v>1</v>
      </c>
      <c r="N335" s="634"/>
      <c r="O335" s="21">
        <f t="shared" si="54"/>
        <v>1</v>
      </c>
      <c r="P335" s="634"/>
      <c r="Q335" s="21">
        <f t="shared" si="55"/>
        <v>1</v>
      </c>
      <c r="R335" s="21">
        <f t="shared" si="56"/>
        <v>0</v>
      </c>
      <c r="S335" s="308">
        <f t="shared" si="58"/>
        <v>0</v>
      </c>
    </row>
    <row r="336" spans="1:19">
      <c r="A336" s="142"/>
      <c r="B336" s="52"/>
      <c r="C336" s="21">
        <f t="shared" si="48"/>
        <v>1</v>
      </c>
      <c r="D336" s="634"/>
      <c r="E336" s="21">
        <f t="shared" si="49"/>
        <v>0.01</v>
      </c>
      <c r="F336" s="634"/>
      <c r="G336" s="21">
        <f t="shared" si="50"/>
        <v>0.04</v>
      </c>
      <c r="H336" s="634"/>
      <c r="I336" s="21">
        <f t="shared" si="51"/>
        <v>0.06</v>
      </c>
      <c r="J336" s="634"/>
      <c r="K336" s="21">
        <f t="shared" si="52"/>
        <v>1</v>
      </c>
      <c r="L336" s="634"/>
      <c r="M336" s="21">
        <f t="shared" si="53"/>
        <v>1</v>
      </c>
      <c r="N336" s="634"/>
      <c r="O336" s="21">
        <f t="shared" si="54"/>
        <v>1</v>
      </c>
      <c r="P336" s="634"/>
      <c r="Q336" s="21">
        <f t="shared" si="55"/>
        <v>1</v>
      </c>
      <c r="R336" s="21">
        <f t="shared" si="56"/>
        <v>0</v>
      </c>
      <c r="S336" s="308">
        <f t="shared" si="58"/>
        <v>0</v>
      </c>
    </row>
    <row r="337" spans="1:19">
      <c r="A337" s="142"/>
      <c r="B337" s="52"/>
      <c r="C337" s="21">
        <f t="shared" si="48"/>
        <v>1</v>
      </c>
      <c r="D337" s="634"/>
      <c r="E337" s="21">
        <f t="shared" si="49"/>
        <v>0.01</v>
      </c>
      <c r="F337" s="634"/>
      <c r="G337" s="21">
        <f t="shared" si="50"/>
        <v>0.04</v>
      </c>
      <c r="H337" s="634"/>
      <c r="I337" s="21">
        <f t="shared" si="51"/>
        <v>0.06</v>
      </c>
      <c r="J337" s="634"/>
      <c r="K337" s="21">
        <f t="shared" si="52"/>
        <v>1</v>
      </c>
      <c r="L337" s="634"/>
      <c r="M337" s="21">
        <f t="shared" si="53"/>
        <v>1</v>
      </c>
      <c r="N337" s="634"/>
      <c r="O337" s="21">
        <f t="shared" si="54"/>
        <v>1</v>
      </c>
      <c r="P337" s="634"/>
      <c r="Q337" s="21">
        <f t="shared" si="55"/>
        <v>1</v>
      </c>
      <c r="R337" s="21">
        <f t="shared" si="56"/>
        <v>0</v>
      </c>
      <c r="S337" s="308">
        <f t="shared" si="58"/>
        <v>0</v>
      </c>
    </row>
    <row r="338" spans="1:19">
      <c r="A338" s="142"/>
      <c r="B338" s="52"/>
      <c r="C338" s="21">
        <f t="shared" si="48"/>
        <v>1</v>
      </c>
      <c r="D338" s="634"/>
      <c r="E338" s="21">
        <f t="shared" si="49"/>
        <v>0.01</v>
      </c>
      <c r="F338" s="634"/>
      <c r="G338" s="21">
        <f t="shared" si="50"/>
        <v>0.04</v>
      </c>
      <c r="H338" s="634"/>
      <c r="I338" s="21">
        <f t="shared" si="51"/>
        <v>0.06</v>
      </c>
      <c r="J338" s="634"/>
      <c r="K338" s="21">
        <f t="shared" si="52"/>
        <v>1</v>
      </c>
      <c r="L338" s="634"/>
      <c r="M338" s="21">
        <f t="shared" si="53"/>
        <v>1</v>
      </c>
      <c r="N338" s="634"/>
      <c r="O338" s="21">
        <f t="shared" si="54"/>
        <v>1</v>
      </c>
      <c r="P338" s="634"/>
      <c r="Q338" s="21">
        <f t="shared" si="55"/>
        <v>1</v>
      </c>
      <c r="R338" s="21">
        <f t="shared" si="56"/>
        <v>0</v>
      </c>
      <c r="S338" s="308">
        <f t="shared" si="58"/>
        <v>0</v>
      </c>
    </row>
    <row r="339" spans="1:19">
      <c r="A339" s="142"/>
      <c r="B339" s="52"/>
      <c r="C339" s="21">
        <f t="shared" si="48"/>
        <v>1</v>
      </c>
      <c r="D339" s="634"/>
      <c r="E339" s="21">
        <f t="shared" si="49"/>
        <v>0.01</v>
      </c>
      <c r="F339" s="634"/>
      <c r="G339" s="21">
        <f t="shared" si="50"/>
        <v>0.04</v>
      </c>
      <c r="H339" s="634"/>
      <c r="I339" s="21">
        <f t="shared" si="51"/>
        <v>0.06</v>
      </c>
      <c r="J339" s="634"/>
      <c r="K339" s="21">
        <f t="shared" si="52"/>
        <v>1</v>
      </c>
      <c r="L339" s="634"/>
      <c r="M339" s="21">
        <f t="shared" si="53"/>
        <v>1</v>
      </c>
      <c r="N339" s="634"/>
      <c r="O339" s="21">
        <f t="shared" si="54"/>
        <v>1</v>
      </c>
      <c r="P339" s="634"/>
      <c r="Q339" s="21">
        <f t="shared" si="55"/>
        <v>1</v>
      </c>
      <c r="R339" s="21">
        <f t="shared" si="56"/>
        <v>0</v>
      </c>
      <c r="S339" s="308">
        <f t="shared" si="58"/>
        <v>0</v>
      </c>
    </row>
    <row r="340" spans="1:19">
      <c r="A340" s="142"/>
      <c r="B340" s="52"/>
      <c r="C340" s="21">
        <f t="shared" si="48"/>
        <v>1</v>
      </c>
      <c r="D340" s="634"/>
      <c r="E340" s="21">
        <f t="shared" si="49"/>
        <v>0.01</v>
      </c>
      <c r="F340" s="634"/>
      <c r="G340" s="21">
        <f t="shared" si="50"/>
        <v>0.04</v>
      </c>
      <c r="H340" s="634"/>
      <c r="I340" s="21">
        <f t="shared" si="51"/>
        <v>0.06</v>
      </c>
      <c r="J340" s="634"/>
      <c r="K340" s="21">
        <f t="shared" si="52"/>
        <v>1</v>
      </c>
      <c r="L340" s="634"/>
      <c r="M340" s="21">
        <f t="shared" si="53"/>
        <v>1</v>
      </c>
      <c r="N340" s="634"/>
      <c r="O340" s="21">
        <f t="shared" si="54"/>
        <v>1</v>
      </c>
      <c r="P340" s="634"/>
      <c r="Q340" s="21">
        <f t="shared" si="55"/>
        <v>1</v>
      </c>
      <c r="R340" s="21">
        <f t="shared" si="56"/>
        <v>0</v>
      </c>
      <c r="S340" s="308">
        <f t="shared" si="58"/>
        <v>0</v>
      </c>
    </row>
    <row r="341" spans="1:19">
      <c r="A341" s="142"/>
      <c r="B341" s="52"/>
      <c r="C341" s="21">
        <f t="shared" si="48"/>
        <v>1</v>
      </c>
      <c r="D341" s="634"/>
      <c r="E341" s="21">
        <f t="shared" si="49"/>
        <v>0.01</v>
      </c>
      <c r="F341" s="634"/>
      <c r="G341" s="21">
        <f t="shared" si="50"/>
        <v>0.04</v>
      </c>
      <c r="H341" s="634"/>
      <c r="I341" s="21">
        <f t="shared" si="51"/>
        <v>0.06</v>
      </c>
      <c r="J341" s="634"/>
      <c r="K341" s="21">
        <f t="shared" si="52"/>
        <v>1</v>
      </c>
      <c r="L341" s="634"/>
      <c r="M341" s="21">
        <f t="shared" si="53"/>
        <v>1</v>
      </c>
      <c r="N341" s="634"/>
      <c r="O341" s="21">
        <f t="shared" si="54"/>
        <v>1</v>
      </c>
      <c r="P341" s="634"/>
      <c r="Q341" s="21">
        <f t="shared" si="55"/>
        <v>1</v>
      </c>
      <c r="R341" s="21">
        <f t="shared" si="56"/>
        <v>0</v>
      </c>
      <c r="S341" s="308">
        <f t="shared" si="58"/>
        <v>0</v>
      </c>
    </row>
    <row r="342" spans="1:19">
      <c r="A342" s="142"/>
      <c r="B342" s="52"/>
      <c r="C342" s="21">
        <f t="shared" si="48"/>
        <v>1</v>
      </c>
      <c r="D342" s="634"/>
      <c r="E342" s="21">
        <f t="shared" si="49"/>
        <v>0.01</v>
      </c>
      <c r="F342" s="634"/>
      <c r="G342" s="21">
        <f t="shared" si="50"/>
        <v>0.04</v>
      </c>
      <c r="H342" s="634"/>
      <c r="I342" s="21">
        <f t="shared" si="51"/>
        <v>0.06</v>
      </c>
      <c r="J342" s="634"/>
      <c r="K342" s="21">
        <f t="shared" si="52"/>
        <v>1</v>
      </c>
      <c r="L342" s="634"/>
      <c r="M342" s="21">
        <f t="shared" si="53"/>
        <v>1</v>
      </c>
      <c r="N342" s="634"/>
      <c r="O342" s="21">
        <f t="shared" si="54"/>
        <v>1</v>
      </c>
      <c r="P342" s="634"/>
      <c r="Q342" s="21">
        <f t="shared" si="55"/>
        <v>1</v>
      </c>
      <c r="R342" s="21">
        <f t="shared" si="56"/>
        <v>0</v>
      </c>
      <c r="S342" s="308">
        <f t="shared" si="58"/>
        <v>0</v>
      </c>
    </row>
    <row r="343" spans="1:19">
      <c r="A343" s="142"/>
      <c r="B343" s="52"/>
      <c r="C343" s="21">
        <f t="shared" si="48"/>
        <v>1</v>
      </c>
      <c r="D343" s="634"/>
      <c r="E343" s="21">
        <f t="shared" si="49"/>
        <v>0.01</v>
      </c>
      <c r="F343" s="634"/>
      <c r="G343" s="21">
        <f t="shared" si="50"/>
        <v>0.04</v>
      </c>
      <c r="H343" s="634"/>
      <c r="I343" s="21">
        <f t="shared" si="51"/>
        <v>0.06</v>
      </c>
      <c r="J343" s="634"/>
      <c r="K343" s="21">
        <f t="shared" si="52"/>
        <v>1</v>
      </c>
      <c r="L343" s="634"/>
      <c r="M343" s="21">
        <f t="shared" si="53"/>
        <v>1</v>
      </c>
      <c r="N343" s="634"/>
      <c r="O343" s="21">
        <f t="shared" si="54"/>
        <v>1</v>
      </c>
      <c r="P343" s="634"/>
      <c r="Q343" s="21">
        <f t="shared" si="55"/>
        <v>1</v>
      </c>
      <c r="R343" s="21">
        <f t="shared" si="56"/>
        <v>0</v>
      </c>
      <c r="S343" s="308">
        <f t="shared" si="58"/>
        <v>0</v>
      </c>
    </row>
    <row r="344" spans="1:19">
      <c r="A344" s="142"/>
      <c r="B344" s="52"/>
      <c r="C344" s="21">
        <f t="shared" si="48"/>
        <v>1</v>
      </c>
      <c r="D344" s="634"/>
      <c r="E344" s="21">
        <f t="shared" si="49"/>
        <v>0.01</v>
      </c>
      <c r="F344" s="634"/>
      <c r="G344" s="21">
        <f t="shared" si="50"/>
        <v>0.04</v>
      </c>
      <c r="H344" s="634"/>
      <c r="I344" s="21">
        <f t="shared" si="51"/>
        <v>0.06</v>
      </c>
      <c r="J344" s="634"/>
      <c r="K344" s="21">
        <f t="shared" si="52"/>
        <v>1</v>
      </c>
      <c r="L344" s="634"/>
      <c r="M344" s="21">
        <f t="shared" si="53"/>
        <v>1</v>
      </c>
      <c r="N344" s="634"/>
      <c r="O344" s="21">
        <f t="shared" si="54"/>
        <v>1</v>
      </c>
      <c r="P344" s="634"/>
      <c r="Q344" s="21">
        <f t="shared" si="55"/>
        <v>1</v>
      </c>
      <c r="R344" s="21">
        <f t="shared" si="56"/>
        <v>0</v>
      </c>
      <c r="S344" s="308">
        <f t="shared" si="58"/>
        <v>0</v>
      </c>
    </row>
    <row r="345" spans="1:19">
      <c r="A345" s="142"/>
      <c r="B345" s="52"/>
      <c r="C345" s="21">
        <f t="shared" si="48"/>
        <v>1</v>
      </c>
      <c r="D345" s="634"/>
      <c r="E345" s="21">
        <f t="shared" si="49"/>
        <v>0.01</v>
      </c>
      <c r="F345" s="634"/>
      <c r="G345" s="21">
        <f t="shared" si="50"/>
        <v>0.04</v>
      </c>
      <c r="H345" s="634"/>
      <c r="I345" s="21">
        <f t="shared" si="51"/>
        <v>0.06</v>
      </c>
      <c r="J345" s="634"/>
      <c r="K345" s="21">
        <f t="shared" si="52"/>
        <v>1</v>
      </c>
      <c r="L345" s="634"/>
      <c r="M345" s="21">
        <f t="shared" si="53"/>
        <v>1</v>
      </c>
      <c r="N345" s="634"/>
      <c r="O345" s="21">
        <f t="shared" si="54"/>
        <v>1</v>
      </c>
      <c r="P345" s="634"/>
      <c r="Q345" s="21">
        <f t="shared" si="55"/>
        <v>1</v>
      </c>
      <c r="R345" s="21">
        <f t="shared" si="56"/>
        <v>0</v>
      </c>
      <c r="S345" s="308">
        <f t="shared" si="58"/>
        <v>0</v>
      </c>
    </row>
    <row r="346" spans="1:19">
      <c r="A346" s="142"/>
      <c r="B346" s="52"/>
      <c r="C346" s="21">
        <f t="shared" ref="C346:C409" si="59">IF(B346="",1,(LOOKUP(B346,$3:$3,$4:$4)-LOOKUP($B$24,$3:$3,$4:$4)+100)/100)</f>
        <v>1</v>
      </c>
      <c r="D346" s="634"/>
      <c r="E346" s="21">
        <f t="shared" ref="E346:E409" si="60">(SUMIF($5:$5,D346,$6:$6)-SUMIF($5:$5,$D$24,$6:$6)+100)/100</f>
        <v>0.01</v>
      </c>
      <c r="F346" s="634"/>
      <c r="G346" s="21">
        <f t="shared" ref="G346:G409" si="61">(SUMIF($7:$7,F346,$8:$8)-SUMIF($7:$7,$F$24,$8:$8)+100)/100</f>
        <v>0.04</v>
      </c>
      <c r="H346" s="634"/>
      <c r="I346" s="21">
        <f t="shared" ref="I346:I409" si="62">(SUMIF($9:$9,H346,$10:$10)-SUMIF($9:$9,$H$24,$10:$10)+100)/100</f>
        <v>0.06</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4"/>
      <c r="E347" s="21">
        <f t="shared" si="60"/>
        <v>0.01</v>
      </c>
      <c r="F347" s="634"/>
      <c r="G347" s="21">
        <f t="shared" si="61"/>
        <v>0.04</v>
      </c>
      <c r="H347" s="634"/>
      <c r="I347" s="21">
        <f t="shared" si="62"/>
        <v>0.06</v>
      </c>
      <c r="J347" s="634"/>
      <c r="K347" s="21">
        <f t="shared" si="63"/>
        <v>1</v>
      </c>
      <c r="L347" s="634"/>
      <c r="M347" s="21">
        <f t="shared" si="64"/>
        <v>1</v>
      </c>
      <c r="N347" s="634"/>
      <c r="O347" s="21">
        <f t="shared" si="65"/>
        <v>1</v>
      </c>
      <c r="P347" s="634"/>
      <c r="Q347" s="21">
        <f t="shared" si="66"/>
        <v>1</v>
      </c>
      <c r="R347" s="21">
        <f t="shared" si="67"/>
        <v>0</v>
      </c>
      <c r="S347" s="308">
        <f t="shared" si="58"/>
        <v>0</v>
      </c>
    </row>
    <row r="348" spans="1:19">
      <c r="A348" s="142"/>
      <c r="B348" s="52"/>
      <c r="C348" s="21">
        <f t="shared" si="59"/>
        <v>1</v>
      </c>
      <c r="D348" s="634"/>
      <c r="E348" s="21">
        <f t="shared" si="60"/>
        <v>0.01</v>
      </c>
      <c r="F348" s="634"/>
      <c r="G348" s="21">
        <f t="shared" si="61"/>
        <v>0.04</v>
      </c>
      <c r="H348" s="634"/>
      <c r="I348" s="21">
        <f t="shared" si="62"/>
        <v>0.06</v>
      </c>
      <c r="J348" s="634"/>
      <c r="K348" s="21">
        <f t="shared" si="63"/>
        <v>1</v>
      </c>
      <c r="L348" s="634"/>
      <c r="M348" s="21">
        <f t="shared" si="64"/>
        <v>1</v>
      </c>
      <c r="N348" s="634"/>
      <c r="O348" s="21">
        <f t="shared" si="65"/>
        <v>1</v>
      </c>
      <c r="P348" s="634"/>
      <c r="Q348" s="21">
        <f t="shared" si="66"/>
        <v>1</v>
      </c>
      <c r="R348" s="21">
        <f t="shared" si="67"/>
        <v>0</v>
      </c>
      <c r="S348" s="308">
        <f t="shared" si="58"/>
        <v>0</v>
      </c>
    </row>
    <row r="349" spans="1:19">
      <c r="A349" s="142"/>
      <c r="B349" s="52"/>
      <c r="C349" s="21">
        <f t="shared" si="59"/>
        <v>1</v>
      </c>
      <c r="D349" s="634"/>
      <c r="E349" s="21">
        <f t="shared" si="60"/>
        <v>0.01</v>
      </c>
      <c r="F349" s="634"/>
      <c r="G349" s="21">
        <f t="shared" si="61"/>
        <v>0.04</v>
      </c>
      <c r="H349" s="634"/>
      <c r="I349" s="21">
        <f t="shared" si="62"/>
        <v>0.06</v>
      </c>
      <c r="J349" s="634"/>
      <c r="K349" s="21">
        <f t="shared" si="63"/>
        <v>1</v>
      </c>
      <c r="L349" s="634"/>
      <c r="M349" s="21">
        <f t="shared" si="64"/>
        <v>1</v>
      </c>
      <c r="N349" s="634"/>
      <c r="O349" s="21">
        <f t="shared" si="65"/>
        <v>1</v>
      </c>
      <c r="P349" s="634"/>
      <c r="Q349" s="21">
        <f t="shared" si="66"/>
        <v>1</v>
      </c>
      <c r="R349" s="21">
        <f t="shared" si="67"/>
        <v>0</v>
      </c>
      <c r="S349" s="308">
        <f t="shared" si="58"/>
        <v>0</v>
      </c>
    </row>
    <row r="350" spans="1:19">
      <c r="A350" s="142"/>
      <c r="B350" s="52"/>
      <c r="C350" s="21">
        <f t="shared" si="59"/>
        <v>1</v>
      </c>
      <c r="D350" s="634"/>
      <c r="E350" s="21">
        <f t="shared" si="60"/>
        <v>0.01</v>
      </c>
      <c r="F350" s="634"/>
      <c r="G350" s="21">
        <f t="shared" si="61"/>
        <v>0.04</v>
      </c>
      <c r="H350" s="634"/>
      <c r="I350" s="21">
        <f t="shared" si="62"/>
        <v>0.06</v>
      </c>
      <c r="J350" s="634"/>
      <c r="K350" s="21">
        <f t="shared" si="63"/>
        <v>1</v>
      </c>
      <c r="L350" s="634"/>
      <c r="M350" s="21">
        <f t="shared" si="64"/>
        <v>1</v>
      </c>
      <c r="N350" s="634"/>
      <c r="O350" s="21">
        <f t="shared" si="65"/>
        <v>1</v>
      </c>
      <c r="P350" s="634"/>
      <c r="Q350" s="21">
        <f t="shared" si="66"/>
        <v>1</v>
      </c>
      <c r="R350" s="21">
        <f t="shared" si="67"/>
        <v>0</v>
      </c>
      <c r="S350" s="308">
        <f t="shared" si="58"/>
        <v>0</v>
      </c>
    </row>
    <row r="351" spans="1:19">
      <c r="A351" s="142"/>
      <c r="B351" s="52"/>
      <c r="C351" s="21">
        <f t="shared" si="59"/>
        <v>1</v>
      </c>
      <c r="D351" s="634"/>
      <c r="E351" s="21">
        <f t="shared" si="60"/>
        <v>0.01</v>
      </c>
      <c r="F351" s="634"/>
      <c r="G351" s="21">
        <f t="shared" si="61"/>
        <v>0.04</v>
      </c>
      <c r="H351" s="634"/>
      <c r="I351" s="21">
        <f t="shared" si="62"/>
        <v>0.06</v>
      </c>
      <c r="J351" s="634"/>
      <c r="K351" s="21">
        <f t="shared" si="63"/>
        <v>1</v>
      </c>
      <c r="L351" s="634"/>
      <c r="M351" s="21">
        <f t="shared" si="64"/>
        <v>1</v>
      </c>
      <c r="N351" s="634"/>
      <c r="O351" s="21">
        <f t="shared" si="65"/>
        <v>1</v>
      </c>
      <c r="P351" s="634"/>
      <c r="Q351" s="21">
        <f t="shared" si="66"/>
        <v>1</v>
      </c>
      <c r="R351" s="21">
        <f t="shared" si="67"/>
        <v>0</v>
      </c>
      <c r="S351" s="308">
        <f t="shared" si="58"/>
        <v>0</v>
      </c>
    </row>
    <row r="352" spans="1:19">
      <c r="A352" s="142"/>
      <c r="B352" s="52"/>
      <c r="C352" s="21">
        <f t="shared" si="59"/>
        <v>1</v>
      </c>
      <c r="D352" s="634"/>
      <c r="E352" s="21">
        <f t="shared" si="60"/>
        <v>0.01</v>
      </c>
      <c r="F352" s="634"/>
      <c r="G352" s="21">
        <f t="shared" si="61"/>
        <v>0.04</v>
      </c>
      <c r="H352" s="634"/>
      <c r="I352" s="21">
        <f t="shared" si="62"/>
        <v>0.06</v>
      </c>
      <c r="J352" s="634"/>
      <c r="K352" s="21">
        <f t="shared" si="63"/>
        <v>1</v>
      </c>
      <c r="L352" s="634"/>
      <c r="M352" s="21">
        <f t="shared" si="64"/>
        <v>1</v>
      </c>
      <c r="N352" s="634"/>
      <c r="O352" s="21">
        <f t="shared" si="65"/>
        <v>1</v>
      </c>
      <c r="P352" s="634"/>
      <c r="Q352" s="21">
        <f t="shared" si="66"/>
        <v>1</v>
      </c>
      <c r="R352" s="21">
        <f t="shared" si="67"/>
        <v>0</v>
      </c>
      <c r="S352" s="308">
        <f t="shared" si="58"/>
        <v>0</v>
      </c>
    </row>
    <row r="353" spans="1:19">
      <c r="A353" s="142"/>
      <c r="B353" s="52"/>
      <c r="C353" s="21">
        <f t="shared" si="59"/>
        <v>1</v>
      </c>
      <c r="D353" s="634"/>
      <c r="E353" s="21">
        <f t="shared" si="60"/>
        <v>0.01</v>
      </c>
      <c r="F353" s="634"/>
      <c r="G353" s="21">
        <f t="shared" si="61"/>
        <v>0.04</v>
      </c>
      <c r="H353" s="634"/>
      <c r="I353" s="21">
        <f t="shared" si="62"/>
        <v>0.06</v>
      </c>
      <c r="J353" s="634"/>
      <c r="K353" s="21">
        <f t="shared" si="63"/>
        <v>1</v>
      </c>
      <c r="L353" s="634"/>
      <c r="M353" s="21">
        <f t="shared" si="64"/>
        <v>1</v>
      </c>
      <c r="N353" s="634"/>
      <c r="O353" s="21">
        <f t="shared" si="65"/>
        <v>1</v>
      </c>
      <c r="P353" s="634"/>
      <c r="Q353" s="21">
        <f t="shared" si="66"/>
        <v>1</v>
      </c>
      <c r="R353" s="21">
        <f t="shared" si="67"/>
        <v>0</v>
      </c>
      <c r="S353" s="308">
        <f t="shared" si="58"/>
        <v>0</v>
      </c>
    </row>
    <row r="354" spans="1:19">
      <c r="A354" s="142"/>
      <c r="B354" s="52"/>
      <c r="C354" s="21">
        <f t="shared" si="59"/>
        <v>1</v>
      </c>
      <c r="D354" s="634"/>
      <c r="E354" s="21">
        <f t="shared" si="60"/>
        <v>0.01</v>
      </c>
      <c r="F354" s="634"/>
      <c r="G354" s="21">
        <f t="shared" si="61"/>
        <v>0.04</v>
      </c>
      <c r="H354" s="634"/>
      <c r="I354" s="21">
        <f t="shared" si="62"/>
        <v>0.06</v>
      </c>
      <c r="J354" s="634"/>
      <c r="K354" s="21">
        <f t="shared" si="63"/>
        <v>1</v>
      </c>
      <c r="L354" s="634"/>
      <c r="M354" s="21">
        <f t="shared" si="64"/>
        <v>1</v>
      </c>
      <c r="N354" s="634"/>
      <c r="O354" s="21">
        <f t="shared" si="65"/>
        <v>1</v>
      </c>
      <c r="P354" s="634"/>
      <c r="Q354" s="21">
        <f t="shared" si="66"/>
        <v>1</v>
      </c>
      <c r="R354" s="21">
        <f t="shared" si="67"/>
        <v>0</v>
      </c>
      <c r="S354" s="308">
        <f t="shared" si="58"/>
        <v>0</v>
      </c>
    </row>
    <row r="355" spans="1:19">
      <c r="A355" s="142"/>
      <c r="B355" s="52"/>
      <c r="C355" s="21">
        <f t="shared" si="59"/>
        <v>1</v>
      </c>
      <c r="D355" s="634"/>
      <c r="E355" s="21">
        <f t="shared" si="60"/>
        <v>0.01</v>
      </c>
      <c r="F355" s="634"/>
      <c r="G355" s="21">
        <f t="shared" si="61"/>
        <v>0.04</v>
      </c>
      <c r="H355" s="634"/>
      <c r="I355" s="21">
        <f t="shared" si="62"/>
        <v>0.06</v>
      </c>
      <c r="J355" s="634"/>
      <c r="K355" s="21">
        <f t="shared" si="63"/>
        <v>1</v>
      </c>
      <c r="L355" s="634"/>
      <c r="M355" s="21">
        <f t="shared" si="64"/>
        <v>1</v>
      </c>
      <c r="N355" s="634"/>
      <c r="O355" s="21">
        <f t="shared" si="65"/>
        <v>1</v>
      </c>
      <c r="P355" s="634"/>
      <c r="Q355" s="21">
        <f t="shared" si="66"/>
        <v>1</v>
      </c>
      <c r="R355" s="21">
        <f t="shared" si="67"/>
        <v>0</v>
      </c>
      <c r="S355" s="308">
        <f t="shared" si="58"/>
        <v>0</v>
      </c>
    </row>
    <row r="356" spans="1:19">
      <c r="A356" s="142"/>
      <c r="B356" s="52"/>
      <c r="C356" s="21">
        <f t="shared" si="59"/>
        <v>1</v>
      </c>
      <c r="D356" s="634"/>
      <c r="E356" s="21">
        <f t="shared" si="60"/>
        <v>0.01</v>
      </c>
      <c r="F356" s="634"/>
      <c r="G356" s="21">
        <f t="shared" si="61"/>
        <v>0.04</v>
      </c>
      <c r="H356" s="634"/>
      <c r="I356" s="21">
        <f t="shared" si="62"/>
        <v>0.06</v>
      </c>
      <c r="J356" s="634"/>
      <c r="K356" s="21">
        <f t="shared" si="63"/>
        <v>1</v>
      </c>
      <c r="L356" s="634"/>
      <c r="M356" s="21">
        <f t="shared" si="64"/>
        <v>1</v>
      </c>
      <c r="N356" s="634"/>
      <c r="O356" s="21">
        <f t="shared" si="65"/>
        <v>1</v>
      </c>
      <c r="P356" s="634"/>
      <c r="Q356" s="21">
        <f t="shared" si="66"/>
        <v>1</v>
      </c>
      <c r="R356" s="21">
        <f t="shared" si="67"/>
        <v>0</v>
      </c>
      <c r="S356" s="308">
        <f t="shared" si="58"/>
        <v>0</v>
      </c>
    </row>
    <row r="357" spans="1:19">
      <c r="A357" s="142"/>
      <c r="B357" s="52"/>
      <c r="C357" s="21">
        <f t="shared" si="59"/>
        <v>1</v>
      </c>
      <c r="D357" s="634"/>
      <c r="E357" s="21">
        <f t="shared" si="60"/>
        <v>0.01</v>
      </c>
      <c r="F357" s="634"/>
      <c r="G357" s="21">
        <f t="shared" si="61"/>
        <v>0.04</v>
      </c>
      <c r="H357" s="634"/>
      <c r="I357" s="21">
        <f t="shared" si="62"/>
        <v>0.06</v>
      </c>
      <c r="J357" s="634"/>
      <c r="K357" s="21">
        <f t="shared" si="63"/>
        <v>1</v>
      </c>
      <c r="L357" s="634"/>
      <c r="M357" s="21">
        <f t="shared" si="64"/>
        <v>1</v>
      </c>
      <c r="N357" s="634"/>
      <c r="O357" s="21">
        <f t="shared" si="65"/>
        <v>1</v>
      </c>
      <c r="P357" s="634"/>
      <c r="Q357" s="21">
        <f t="shared" si="66"/>
        <v>1</v>
      </c>
      <c r="R357" s="21">
        <f t="shared" si="67"/>
        <v>0</v>
      </c>
      <c r="S357" s="308">
        <f t="shared" si="58"/>
        <v>0</v>
      </c>
    </row>
    <row r="358" spans="1:19">
      <c r="A358" s="142"/>
      <c r="B358" s="52"/>
      <c r="C358" s="21">
        <f t="shared" si="59"/>
        <v>1</v>
      </c>
      <c r="D358" s="634"/>
      <c r="E358" s="21">
        <f t="shared" si="60"/>
        <v>0.01</v>
      </c>
      <c r="F358" s="634"/>
      <c r="G358" s="21">
        <f t="shared" si="61"/>
        <v>0.04</v>
      </c>
      <c r="H358" s="634"/>
      <c r="I358" s="21">
        <f t="shared" si="62"/>
        <v>0.06</v>
      </c>
      <c r="J358" s="634"/>
      <c r="K358" s="21">
        <f t="shared" si="63"/>
        <v>1</v>
      </c>
      <c r="L358" s="634"/>
      <c r="M358" s="21">
        <f t="shared" si="64"/>
        <v>1</v>
      </c>
      <c r="N358" s="634"/>
      <c r="O358" s="21">
        <f t="shared" si="65"/>
        <v>1</v>
      </c>
      <c r="P358" s="634"/>
      <c r="Q358" s="21">
        <f t="shared" si="66"/>
        <v>1</v>
      </c>
      <c r="R358" s="21">
        <f t="shared" si="67"/>
        <v>0</v>
      </c>
      <c r="S358" s="308">
        <f t="shared" si="58"/>
        <v>0</v>
      </c>
    </row>
    <row r="359" spans="1:19">
      <c r="A359" s="142"/>
      <c r="B359" s="52"/>
      <c r="C359" s="21">
        <f t="shared" si="59"/>
        <v>1</v>
      </c>
      <c r="D359" s="634"/>
      <c r="E359" s="21">
        <f t="shared" si="60"/>
        <v>0.01</v>
      </c>
      <c r="F359" s="634"/>
      <c r="G359" s="21">
        <f t="shared" si="61"/>
        <v>0.04</v>
      </c>
      <c r="H359" s="634"/>
      <c r="I359" s="21">
        <f t="shared" si="62"/>
        <v>0.06</v>
      </c>
      <c r="J359" s="634"/>
      <c r="K359" s="21">
        <f t="shared" si="63"/>
        <v>1</v>
      </c>
      <c r="L359" s="634"/>
      <c r="M359" s="21">
        <f t="shared" si="64"/>
        <v>1</v>
      </c>
      <c r="N359" s="634"/>
      <c r="O359" s="21">
        <f t="shared" si="65"/>
        <v>1</v>
      </c>
      <c r="P359" s="634"/>
      <c r="Q359" s="21">
        <f t="shared" si="66"/>
        <v>1</v>
      </c>
      <c r="R359" s="21">
        <f t="shared" si="67"/>
        <v>0</v>
      </c>
      <c r="S359" s="308">
        <f t="shared" si="58"/>
        <v>0</v>
      </c>
    </row>
    <row r="360" spans="1:19">
      <c r="A360" s="142"/>
      <c r="B360" s="52"/>
      <c r="C360" s="21">
        <f t="shared" si="59"/>
        <v>1</v>
      </c>
      <c r="D360" s="634"/>
      <c r="E360" s="21">
        <f t="shared" si="60"/>
        <v>0.01</v>
      </c>
      <c r="F360" s="634"/>
      <c r="G360" s="21">
        <f t="shared" si="61"/>
        <v>0.04</v>
      </c>
      <c r="H360" s="634"/>
      <c r="I360" s="21">
        <f t="shared" si="62"/>
        <v>0.06</v>
      </c>
      <c r="J360" s="634"/>
      <c r="K360" s="21">
        <f t="shared" si="63"/>
        <v>1</v>
      </c>
      <c r="L360" s="634"/>
      <c r="M360" s="21">
        <f t="shared" si="64"/>
        <v>1</v>
      </c>
      <c r="N360" s="634"/>
      <c r="O360" s="21">
        <f t="shared" si="65"/>
        <v>1</v>
      </c>
      <c r="P360" s="634"/>
      <c r="Q360" s="21">
        <f t="shared" si="66"/>
        <v>1</v>
      </c>
      <c r="R360" s="21">
        <f t="shared" si="67"/>
        <v>0</v>
      </c>
      <c r="S360" s="308">
        <f t="shared" si="58"/>
        <v>0</v>
      </c>
    </row>
    <row r="361" spans="1:19">
      <c r="A361" s="142"/>
      <c r="B361" s="52"/>
      <c r="C361" s="21">
        <f t="shared" si="59"/>
        <v>1</v>
      </c>
      <c r="D361" s="634"/>
      <c r="E361" s="21">
        <f t="shared" si="60"/>
        <v>0.01</v>
      </c>
      <c r="F361" s="634"/>
      <c r="G361" s="21">
        <f t="shared" si="61"/>
        <v>0.04</v>
      </c>
      <c r="H361" s="634"/>
      <c r="I361" s="21">
        <f t="shared" si="62"/>
        <v>0.06</v>
      </c>
      <c r="J361" s="634"/>
      <c r="K361" s="21">
        <f t="shared" si="63"/>
        <v>1</v>
      </c>
      <c r="L361" s="634"/>
      <c r="M361" s="21">
        <f t="shared" si="64"/>
        <v>1</v>
      </c>
      <c r="N361" s="634"/>
      <c r="O361" s="21">
        <f t="shared" si="65"/>
        <v>1</v>
      </c>
      <c r="P361" s="634"/>
      <c r="Q361" s="21">
        <f t="shared" si="66"/>
        <v>1</v>
      </c>
      <c r="R361" s="21">
        <f t="shared" si="67"/>
        <v>0</v>
      </c>
      <c r="S361" s="308">
        <f t="shared" si="58"/>
        <v>0</v>
      </c>
    </row>
    <row r="362" spans="1:19">
      <c r="A362" s="142"/>
      <c r="B362" s="52"/>
      <c r="C362" s="21">
        <f t="shared" si="59"/>
        <v>1</v>
      </c>
      <c r="D362" s="634"/>
      <c r="E362" s="21">
        <f t="shared" si="60"/>
        <v>0.01</v>
      </c>
      <c r="F362" s="634"/>
      <c r="G362" s="21">
        <f t="shared" si="61"/>
        <v>0.04</v>
      </c>
      <c r="H362" s="634"/>
      <c r="I362" s="21">
        <f t="shared" si="62"/>
        <v>0.06</v>
      </c>
      <c r="J362" s="634"/>
      <c r="K362" s="21">
        <f t="shared" si="63"/>
        <v>1</v>
      </c>
      <c r="L362" s="634"/>
      <c r="M362" s="21">
        <f t="shared" si="64"/>
        <v>1</v>
      </c>
      <c r="N362" s="634"/>
      <c r="O362" s="21">
        <f t="shared" si="65"/>
        <v>1</v>
      </c>
      <c r="P362" s="634"/>
      <c r="Q362" s="21">
        <f t="shared" si="66"/>
        <v>1</v>
      </c>
      <c r="R362" s="21">
        <f t="shared" si="67"/>
        <v>0</v>
      </c>
      <c r="S362" s="308">
        <f t="shared" si="58"/>
        <v>0</v>
      </c>
    </row>
    <row r="363" spans="1:19">
      <c r="A363" s="142"/>
      <c r="B363" s="52"/>
      <c r="C363" s="21">
        <f t="shared" si="59"/>
        <v>1</v>
      </c>
      <c r="D363" s="634"/>
      <c r="E363" s="21">
        <f t="shared" si="60"/>
        <v>0.01</v>
      </c>
      <c r="F363" s="634"/>
      <c r="G363" s="21">
        <f t="shared" si="61"/>
        <v>0.04</v>
      </c>
      <c r="H363" s="634"/>
      <c r="I363" s="21">
        <f t="shared" si="62"/>
        <v>0.06</v>
      </c>
      <c r="J363" s="634"/>
      <c r="K363" s="21">
        <f t="shared" si="63"/>
        <v>1</v>
      </c>
      <c r="L363" s="634"/>
      <c r="M363" s="21">
        <f t="shared" si="64"/>
        <v>1</v>
      </c>
      <c r="N363" s="634"/>
      <c r="O363" s="21">
        <f t="shared" si="65"/>
        <v>1</v>
      </c>
      <c r="P363" s="634"/>
      <c r="Q363" s="21">
        <f t="shared" si="66"/>
        <v>1</v>
      </c>
      <c r="R363" s="21">
        <f t="shared" si="67"/>
        <v>0</v>
      </c>
      <c r="S363" s="308">
        <f t="shared" si="58"/>
        <v>0</v>
      </c>
    </row>
    <row r="364" spans="1:19">
      <c r="A364" s="142"/>
      <c r="B364" s="52"/>
      <c r="C364" s="21">
        <f t="shared" si="59"/>
        <v>1</v>
      </c>
      <c r="D364" s="634"/>
      <c r="E364" s="21">
        <f t="shared" si="60"/>
        <v>0.01</v>
      </c>
      <c r="F364" s="634"/>
      <c r="G364" s="21">
        <f t="shared" si="61"/>
        <v>0.04</v>
      </c>
      <c r="H364" s="634"/>
      <c r="I364" s="21">
        <f t="shared" si="62"/>
        <v>0.06</v>
      </c>
      <c r="J364" s="634"/>
      <c r="K364" s="21">
        <f t="shared" si="63"/>
        <v>1</v>
      </c>
      <c r="L364" s="634"/>
      <c r="M364" s="21">
        <f t="shared" si="64"/>
        <v>1</v>
      </c>
      <c r="N364" s="634"/>
      <c r="O364" s="21">
        <f t="shared" si="65"/>
        <v>1</v>
      </c>
      <c r="P364" s="634"/>
      <c r="Q364" s="21">
        <f t="shared" si="66"/>
        <v>1</v>
      </c>
      <c r="R364" s="21">
        <f t="shared" si="67"/>
        <v>0</v>
      </c>
      <c r="S364" s="308">
        <f t="shared" si="58"/>
        <v>0</v>
      </c>
    </row>
    <row r="365" spans="1:19">
      <c r="A365" s="142"/>
      <c r="B365" s="52"/>
      <c r="C365" s="21">
        <f t="shared" si="59"/>
        <v>1</v>
      </c>
      <c r="D365" s="634"/>
      <c r="E365" s="21">
        <f t="shared" si="60"/>
        <v>0.01</v>
      </c>
      <c r="F365" s="634"/>
      <c r="G365" s="21">
        <f t="shared" si="61"/>
        <v>0.04</v>
      </c>
      <c r="H365" s="634"/>
      <c r="I365" s="21">
        <f t="shared" si="62"/>
        <v>0.06</v>
      </c>
      <c r="J365" s="634"/>
      <c r="K365" s="21">
        <f t="shared" si="63"/>
        <v>1</v>
      </c>
      <c r="L365" s="634"/>
      <c r="M365" s="21">
        <f t="shared" si="64"/>
        <v>1</v>
      </c>
      <c r="N365" s="634"/>
      <c r="O365" s="21">
        <f t="shared" si="65"/>
        <v>1</v>
      </c>
      <c r="P365" s="634"/>
      <c r="Q365" s="21">
        <f t="shared" si="66"/>
        <v>1</v>
      </c>
      <c r="R365" s="21">
        <f t="shared" si="67"/>
        <v>0</v>
      </c>
      <c r="S365" s="308">
        <f t="shared" si="58"/>
        <v>0</v>
      </c>
    </row>
    <row r="366" spans="1:19">
      <c r="A366" s="142"/>
      <c r="B366" s="52"/>
      <c r="C366" s="21">
        <f t="shared" si="59"/>
        <v>1</v>
      </c>
      <c r="D366" s="634"/>
      <c r="E366" s="21">
        <f t="shared" si="60"/>
        <v>0.01</v>
      </c>
      <c r="F366" s="634"/>
      <c r="G366" s="21">
        <f t="shared" si="61"/>
        <v>0.04</v>
      </c>
      <c r="H366" s="634"/>
      <c r="I366" s="21">
        <f t="shared" si="62"/>
        <v>0.06</v>
      </c>
      <c r="J366" s="634"/>
      <c r="K366" s="21">
        <f t="shared" si="63"/>
        <v>1</v>
      </c>
      <c r="L366" s="634"/>
      <c r="M366" s="21">
        <f t="shared" si="64"/>
        <v>1</v>
      </c>
      <c r="N366" s="634"/>
      <c r="O366" s="21">
        <f t="shared" si="65"/>
        <v>1</v>
      </c>
      <c r="P366" s="634"/>
      <c r="Q366" s="21">
        <f t="shared" si="66"/>
        <v>1</v>
      </c>
      <c r="R366" s="21">
        <f t="shared" si="67"/>
        <v>0</v>
      </c>
      <c r="S366" s="308">
        <f t="shared" si="58"/>
        <v>0</v>
      </c>
    </row>
    <row r="367" spans="1:19">
      <c r="A367" s="142"/>
      <c r="B367" s="52"/>
      <c r="C367" s="21">
        <f t="shared" si="59"/>
        <v>1</v>
      </c>
      <c r="D367" s="634"/>
      <c r="E367" s="21">
        <f t="shared" si="60"/>
        <v>0.01</v>
      </c>
      <c r="F367" s="634"/>
      <c r="G367" s="21">
        <f t="shared" si="61"/>
        <v>0.04</v>
      </c>
      <c r="H367" s="634"/>
      <c r="I367" s="21">
        <f t="shared" si="62"/>
        <v>0.06</v>
      </c>
      <c r="J367" s="634"/>
      <c r="K367" s="21">
        <f t="shared" si="63"/>
        <v>1</v>
      </c>
      <c r="L367" s="634"/>
      <c r="M367" s="21">
        <f t="shared" si="64"/>
        <v>1</v>
      </c>
      <c r="N367" s="634"/>
      <c r="O367" s="21">
        <f t="shared" si="65"/>
        <v>1</v>
      </c>
      <c r="P367" s="634"/>
      <c r="Q367" s="21">
        <f t="shared" si="66"/>
        <v>1</v>
      </c>
      <c r="R367" s="21">
        <f t="shared" si="67"/>
        <v>0</v>
      </c>
      <c r="S367" s="308">
        <f t="shared" si="58"/>
        <v>0</v>
      </c>
    </row>
    <row r="368" spans="1:19">
      <c r="A368" s="142"/>
      <c r="B368" s="52"/>
      <c r="C368" s="21">
        <f t="shared" si="59"/>
        <v>1</v>
      </c>
      <c r="D368" s="634"/>
      <c r="E368" s="21">
        <f t="shared" si="60"/>
        <v>0.01</v>
      </c>
      <c r="F368" s="634"/>
      <c r="G368" s="21">
        <f t="shared" si="61"/>
        <v>0.04</v>
      </c>
      <c r="H368" s="634"/>
      <c r="I368" s="21">
        <f t="shared" si="62"/>
        <v>0.06</v>
      </c>
      <c r="J368" s="634"/>
      <c r="K368" s="21">
        <f t="shared" si="63"/>
        <v>1</v>
      </c>
      <c r="L368" s="634"/>
      <c r="M368" s="21">
        <f t="shared" si="64"/>
        <v>1</v>
      </c>
      <c r="N368" s="634"/>
      <c r="O368" s="21">
        <f t="shared" si="65"/>
        <v>1</v>
      </c>
      <c r="P368" s="634"/>
      <c r="Q368" s="21">
        <f t="shared" si="66"/>
        <v>1</v>
      </c>
      <c r="R368" s="21">
        <f t="shared" si="67"/>
        <v>0</v>
      </c>
      <c r="S368" s="308">
        <f t="shared" si="58"/>
        <v>0</v>
      </c>
    </row>
    <row r="369" spans="1:19">
      <c r="A369" s="142"/>
      <c r="B369" s="52"/>
      <c r="C369" s="21">
        <f t="shared" si="59"/>
        <v>1</v>
      </c>
      <c r="D369" s="634"/>
      <c r="E369" s="21">
        <f t="shared" si="60"/>
        <v>0.01</v>
      </c>
      <c r="F369" s="634"/>
      <c r="G369" s="21">
        <f t="shared" si="61"/>
        <v>0.04</v>
      </c>
      <c r="H369" s="634"/>
      <c r="I369" s="21">
        <f t="shared" si="62"/>
        <v>0.06</v>
      </c>
      <c r="J369" s="634"/>
      <c r="K369" s="21">
        <f t="shared" si="63"/>
        <v>1</v>
      </c>
      <c r="L369" s="634"/>
      <c r="M369" s="21">
        <f t="shared" si="64"/>
        <v>1</v>
      </c>
      <c r="N369" s="634"/>
      <c r="O369" s="21">
        <f t="shared" si="65"/>
        <v>1</v>
      </c>
      <c r="P369" s="634"/>
      <c r="Q369" s="21">
        <f t="shared" si="66"/>
        <v>1</v>
      </c>
      <c r="R369" s="21">
        <f t="shared" si="67"/>
        <v>0</v>
      </c>
      <c r="S369" s="308">
        <f t="shared" si="58"/>
        <v>0</v>
      </c>
    </row>
    <row r="370" spans="1:19">
      <c r="A370" s="142"/>
      <c r="B370" s="52"/>
      <c r="C370" s="21">
        <f t="shared" si="59"/>
        <v>1</v>
      </c>
      <c r="D370" s="634"/>
      <c r="E370" s="21">
        <f t="shared" si="60"/>
        <v>0.01</v>
      </c>
      <c r="F370" s="634"/>
      <c r="G370" s="21">
        <f t="shared" si="61"/>
        <v>0.04</v>
      </c>
      <c r="H370" s="634"/>
      <c r="I370" s="21">
        <f t="shared" si="62"/>
        <v>0.06</v>
      </c>
      <c r="J370" s="634"/>
      <c r="K370" s="21">
        <f t="shared" si="63"/>
        <v>1</v>
      </c>
      <c r="L370" s="634"/>
      <c r="M370" s="21">
        <f t="shared" si="64"/>
        <v>1</v>
      </c>
      <c r="N370" s="634"/>
      <c r="O370" s="21">
        <f t="shared" si="65"/>
        <v>1</v>
      </c>
      <c r="P370" s="634"/>
      <c r="Q370" s="21">
        <f t="shared" si="66"/>
        <v>1</v>
      </c>
      <c r="R370" s="21">
        <f t="shared" si="67"/>
        <v>0</v>
      </c>
      <c r="S370" s="308">
        <f t="shared" si="58"/>
        <v>0</v>
      </c>
    </row>
    <row r="371" spans="1:19">
      <c r="A371" s="142"/>
      <c r="B371" s="52"/>
      <c r="C371" s="21">
        <f t="shared" si="59"/>
        <v>1</v>
      </c>
      <c r="D371" s="634"/>
      <c r="E371" s="21">
        <f t="shared" si="60"/>
        <v>0.01</v>
      </c>
      <c r="F371" s="634"/>
      <c r="G371" s="21">
        <f t="shared" si="61"/>
        <v>0.04</v>
      </c>
      <c r="H371" s="634"/>
      <c r="I371" s="21">
        <f t="shared" si="62"/>
        <v>0.06</v>
      </c>
      <c r="J371" s="634"/>
      <c r="K371" s="21">
        <f t="shared" si="63"/>
        <v>1</v>
      </c>
      <c r="L371" s="634"/>
      <c r="M371" s="21">
        <f t="shared" si="64"/>
        <v>1</v>
      </c>
      <c r="N371" s="634"/>
      <c r="O371" s="21">
        <f t="shared" si="65"/>
        <v>1</v>
      </c>
      <c r="P371" s="634"/>
      <c r="Q371" s="21">
        <f t="shared" si="66"/>
        <v>1</v>
      </c>
      <c r="R371" s="21">
        <f t="shared" si="67"/>
        <v>0</v>
      </c>
      <c r="S371" s="308">
        <f t="shared" si="58"/>
        <v>0</v>
      </c>
    </row>
    <row r="372" spans="1:19">
      <c r="A372" s="142"/>
      <c r="B372" s="52"/>
      <c r="C372" s="21">
        <f t="shared" si="59"/>
        <v>1</v>
      </c>
      <c r="D372" s="634"/>
      <c r="E372" s="21">
        <f t="shared" si="60"/>
        <v>0.01</v>
      </c>
      <c r="F372" s="634"/>
      <c r="G372" s="21">
        <f t="shared" si="61"/>
        <v>0.04</v>
      </c>
      <c r="H372" s="634"/>
      <c r="I372" s="21">
        <f t="shared" si="62"/>
        <v>0.06</v>
      </c>
      <c r="J372" s="634"/>
      <c r="K372" s="21">
        <f t="shared" si="63"/>
        <v>1</v>
      </c>
      <c r="L372" s="634"/>
      <c r="M372" s="21">
        <f t="shared" si="64"/>
        <v>1</v>
      </c>
      <c r="N372" s="634"/>
      <c r="O372" s="21">
        <f t="shared" si="65"/>
        <v>1</v>
      </c>
      <c r="P372" s="634"/>
      <c r="Q372" s="21">
        <f t="shared" si="66"/>
        <v>1</v>
      </c>
      <c r="R372" s="21">
        <f t="shared" si="67"/>
        <v>0</v>
      </c>
      <c r="S372" s="308">
        <f t="shared" si="58"/>
        <v>0</v>
      </c>
    </row>
    <row r="373" spans="1:19">
      <c r="A373" s="142"/>
      <c r="B373" s="52"/>
      <c r="C373" s="21">
        <f t="shared" si="59"/>
        <v>1</v>
      </c>
      <c r="D373" s="634"/>
      <c r="E373" s="21">
        <f t="shared" si="60"/>
        <v>0.01</v>
      </c>
      <c r="F373" s="634"/>
      <c r="G373" s="21">
        <f t="shared" si="61"/>
        <v>0.04</v>
      </c>
      <c r="H373" s="634"/>
      <c r="I373" s="21">
        <f t="shared" si="62"/>
        <v>0.06</v>
      </c>
      <c r="J373" s="634"/>
      <c r="K373" s="21">
        <f t="shared" si="63"/>
        <v>1</v>
      </c>
      <c r="L373" s="634"/>
      <c r="M373" s="21">
        <f t="shared" si="64"/>
        <v>1</v>
      </c>
      <c r="N373" s="634"/>
      <c r="O373" s="21">
        <f t="shared" si="65"/>
        <v>1</v>
      </c>
      <c r="P373" s="634"/>
      <c r="Q373" s="21">
        <f t="shared" si="66"/>
        <v>1</v>
      </c>
      <c r="R373" s="21">
        <f t="shared" si="67"/>
        <v>0</v>
      </c>
      <c r="S373" s="308">
        <f t="shared" si="58"/>
        <v>0</v>
      </c>
    </row>
    <row r="374" spans="1:19">
      <c r="A374" s="142"/>
      <c r="B374" s="52"/>
      <c r="C374" s="21">
        <f t="shared" si="59"/>
        <v>1</v>
      </c>
      <c r="D374" s="634"/>
      <c r="E374" s="21">
        <f t="shared" si="60"/>
        <v>0.01</v>
      </c>
      <c r="F374" s="634"/>
      <c r="G374" s="21">
        <f t="shared" si="61"/>
        <v>0.04</v>
      </c>
      <c r="H374" s="634"/>
      <c r="I374" s="21">
        <f t="shared" si="62"/>
        <v>0.06</v>
      </c>
      <c r="J374" s="634"/>
      <c r="K374" s="21">
        <f t="shared" si="63"/>
        <v>1</v>
      </c>
      <c r="L374" s="634"/>
      <c r="M374" s="21">
        <f t="shared" si="64"/>
        <v>1</v>
      </c>
      <c r="N374" s="634"/>
      <c r="O374" s="21">
        <f t="shared" si="65"/>
        <v>1</v>
      </c>
      <c r="P374" s="634"/>
      <c r="Q374" s="21">
        <f t="shared" si="66"/>
        <v>1</v>
      </c>
      <c r="R374" s="21">
        <f t="shared" si="67"/>
        <v>0</v>
      </c>
      <c r="S374" s="308">
        <f t="shared" si="58"/>
        <v>0</v>
      </c>
    </row>
    <row r="375" spans="1:19">
      <c r="A375" s="142"/>
      <c r="B375" s="52"/>
      <c r="C375" s="21">
        <f t="shared" si="59"/>
        <v>1</v>
      </c>
      <c r="D375" s="634"/>
      <c r="E375" s="21">
        <f t="shared" si="60"/>
        <v>0.01</v>
      </c>
      <c r="F375" s="634"/>
      <c r="G375" s="21">
        <f t="shared" si="61"/>
        <v>0.04</v>
      </c>
      <c r="H375" s="634"/>
      <c r="I375" s="21">
        <f t="shared" si="62"/>
        <v>0.06</v>
      </c>
      <c r="J375" s="634"/>
      <c r="K375" s="21">
        <f t="shared" si="63"/>
        <v>1</v>
      </c>
      <c r="L375" s="634"/>
      <c r="M375" s="21">
        <f t="shared" si="64"/>
        <v>1</v>
      </c>
      <c r="N375" s="634"/>
      <c r="O375" s="21">
        <f t="shared" si="65"/>
        <v>1</v>
      </c>
      <c r="P375" s="634"/>
      <c r="Q375" s="21">
        <f t="shared" si="66"/>
        <v>1</v>
      </c>
      <c r="R375" s="21">
        <f t="shared" si="67"/>
        <v>0</v>
      </c>
      <c r="S375" s="308">
        <f t="shared" si="58"/>
        <v>0</v>
      </c>
    </row>
    <row r="376" spans="1:19">
      <c r="A376" s="142"/>
      <c r="B376" s="52"/>
      <c r="C376" s="21">
        <f t="shared" si="59"/>
        <v>1</v>
      </c>
      <c r="D376" s="634"/>
      <c r="E376" s="21">
        <f t="shared" si="60"/>
        <v>0.01</v>
      </c>
      <c r="F376" s="634"/>
      <c r="G376" s="21">
        <f t="shared" si="61"/>
        <v>0.04</v>
      </c>
      <c r="H376" s="634"/>
      <c r="I376" s="21">
        <f t="shared" si="62"/>
        <v>0.06</v>
      </c>
      <c r="J376" s="634"/>
      <c r="K376" s="21">
        <f t="shared" si="63"/>
        <v>1</v>
      </c>
      <c r="L376" s="634"/>
      <c r="M376" s="21">
        <f t="shared" si="64"/>
        <v>1</v>
      </c>
      <c r="N376" s="634"/>
      <c r="O376" s="21">
        <f t="shared" si="65"/>
        <v>1</v>
      </c>
      <c r="P376" s="634"/>
      <c r="Q376" s="21">
        <f t="shared" si="66"/>
        <v>1</v>
      </c>
      <c r="R376" s="21">
        <f t="shared" si="67"/>
        <v>0</v>
      </c>
      <c r="S376" s="308">
        <f t="shared" si="58"/>
        <v>0</v>
      </c>
    </row>
    <row r="377" spans="1:19">
      <c r="A377" s="142"/>
      <c r="B377" s="52"/>
      <c r="C377" s="21">
        <f t="shared" si="59"/>
        <v>1</v>
      </c>
      <c r="D377" s="634"/>
      <c r="E377" s="21">
        <f t="shared" si="60"/>
        <v>0.01</v>
      </c>
      <c r="F377" s="634"/>
      <c r="G377" s="21">
        <f t="shared" si="61"/>
        <v>0.04</v>
      </c>
      <c r="H377" s="634"/>
      <c r="I377" s="21">
        <f t="shared" si="62"/>
        <v>0.06</v>
      </c>
      <c r="J377" s="634"/>
      <c r="K377" s="21">
        <f t="shared" si="63"/>
        <v>1</v>
      </c>
      <c r="L377" s="634"/>
      <c r="M377" s="21">
        <f t="shared" si="64"/>
        <v>1</v>
      </c>
      <c r="N377" s="634"/>
      <c r="O377" s="21">
        <f t="shared" si="65"/>
        <v>1</v>
      </c>
      <c r="P377" s="634"/>
      <c r="Q377" s="21">
        <f t="shared" si="66"/>
        <v>1</v>
      </c>
      <c r="R377" s="21">
        <f t="shared" si="67"/>
        <v>0</v>
      </c>
      <c r="S377" s="308">
        <f t="shared" si="58"/>
        <v>0</v>
      </c>
    </row>
    <row r="378" spans="1:19">
      <c r="A378" s="142"/>
      <c r="B378" s="52"/>
      <c r="C378" s="21">
        <f t="shared" si="59"/>
        <v>1</v>
      </c>
      <c r="D378" s="634"/>
      <c r="E378" s="21">
        <f t="shared" si="60"/>
        <v>0.01</v>
      </c>
      <c r="F378" s="634"/>
      <c r="G378" s="21">
        <f t="shared" si="61"/>
        <v>0.04</v>
      </c>
      <c r="H378" s="634"/>
      <c r="I378" s="21">
        <f t="shared" si="62"/>
        <v>0.06</v>
      </c>
      <c r="J378" s="634"/>
      <c r="K378" s="21">
        <f t="shared" si="63"/>
        <v>1</v>
      </c>
      <c r="L378" s="634"/>
      <c r="M378" s="21">
        <f t="shared" si="64"/>
        <v>1</v>
      </c>
      <c r="N378" s="634"/>
      <c r="O378" s="21">
        <f t="shared" si="65"/>
        <v>1</v>
      </c>
      <c r="P378" s="634"/>
      <c r="Q378" s="21">
        <f t="shared" si="66"/>
        <v>1</v>
      </c>
      <c r="R378" s="21">
        <f t="shared" si="67"/>
        <v>0</v>
      </c>
      <c r="S378" s="308">
        <f t="shared" si="58"/>
        <v>0</v>
      </c>
    </row>
    <row r="379" spans="1:19">
      <c r="A379" s="142"/>
      <c r="B379" s="52"/>
      <c r="C379" s="21">
        <f t="shared" si="59"/>
        <v>1</v>
      </c>
      <c r="D379" s="634"/>
      <c r="E379" s="21">
        <f t="shared" si="60"/>
        <v>0.01</v>
      </c>
      <c r="F379" s="634"/>
      <c r="G379" s="21">
        <f t="shared" si="61"/>
        <v>0.04</v>
      </c>
      <c r="H379" s="634"/>
      <c r="I379" s="21">
        <f t="shared" si="62"/>
        <v>0.06</v>
      </c>
      <c r="J379" s="634"/>
      <c r="K379" s="21">
        <f t="shared" si="63"/>
        <v>1</v>
      </c>
      <c r="L379" s="634"/>
      <c r="M379" s="21">
        <f t="shared" si="64"/>
        <v>1</v>
      </c>
      <c r="N379" s="634"/>
      <c r="O379" s="21">
        <f t="shared" si="65"/>
        <v>1</v>
      </c>
      <c r="P379" s="634"/>
      <c r="Q379" s="21">
        <f t="shared" si="66"/>
        <v>1</v>
      </c>
      <c r="R379" s="21">
        <f t="shared" si="67"/>
        <v>0</v>
      </c>
      <c r="S379" s="308">
        <f t="shared" si="58"/>
        <v>0</v>
      </c>
    </row>
    <row r="380" spans="1:19">
      <c r="A380" s="142"/>
      <c r="B380" s="52"/>
      <c r="C380" s="21">
        <f t="shared" si="59"/>
        <v>1</v>
      </c>
      <c r="D380" s="634"/>
      <c r="E380" s="21">
        <f t="shared" si="60"/>
        <v>0.01</v>
      </c>
      <c r="F380" s="634"/>
      <c r="G380" s="21">
        <f t="shared" si="61"/>
        <v>0.04</v>
      </c>
      <c r="H380" s="634"/>
      <c r="I380" s="21">
        <f t="shared" si="62"/>
        <v>0.06</v>
      </c>
      <c r="J380" s="634"/>
      <c r="K380" s="21">
        <f t="shared" si="63"/>
        <v>1</v>
      </c>
      <c r="L380" s="634"/>
      <c r="M380" s="21">
        <f t="shared" si="64"/>
        <v>1</v>
      </c>
      <c r="N380" s="634"/>
      <c r="O380" s="21">
        <f t="shared" si="65"/>
        <v>1</v>
      </c>
      <c r="P380" s="634"/>
      <c r="Q380" s="21">
        <f t="shared" si="66"/>
        <v>1</v>
      </c>
      <c r="R380" s="21">
        <f t="shared" si="67"/>
        <v>0</v>
      </c>
      <c r="S380" s="308">
        <f t="shared" si="58"/>
        <v>0</v>
      </c>
    </row>
    <row r="381" spans="1:19">
      <c r="A381" s="142"/>
      <c r="B381" s="52"/>
      <c r="C381" s="21">
        <f t="shared" si="59"/>
        <v>1</v>
      </c>
      <c r="D381" s="634"/>
      <c r="E381" s="21">
        <f t="shared" si="60"/>
        <v>0.01</v>
      </c>
      <c r="F381" s="634"/>
      <c r="G381" s="21">
        <f t="shared" si="61"/>
        <v>0.04</v>
      </c>
      <c r="H381" s="634"/>
      <c r="I381" s="21">
        <f t="shared" si="62"/>
        <v>0.06</v>
      </c>
      <c r="J381" s="634"/>
      <c r="K381" s="21">
        <f t="shared" si="63"/>
        <v>1</v>
      </c>
      <c r="L381" s="634"/>
      <c r="M381" s="21">
        <f t="shared" si="64"/>
        <v>1</v>
      </c>
      <c r="N381" s="634"/>
      <c r="O381" s="21">
        <f t="shared" si="65"/>
        <v>1</v>
      </c>
      <c r="P381" s="634"/>
      <c r="Q381" s="21">
        <f t="shared" si="66"/>
        <v>1</v>
      </c>
      <c r="R381" s="21">
        <f t="shared" si="67"/>
        <v>0</v>
      </c>
      <c r="S381" s="308">
        <f t="shared" si="58"/>
        <v>0</v>
      </c>
    </row>
    <row r="382" spans="1:19">
      <c r="A382" s="142"/>
      <c r="B382" s="52"/>
      <c r="C382" s="21">
        <f t="shared" si="59"/>
        <v>1</v>
      </c>
      <c r="D382" s="634"/>
      <c r="E382" s="21">
        <f t="shared" si="60"/>
        <v>0.01</v>
      </c>
      <c r="F382" s="634"/>
      <c r="G382" s="21">
        <f t="shared" si="61"/>
        <v>0.04</v>
      </c>
      <c r="H382" s="634"/>
      <c r="I382" s="21">
        <f t="shared" si="62"/>
        <v>0.06</v>
      </c>
      <c r="J382" s="634"/>
      <c r="K382" s="21">
        <f t="shared" si="63"/>
        <v>1</v>
      </c>
      <c r="L382" s="634"/>
      <c r="M382" s="21">
        <f t="shared" si="64"/>
        <v>1</v>
      </c>
      <c r="N382" s="634"/>
      <c r="O382" s="21">
        <f t="shared" si="65"/>
        <v>1</v>
      </c>
      <c r="P382" s="634"/>
      <c r="Q382" s="21">
        <f t="shared" si="66"/>
        <v>1</v>
      </c>
      <c r="R382" s="21">
        <f t="shared" si="67"/>
        <v>0</v>
      </c>
      <c r="S382" s="308">
        <f t="shared" si="58"/>
        <v>0</v>
      </c>
    </row>
    <row r="383" spans="1:19">
      <c r="A383" s="142"/>
      <c r="B383" s="52"/>
      <c r="C383" s="21">
        <f t="shared" si="59"/>
        <v>1</v>
      </c>
      <c r="D383" s="634"/>
      <c r="E383" s="21">
        <f t="shared" si="60"/>
        <v>0.01</v>
      </c>
      <c r="F383" s="634"/>
      <c r="G383" s="21">
        <f t="shared" si="61"/>
        <v>0.04</v>
      </c>
      <c r="H383" s="634"/>
      <c r="I383" s="21">
        <f t="shared" si="62"/>
        <v>0.06</v>
      </c>
      <c r="J383" s="634"/>
      <c r="K383" s="21">
        <f t="shared" si="63"/>
        <v>1</v>
      </c>
      <c r="L383" s="634"/>
      <c r="M383" s="21">
        <f t="shared" si="64"/>
        <v>1</v>
      </c>
      <c r="N383" s="634"/>
      <c r="O383" s="21">
        <f t="shared" si="65"/>
        <v>1</v>
      </c>
      <c r="P383" s="634"/>
      <c r="Q383" s="21">
        <f t="shared" si="66"/>
        <v>1</v>
      </c>
      <c r="R383" s="21">
        <f t="shared" si="67"/>
        <v>0</v>
      </c>
      <c r="S383" s="308">
        <f t="shared" si="58"/>
        <v>0</v>
      </c>
    </row>
    <row r="384" spans="1:19">
      <c r="A384" s="142"/>
      <c r="B384" s="52"/>
      <c r="C384" s="21">
        <f t="shared" si="59"/>
        <v>1</v>
      </c>
      <c r="D384" s="634"/>
      <c r="E384" s="21">
        <f t="shared" si="60"/>
        <v>0.01</v>
      </c>
      <c r="F384" s="634"/>
      <c r="G384" s="21">
        <f t="shared" si="61"/>
        <v>0.04</v>
      </c>
      <c r="H384" s="634"/>
      <c r="I384" s="21">
        <f t="shared" si="62"/>
        <v>0.06</v>
      </c>
      <c r="J384" s="634"/>
      <c r="K384" s="21">
        <f t="shared" si="63"/>
        <v>1</v>
      </c>
      <c r="L384" s="634"/>
      <c r="M384" s="21">
        <f t="shared" si="64"/>
        <v>1</v>
      </c>
      <c r="N384" s="634"/>
      <c r="O384" s="21">
        <f t="shared" si="65"/>
        <v>1</v>
      </c>
      <c r="P384" s="634"/>
      <c r="Q384" s="21">
        <f t="shared" si="66"/>
        <v>1</v>
      </c>
      <c r="R384" s="21">
        <f t="shared" si="67"/>
        <v>0</v>
      </c>
      <c r="S384" s="308">
        <f t="shared" si="58"/>
        <v>0</v>
      </c>
    </row>
    <row r="385" spans="1:19">
      <c r="A385" s="142"/>
      <c r="B385" s="52"/>
      <c r="C385" s="21">
        <f t="shared" si="59"/>
        <v>1</v>
      </c>
      <c r="D385" s="634"/>
      <c r="E385" s="21">
        <f t="shared" si="60"/>
        <v>0.01</v>
      </c>
      <c r="F385" s="634"/>
      <c r="G385" s="21">
        <f t="shared" si="61"/>
        <v>0.04</v>
      </c>
      <c r="H385" s="634"/>
      <c r="I385" s="21">
        <f t="shared" si="62"/>
        <v>0.06</v>
      </c>
      <c r="J385" s="634"/>
      <c r="K385" s="21">
        <f t="shared" si="63"/>
        <v>1</v>
      </c>
      <c r="L385" s="634"/>
      <c r="M385" s="21">
        <f t="shared" si="64"/>
        <v>1</v>
      </c>
      <c r="N385" s="634"/>
      <c r="O385" s="21">
        <f t="shared" si="65"/>
        <v>1</v>
      </c>
      <c r="P385" s="634"/>
      <c r="Q385" s="21">
        <f t="shared" si="66"/>
        <v>1</v>
      </c>
      <c r="R385" s="21">
        <f t="shared" si="67"/>
        <v>0</v>
      </c>
      <c r="S385" s="308">
        <f t="shared" ref="S385:S422" si="68">ROUND(R385*B385/10000,0)</f>
        <v>0</v>
      </c>
    </row>
    <row r="386" spans="1:19">
      <c r="A386" s="142"/>
      <c r="B386" s="52"/>
      <c r="C386" s="21">
        <f t="shared" si="59"/>
        <v>1</v>
      </c>
      <c r="D386" s="634"/>
      <c r="E386" s="21">
        <f t="shared" si="60"/>
        <v>0.01</v>
      </c>
      <c r="F386" s="634"/>
      <c r="G386" s="21">
        <f t="shared" si="61"/>
        <v>0.04</v>
      </c>
      <c r="H386" s="634"/>
      <c r="I386" s="21">
        <f t="shared" si="62"/>
        <v>0.06</v>
      </c>
      <c r="J386" s="634"/>
      <c r="K386" s="21">
        <f t="shared" si="63"/>
        <v>1</v>
      </c>
      <c r="L386" s="634"/>
      <c r="M386" s="21">
        <f t="shared" si="64"/>
        <v>1</v>
      </c>
      <c r="N386" s="634"/>
      <c r="O386" s="21">
        <f t="shared" si="65"/>
        <v>1</v>
      </c>
      <c r="P386" s="634"/>
      <c r="Q386" s="21">
        <f t="shared" si="66"/>
        <v>1</v>
      </c>
      <c r="R386" s="21">
        <f t="shared" si="67"/>
        <v>0</v>
      </c>
      <c r="S386" s="308">
        <f t="shared" si="68"/>
        <v>0</v>
      </c>
    </row>
    <row r="387" spans="1:19">
      <c r="A387" s="142"/>
      <c r="B387" s="52"/>
      <c r="C387" s="21">
        <f t="shared" si="59"/>
        <v>1</v>
      </c>
      <c r="D387" s="634"/>
      <c r="E387" s="21">
        <f t="shared" si="60"/>
        <v>0.01</v>
      </c>
      <c r="F387" s="634"/>
      <c r="G387" s="21">
        <f t="shared" si="61"/>
        <v>0.04</v>
      </c>
      <c r="H387" s="634"/>
      <c r="I387" s="21">
        <f t="shared" si="62"/>
        <v>0.06</v>
      </c>
      <c r="J387" s="634"/>
      <c r="K387" s="21">
        <f t="shared" si="63"/>
        <v>1</v>
      </c>
      <c r="L387" s="634"/>
      <c r="M387" s="21">
        <f t="shared" si="64"/>
        <v>1</v>
      </c>
      <c r="N387" s="634"/>
      <c r="O387" s="21">
        <f t="shared" si="65"/>
        <v>1</v>
      </c>
      <c r="P387" s="634"/>
      <c r="Q387" s="21">
        <f t="shared" si="66"/>
        <v>1</v>
      </c>
      <c r="R387" s="21">
        <f t="shared" si="67"/>
        <v>0</v>
      </c>
      <c r="S387" s="308">
        <f t="shared" si="68"/>
        <v>0</v>
      </c>
    </row>
    <row r="388" spans="1:19">
      <c r="A388" s="142"/>
      <c r="B388" s="52"/>
      <c r="C388" s="21">
        <f t="shared" si="59"/>
        <v>1</v>
      </c>
      <c r="D388" s="634"/>
      <c r="E388" s="21">
        <f t="shared" si="60"/>
        <v>0.01</v>
      </c>
      <c r="F388" s="634"/>
      <c r="G388" s="21">
        <f t="shared" si="61"/>
        <v>0.04</v>
      </c>
      <c r="H388" s="634"/>
      <c r="I388" s="21">
        <f t="shared" si="62"/>
        <v>0.06</v>
      </c>
      <c r="J388" s="634"/>
      <c r="K388" s="21">
        <f t="shared" si="63"/>
        <v>1</v>
      </c>
      <c r="L388" s="634"/>
      <c r="M388" s="21">
        <f t="shared" si="64"/>
        <v>1</v>
      </c>
      <c r="N388" s="634"/>
      <c r="O388" s="21">
        <f t="shared" si="65"/>
        <v>1</v>
      </c>
      <c r="P388" s="634"/>
      <c r="Q388" s="21">
        <f t="shared" si="66"/>
        <v>1</v>
      </c>
      <c r="R388" s="21">
        <f t="shared" si="67"/>
        <v>0</v>
      </c>
      <c r="S388" s="308">
        <f t="shared" si="68"/>
        <v>0</v>
      </c>
    </row>
    <row r="389" spans="1:19">
      <c r="A389" s="142"/>
      <c r="B389" s="52"/>
      <c r="C389" s="21">
        <f t="shared" si="59"/>
        <v>1</v>
      </c>
      <c r="D389" s="634"/>
      <c r="E389" s="21">
        <f t="shared" si="60"/>
        <v>0.01</v>
      </c>
      <c r="F389" s="634"/>
      <c r="G389" s="21">
        <f t="shared" si="61"/>
        <v>0.04</v>
      </c>
      <c r="H389" s="634"/>
      <c r="I389" s="21">
        <f t="shared" si="62"/>
        <v>0.06</v>
      </c>
      <c r="J389" s="634"/>
      <c r="K389" s="21">
        <f t="shared" si="63"/>
        <v>1</v>
      </c>
      <c r="L389" s="634"/>
      <c r="M389" s="21">
        <f t="shared" si="64"/>
        <v>1</v>
      </c>
      <c r="N389" s="634"/>
      <c r="O389" s="21">
        <f t="shared" si="65"/>
        <v>1</v>
      </c>
      <c r="P389" s="634"/>
      <c r="Q389" s="21">
        <f t="shared" si="66"/>
        <v>1</v>
      </c>
      <c r="R389" s="21">
        <f t="shared" si="67"/>
        <v>0</v>
      </c>
      <c r="S389" s="308">
        <f t="shared" si="68"/>
        <v>0</v>
      </c>
    </row>
    <row r="390" spans="1:19">
      <c r="A390" s="142"/>
      <c r="B390" s="52"/>
      <c r="C390" s="21">
        <f t="shared" si="59"/>
        <v>1</v>
      </c>
      <c r="D390" s="634"/>
      <c r="E390" s="21">
        <f t="shared" si="60"/>
        <v>0.01</v>
      </c>
      <c r="F390" s="634"/>
      <c r="G390" s="21">
        <f t="shared" si="61"/>
        <v>0.04</v>
      </c>
      <c r="H390" s="634"/>
      <c r="I390" s="21">
        <f t="shared" si="62"/>
        <v>0.06</v>
      </c>
      <c r="J390" s="634"/>
      <c r="K390" s="21">
        <f t="shared" si="63"/>
        <v>1</v>
      </c>
      <c r="L390" s="634"/>
      <c r="M390" s="21">
        <f t="shared" si="64"/>
        <v>1</v>
      </c>
      <c r="N390" s="634"/>
      <c r="O390" s="21">
        <f t="shared" si="65"/>
        <v>1</v>
      </c>
      <c r="P390" s="634"/>
      <c r="Q390" s="21">
        <f t="shared" si="66"/>
        <v>1</v>
      </c>
      <c r="R390" s="21">
        <f t="shared" si="67"/>
        <v>0</v>
      </c>
      <c r="S390" s="308">
        <f t="shared" si="68"/>
        <v>0</v>
      </c>
    </row>
    <row r="391" spans="1:19">
      <c r="A391" s="142"/>
      <c r="B391" s="52"/>
      <c r="C391" s="21">
        <f t="shared" si="59"/>
        <v>1</v>
      </c>
      <c r="D391" s="634"/>
      <c r="E391" s="21">
        <f t="shared" si="60"/>
        <v>0.01</v>
      </c>
      <c r="F391" s="634"/>
      <c r="G391" s="21">
        <f t="shared" si="61"/>
        <v>0.04</v>
      </c>
      <c r="H391" s="634"/>
      <c r="I391" s="21">
        <f t="shared" si="62"/>
        <v>0.06</v>
      </c>
      <c r="J391" s="634"/>
      <c r="K391" s="21">
        <f t="shared" si="63"/>
        <v>1</v>
      </c>
      <c r="L391" s="634"/>
      <c r="M391" s="21">
        <f t="shared" si="64"/>
        <v>1</v>
      </c>
      <c r="N391" s="634"/>
      <c r="O391" s="21">
        <f t="shared" si="65"/>
        <v>1</v>
      </c>
      <c r="P391" s="634"/>
      <c r="Q391" s="21">
        <f t="shared" si="66"/>
        <v>1</v>
      </c>
      <c r="R391" s="21">
        <f t="shared" si="67"/>
        <v>0</v>
      </c>
      <c r="S391" s="308">
        <f t="shared" si="68"/>
        <v>0</v>
      </c>
    </row>
    <row r="392" spans="1:19">
      <c r="A392" s="142"/>
      <c r="B392" s="52"/>
      <c r="C392" s="21">
        <f t="shared" si="59"/>
        <v>1</v>
      </c>
      <c r="D392" s="634"/>
      <c r="E392" s="21">
        <f t="shared" si="60"/>
        <v>0.01</v>
      </c>
      <c r="F392" s="634"/>
      <c r="G392" s="21">
        <f t="shared" si="61"/>
        <v>0.04</v>
      </c>
      <c r="H392" s="634"/>
      <c r="I392" s="21">
        <f t="shared" si="62"/>
        <v>0.06</v>
      </c>
      <c r="J392" s="634"/>
      <c r="K392" s="21">
        <f t="shared" si="63"/>
        <v>1</v>
      </c>
      <c r="L392" s="634"/>
      <c r="M392" s="21">
        <f t="shared" si="64"/>
        <v>1</v>
      </c>
      <c r="N392" s="634"/>
      <c r="O392" s="21">
        <f t="shared" si="65"/>
        <v>1</v>
      </c>
      <c r="P392" s="634"/>
      <c r="Q392" s="21">
        <f t="shared" si="66"/>
        <v>1</v>
      </c>
      <c r="R392" s="21">
        <f t="shared" si="67"/>
        <v>0</v>
      </c>
      <c r="S392" s="308">
        <f t="shared" si="68"/>
        <v>0</v>
      </c>
    </row>
    <row r="393" spans="1:19">
      <c r="A393" s="142"/>
      <c r="B393" s="52"/>
      <c r="C393" s="21">
        <f t="shared" si="59"/>
        <v>1</v>
      </c>
      <c r="D393" s="634"/>
      <c r="E393" s="21">
        <f t="shared" si="60"/>
        <v>0.01</v>
      </c>
      <c r="F393" s="634"/>
      <c r="G393" s="21">
        <f t="shared" si="61"/>
        <v>0.04</v>
      </c>
      <c r="H393" s="634"/>
      <c r="I393" s="21">
        <f t="shared" si="62"/>
        <v>0.06</v>
      </c>
      <c r="J393" s="634"/>
      <c r="K393" s="21">
        <f t="shared" si="63"/>
        <v>1</v>
      </c>
      <c r="L393" s="634"/>
      <c r="M393" s="21">
        <f t="shared" si="64"/>
        <v>1</v>
      </c>
      <c r="N393" s="634"/>
      <c r="O393" s="21">
        <f t="shared" si="65"/>
        <v>1</v>
      </c>
      <c r="P393" s="634"/>
      <c r="Q393" s="21">
        <f t="shared" si="66"/>
        <v>1</v>
      </c>
      <c r="R393" s="21">
        <f t="shared" si="67"/>
        <v>0</v>
      </c>
      <c r="S393" s="308">
        <f t="shared" si="68"/>
        <v>0</v>
      </c>
    </row>
    <row r="394" spans="1:19">
      <c r="A394" s="142"/>
      <c r="B394" s="52"/>
      <c r="C394" s="21">
        <f t="shared" si="59"/>
        <v>1</v>
      </c>
      <c r="D394" s="634"/>
      <c r="E394" s="21">
        <f t="shared" si="60"/>
        <v>0.01</v>
      </c>
      <c r="F394" s="634"/>
      <c r="G394" s="21">
        <f t="shared" si="61"/>
        <v>0.04</v>
      </c>
      <c r="H394" s="634"/>
      <c r="I394" s="21">
        <f t="shared" si="62"/>
        <v>0.06</v>
      </c>
      <c r="J394" s="634"/>
      <c r="K394" s="21">
        <f t="shared" si="63"/>
        <v>1</v>
      </c>
      <c r="L394" s="634"/>
      <c r="M394" s="21">
        <f t="shared" si="64"/>
        <v>1</v>
      </c>
      <c r="N394" s="634"/>
      <c r="O394" s="21">
        <f t="shared" si="65"/>
        <v>1</v>
      </c>
      <c r="P394" s="634"/>
      <c r="Q394" s="21">
        <f t="shared" si="66"/>
        <v>1</v>
      </c>
      <c r="R394" s="21">
        <f t="shared" si="67"/>
        <v>0</v>
      </c>
      <c r="S394" s="308">
        <f t="shared" si="68"/>
        <v>0</v>
      </c>
    </row>
    <row r="395" spans="1:19">
      <c r="A395" s="142"/>
      <c r="B395" s="52"/>
      <c r="C395" s="21">
        <f t="shared" si="59"/>
        <v>1</v>
      </c>
      <c r="D395" s="634"/>
      <c r="E395" s="21">
        <f t="shared" si="60"/>
        <v>0.01</v>
      </c>
      <c r="F395" s="634"/>
      <c r="G395" s="21">
        <f t="shared" si="61"/>
        <v>0.04</v>
      </c>
      <c r="H395" s="634"/>
      <c r="I395" s="21">
        <f t="shared" si="62"/>
        <v>0.06</v>
      </c>
      <c r="J395" s="634"/>
      <c r="K395" s="21">
        <f t="shared" si="63"/>
        <v>1</v>
      </c>
      <c r="L395" s="634"/>
      <c r="M395" s="21">
        <f t="shared" si="64"/>
        <v>1</v>
      </c>
      <c r="N395" s="634"/>
      <c r="O395" s="21">
        <f t="shared" si="65"/>
        <v>1</v>
      </c>
      <c r="P395" s="634"/>
      <c r="Q395" s="21">
        <f t="shared" si="66"/>
        <v>1</v>
      </c>
      <c r="R395" s="21">
        <f t="shared" si="67"/>
        <v>0</v>
      </c>
      <c r="S395" s="308">
        <f t="shared" si="68"/>
        <v>0</v>
      </c>
    </row>
    <row r="396" spans="1:19">
      <c r="A396" s="142"/>
      <c r="B396" s="52"/>
      <c r="C396" s="21">
        <f t="shared" si="59"/>
        <v>1</v>
      </c>
      <c r="D396" s="634"/>
      <c r="E396" s="21">
        <f t="shared" si="60"/>
        <v>0.01</v>
      </c>
      <c r="F396" s="634"/>
      <c r="G396" s="21">
        <f t="shared" si="61"/>
        <v>0.04</v>
      </c>
      <c r="H396" s="634"/>
      <c r="I396" s="21">
        <f t="shared" si="62"/>
        <v>0.06</v>
      </c>
      <c r="J396" s="634"/>
      <c r="K396" s="21">
        <f t="shared" si="63"/>
        <v>1</v>
      </c>
      <c r="L396" s="634"/>
      <c r="M396" s="21">
        <f t="shared" si="64"/>
        <v>1</v>
      </c>
      <c r="N396" s="634"/>
      <c r="O396" s="21">
        <f t="shared" si="65"/>
        <v>1</v>
      </c>
      <c r="P396" s="634"/>
      <c r="Q396" s="21">
        <f t="shared" si="66"/>
        <v>1</v>
      </c>
      <c r="R396" s="21">
        <f t="shared" si="67"/>
        <v>0</v>
      </c>
      <c r="S396" s="308">
        <f t="shared" si="68"/>
        <v>0</v>
      </c>
    </row>
    <row r="397" spans="1:19">
      <c r="A397" s="142"/>
      <c r="B397" s="52"/>
      <c r="C397" s="21">
        <f t="shared" si="59"/>
        <v>1</v>
      </c>
      <c r="D397" s="634"/>
      <c r="E397" s="21">
        <f t="shared" si="60"/>
        <v>0.01</v>
      </c>
      <c r="F397" s="634"/>
      <c r="G397" s="21">
        <f t="shared" si="61"/>
        <v>0.04</v>
      </c>
      <c r="H397" s="634"/>
      <c r="I397" s="21">
        <f t="shared" si="62"/>
        <v>0.06</v>
      </c>
      <c r="J397" s="634"/>
      <c r="K397" s="21">
        <f t="shared" si="63"/>
        <v>1</v>
      </c>
      <c r="L397" s="634"/>
      <c r="M397" s="21">
        <f t="shared" si="64"/>
        <v>1</v>
      </c>
      <c r="N397" s="634"/>
      <c r="O397" s="21">
        <f t="shared" si="65"/>
        <v>1</v>
      </c>
      <c r="P397" s="634"/>
      <c r="Q397" s="21">
        <f t="shared" si="66"/>
        <v>1</v>
      </c>
      <c r="R397" s="21">
        <f t="shared" si="67"/>
        <v>0</v>
      </c>
      <c r="S397" s="308">
        <f t="shared" si="68"/>
        <v>0</v>
      </c>
    </row>
    <row r="398" spans="1:19">
      <c r="A398" s="142"/>
      <c r="B398" s="52"/>
      <c r="C398" s="21">
        <f t="shared" si="59"/>
        <v>1</v>
      </c>
      <c r="D398" s="634"/>
      <c r="E398" s="21">
        <f t="shared" si="60"/>
        <v>0.01</v>
      </c>
      <c r="F398" s="634"/>
      <c r="G398" s="21">
        <f t="shared" si="61"/>
        <v>0.04</v>
      </c>
      <c r="H398" s="634"/>
      <c r="I398" s="21">
        <f t="shared" si="62"/>
        <v>0.06</v>
      </c>
      <c r="J398" s="634"/>
      <c r="K398" s="21">
        <f t="shared" si="63"/>
        <v>1</v>
      </c>
      <c r="L398" s="634"/>
      <c r="M398" s="21">
        <f t="shared" si="64"/>
        <v>1</v>
      </c>
      <c r="N398" s="634"/>
      <c r="O398" s="21">
        <f t="shared" si="65"/>
        <v>1</v>
      </c>
      <c r="P398" s="634"/>
      <c r="Q398" s="21">
        <f t="shared" si="66"/>
        <v>1</v>
      </c>
      <c r="R398" s="21">
        <f t="shared" si="67"/>
        <v>0</v>
      </c>
      <c r="S398" s="308">
        <f t="shared" si="68"/>
        <v>0</v>
      </c>
    </row>
    <row r="399" spans="1:19">
      <c r="A399" s="142"/>
      <c r="B399" s="52"/>
      <c r="C399" s="21">
        <f t="shared" si="59"/>
        <v>1</v>
      </c>
      <c r="D399" s="634"/>
      <c r="E399" s="21">
        <f t="shared" si="60"/>
        <v>0.01</v>
      </c>
      <c r="F399" s="634"/>
      <c r="G399" s="21">
        <f t="shared" si="61"/>
        <v>0.04</v>
      </c>
      <c r="H399" s="634"/>
      <c r="I399" s="21">
        <f t="shared" si="62"/>
        <v>0.06</v>
      </c>
      <c r="J399" s="634"/>
      <c r="K399" s="21">
        <f t="shared" si="63"/>
        <v>1</v>
      </c>
      <c r="L399" s="634"/>
      <c r="M399" s="21">
        <f t="shared" si="64"/>
        <v>1</v>
      </c>
      <c r="N399" s="634"/>
      <c r="O399" s="21">
        <f t="shared" si="65"/>
        <v>1</v>
      </c>
      <c r="P399" s="634"/>
      <c r="Q399" s="21">
        <f t="shared" si="66"/>
        <v>1</v>
      </c>
      <c r="R399" s="21">
        <f t="shared" si="67"/>
        <v>0</v>
      </c>
      <c r="S399" s="308">
        <f t="shared" si="68"/>
        <v>0</v>
      </c>
    </row>
    <row r="400" spans="1:19">
      <c r="A400" s="142"/>
      <c r="B400" s="52"/>
      <c r="C400" s="21">
        <f t="shared" si="59"/>
        <v>1</v>
      </c>
      <c r="D400" s="634"/>
      <c r="E400" s="21">
        <f t="shared" si="60"/>
        <v>0.01</v>
      </c>
      <c r="F400" s="634"/>
      <c r="G400" s="21">
        <f t="shared" si="61"/>
        <v>0.04</v>
      </c>
      <c r="H400" s="634"/>
      <c r="I400" s="21">
        <f t="shared" si="62"/>
        <v>0.06</v>
      </c>
      <c r="J400" s="634"/>
      <c r="K400" s="21">
        <f t="shared" si="63"/>
        <v>1</v>
      </c>
      <c r="L400" s="634"/>
      <c r="M400" s="21">
        <f t="shared" si="64"/>
        <v>1</v>
      </c>
      <c r="N400" s="634"/>
      <c r="O400" s="21">
        <f t="shared" si="65"/>
        <v>1</v>
      </c>
      <c r="P400" s="634"/>
      <c r="Q400" s="21">
        <f t="shared" si="66"/>
        <v>1</v>
      </c>
      <c r="R400" s="21">
        <f t="shared" si="67"/>
        <v>0</v>
      </c>
      <c r="S400" s="308">
        <f t="shared" si="68"/>
        <v>0</v>
      </c>
    </row>
    <row r="401" spans="1:19">
      <c r="A401" s="142"/>
      <c r="B401" s="52"/>
      <c r="C401" s="21">
        <f t="shared" si="59"/>
        <v>1</v>
      </c>
      <c r="D401" s="634"/>
      <c r="E401" s="21">
        <f t="shared" si="60"/>
        <v>0.01</v>
      </c>
      <c r="F401" s="634"/>
      <c r="G401" s="21">
        <f t="shared" si="61"/>
        <v>0.04</v>
      </c>
      <c r="H401" s="634"/>
      <c r="I401" s="21">
        <f t="shared" si="62"/>
        <v>0.06</v>
      </c>
      <c r="J401" s="634"/>
      <c r="K401" s="21">
        <f t="shared" si="63"/>
        <v>1</v>
      </c>
      <c r="L401" s="634"/>
      <c r="M401" s="21">
        <f t="shared" si="64"/>
        <v>1</v>
      </c>
      <c r="N401" s="634"/>
      <c r="O401" s="21">
        <f t="shared" si="65"/>
        <v>1</v>
      </c>
      <c r="P401" s="634"/>
      <c r="Q401" s="21">
        <f t="shared" si="66"/>
        <v>1</v>
      </c>
      <c r="R401" s="21">
        <f t="shared" si="67"/>
        <v>0</v>
      </c>
      <c r="S401" s="308">
        <f t="shared" si="68"/>
        <v>0</v>
      </c>
    </row>
    <row r="402" spans="1:19">
      <c r="A402" s="142"/>
      <c r="B402" s="52"/>
      <c r="C402" s="21">
        <f t="shared" si="59"/>
        <v>1</v>
      </c>
      <c r="D402" s="634"/>
      <c r="E402" s="21">
        <f t="shared" si="60"/>
        <v>0.01</v>
      </c>
      <c r="F402" s="634"/>
      <c r="G402" s="21">
        <f t="shared" si="61"/>
        <v>0.04</v>
      </c>
      <c r="H402" s="634"/>
      <c r="I402" s="21">
        <f t="shared" si="62"/>
        <v>0.06</v>
      </c>
      <c r="J402" s="634"/>
      <c r="K402" s="21">
        <f t="shared" si="63"/>
        <v>1</v>
      </c>
      <c r="L402" s="634"/>
      <c r="M402" s="21">
        <f t="shared" si="64"/>
        <v>1</v>
      </c>
      <c r="N402" s="634"/>
      <c r="O402" s="21">
        <f t="shared" si="65"/>
        <v>1</v>
      </c>
      <c r="P402" s="634"/>
      <c r="Q402" s="21">
        <f t="shared" si="66"/>
        <v>1</v>
      </c>
      <c r="R402" s="21">
        <f t="shared" si="67"/>
        <v>0</v>
      </c>
      <c r="S402" s="308">
        <f t="shared" si="68"/>
        <v>0</v>
      </c>
    </row>
    <row r="403" spans="1:19">
      <c r="A403" s="142"/>
      <c r="B403" s="52"/>
      <c r="C403" s="21">
        <f t="shared" si="59"/>
        <v>1</v>
      </c>
      <c r="D403" s="634"/>
      <c r="E403" s="21">
        <f t="shared" si="60"/>
        <v>0.01</v>
      </c>
      <c r="F403" s="634"/>
      <c r="G403" s="21">
        <f t="shared" si="61"/>
        <v>0.04</v>
      </c>
      <c r="H403" s="634"/>
      <c r="I403" s="21">
        <f t="shared" si="62"/>
        <v>0.06</v>
      </c>
      <c r="J403" s="634"/>
      <c r="K403" s="21">
        <f t="shared" si="63"/>
        <v>1</v>
      </c>
      <c r="L403" s="634"/>
      <c r="M403" s="21">
        <f t="shared" si="64"/>
        <v>1</v>
      </c>
      <c r="N403" s="634"/>
      <c r="O403" s="21">
        <f t="shared" si="65"/>
        <v>1</v>
      </c>
      <c r="P403" s="634"/>
      <c r="Q403" s="21">
        <f t="shared" si="66"/>
        <v>1</v>
      </c>
      <c r="R403" s="21">
        <f t="shared" si="67"/>
        <v>0</v>
      </c>
      <c r="S403" s="308">
        <f t="shared" si="68"/>
        <v>0</v>
      </c>
    </row>
    <row r="404" spans="1:19">
      <c r="A404" s="142"/>
      <c r="B404" s="52"/>
      <c r="C404" s="21">
        <f t="shared" si="59"/>
        <v>1</v>
      </c>
      <c r="D404" s="634"/>
      <c r="E404" s="21">
        <f t="shared" si="60"/>
        <v>0.01</v>
      </c>
      <c r="F404" s="634"/>
      <c r="G404" s="21">
        <f t="shared" si="61"/>
        <v>0.04</v>
      </c>
      <c r="H404" s="634"/>
      <c r="I404" s="21">
        <f t="shared" si="62"/>
        <v>0.06</v>
      </c>
      <c r="J404" s="634"/>
      <c r="K404" s="21">
        <f t="shared" si="63"/>
        <v>1</v>
      </c>
      <c r="L404" s="634"/>
      <c r="M404" s="21">
        <f t="shared" si="64"/>
        <v>1</v>
      </c>
      <c r="N404" s="634"/>
      <c r="O404" s="21">
        <f t="shared" si="65"/>
        <v>1</v>
      </c>
      <c r="P404" s="634"/>
      <c r="Q404" s="21">
        <f t="shared" si="66"/>
        <v>1</v>
      </c>
      <c r="R404" s="21">
        <f t="shared" si="67"/>
        <v>0</v>
      </c>
      <c r="S404" s="308">
        <f t="shared" si="68"/>
        <v>0</v>
      </c>
    </row>
    <row r="405" spans="1:19">
      <c r="A405" s="142"/>
      <c r="B405" s="52"/>
      <c r="C405" s="21">
        <f t="shared" si="59"/>
        <v>1</v>
      </c>
      <c r="D405" s="634"/>
      <c r="E405" s="21">
        <f t="shared" si="60"/>
        <v>0.01</v>
      </c>
      <c r="F405" s="634"/>
      <c r="G405" s="21">
        <f t="shared" si="61"/>
        <v>0.04</v>
      </c>
      <c r="H405" s="634"/>
      <c r="I405" s="21">
        <f t="shared" si="62"/>
        <v>0.06</v>
      </c>
      <c r="J405" s="634"/>
      <c r="K405" s="21">
        <f t="shared" si="63"/>
        <v>1</v>
      </c>
      <c r="L405" s="634"/>
      <c r="M405" s="21">
        <f t="shared" si="64"/>
        <v>1</v>
      </c>
      <c r="N405" s="634"/>
      <c r="O405" s="21">
        <f t="shared" si="65"/>
        <v>1</v>
      </c>
      <c r="P405" s="634"/>
      <c r="Q405" s="21">
        <f t="shared" si="66"/>
        <v>1</v>
      </c>
      <c r="R405" s="21">
        <f t="shared" si="67"/>
        <v>0</v>
      </c>
      <c r="S405" s="308">
        <f t="shared" si="68"/>
        <v>0</v>
      </c>
    </row>
    <row r="406" spans="1:19">
      <c r="A406" s="142"/>
      <c r="B406" s="52"/>
      <c r="C406" s="21">
        <f t="shared" si="59"/>
        <v>1</v>
      </c>
      <c r="D406" s="634"/>
      <c r="E406" s="21">
        <f t="shared" si="60"/>
        <v>0.01</v>
      </c>
      <c r="F406" s="634"/>
      <c r="G406" s="21">
        <f t="shared" si="61"/>
        <v>0.04</v>
      </c>
      <c r="H406" s="634"/>
      <c r="I406" s="21">
        <f t="shared" si="62"/>
        <v>0.06</v>
      </c>
      <c r="J406" s="634"/>
      <c r="K406" s="21">
        <f t="shared" si="63"/>
        <v>1</v>
      </c>
      <c r="L406" s="634"/>
      <c r="M406" s="21">
        <f t="shared" si="64"/>
        <v>1</v>
      </c>
      <c r="N406" s="634"/>
      <c r="O406" s="21">
        <f t="shared" si="65"/>
        <v>1</v>
      </c>
      <c r="P406" s="634"/>
      <c r="Q406" s="21">
        <f t="shared" si="66"/>
        <v>1</v>
      </c>
      <c r="R406" s="21">
        <f t="shared" si="67"/>
        <v>0</v>
      </c>
      <c r="S406" s="308">
        <f t="shared" si="68"/>
        <v>0</v>
      </c>
    </row>
    <row r="407" spans="1:19">
      <c r="A407" s="142"/>
      <c r="B407" s="52"/>
      <c r="C407" s="21">
        <f t="shared" si="59"/>
        <v>1</v>
      </c>
      <c r="D407" s="634"/>
      <c r="E407" s="21">
        <f t="shared" si="60"/>
        <v>0.01</v>
      </c>
      <c r="F407" s="634"/>
      <c r="G407" s="21">
        <f t="shared" si="61"/>
        <v>0.04</v>
      </c>
      <c r="H407" s="634"/>
      <c r="I407" s="21">
        <f t="shared" si="62"/>
        <v>0.06</v>
      </c>
      <c r="J407" s="634"/>
      <c r="K407" s="21">
        <f t="shared" si="63"/>
        <v>1</v>
      </c>
      <c r="L407" s="634"/>
      <c r="M407" s="21">
        <f t="shared" si="64"/>
        <v>1</v>
      </c>
      <c r="N407" s="634"/>
      <c r="O407" s="21">
        <f t="shared" si="65"/>
        <v>1</v>
      </c>
      <c r="P407" s="634"/>
      <c r="Q407" s="21">
        <f t="shared" si="66"/>
        <v>1</v>
      </c>
      <c r="R407" s="21">
        <f t="shared" si="67"/>
        <v>0</v>
      </c>
      <c r="S407" s="308">
        <f t="shared" si="68"/>
        <v>0</v>
      </c>
    </row>
    <row r="408" spans="1:19">
      <c r="A408" s="142"/>
      <c r="B408" s="52"/>
      <c r="C408" s="21">
        <f t="shared" si="59"/>
        <v>1</v>
      </c>
      <c r="D408" s="634"/>
      <c r="E408" s="21">
        <f t="shared" si="60"/>
        <v>0.01</v>
      </c>
      <c r="F408" s="634"/>
      <c r="G408" s="21">
        <f t="shared" si="61"/>
        <v>0.04</v>
      </c>
      <c r="H408" s="634"/>
      <c r="I408" s="21">
        <f t="shared" si="62"/>
        <v>0.06</v>
      </c>
      <c r="J408" s="634"/>
      <c r="K408" s="21">
        <f t="shared" si="63"/>
        <v>1</v>
      </c>
      <c r="L408" s="634"/>
      <c r="M408" s="21">
        <f t="shared" si="64"/>
        <v>1</v>
      </c>
      <c r="N408" s="634"/>
      <c r="O408" s="21">
        <f t="shared" si="65"/>
        <v>1</v>
      </c>
      <c r="P408" s="634"/>
      <c r="Q408" s="21">
        <f t="shared" si="66"/>
        <v>1</v>
      </c>
      <c r="R408" s="21">
        <f t="shared" si="67"/>
        <v>0</v>
      </c>
      <c r="S408" s="308">
        <f t="shared" si="68"/>
        <v>0</v>
      </c>
    </row>
    <row r="409" spans="1:19">
      <c r="A409" s="142"/>
      <c r="B409" s="52"/>
      <c r="C409" s="21">
        <f t="shared" si="59"/>
        <v>1</v>
      </c>
      <c r="D409" s="634"/>
      <c r="E409" s="21">
        <f t="shared" si="60"/>
        <v>0.01</v>
      </c>
      <c r="F409" s="634"/>
      <c r="G409" s="21">
        <f t="shared" si="61"/>
        <v>0.04</v>
      </c>
      <c r="H409" s="634"/>
      <c r="I409" s="21">
        <f t="shared" si="62"/>
        <v>0.06</v>
      </c>
      <c r="J409" s="634"/>
      <c r="K409" s="21">
        <f t="shared" si="63"/>
        <v>1</v>
      </c>
      <c r="L409" s="634"/>
      <c r="M409" s="21">
        <f t="shared" si="64"/>
        <v>1</v>
      </c>
      <c r="N409" s="634"/>
      <c r="O409" s="21">
        <f t="shared" si="65"/>
        <v>1</v>
      </c>
      <c r="P409" s="634"/>
      <c r="Q409" s="21">
        <f t="shared" si="66"/>
        <v>1</v>
      </c>
      <c r="R409" s="21">
        <f t="shared" si="67"/>
        <v>0</v>
      </c>
      <c r="S409" s="308">
        <f t="shared" si="68"/>
        <v>0</v>
      </c>
    </row>
    <row r="410" spans="1:19">
      <c r="A410" s="142"/>
      <c r="B410" s="52"/>
      <c r="C410" s="21">
        <f t="shared" ref="C410:C473" si="69">IF(B410="",1,(LOOKUP(B410,$3:$3,$4:$4)-LOOKUP($B$24,$3:$3,$4:$4)+100)/100)</f>
        <v>1</v>
      </c>
      <c r="D410" s="634"/>
      <c r="E410" s="21">
        <f t="shared" ref="E410:E473" si="70">(SUMIF($5:$5,D410,$6:$6)-SUMIF($5:$5,$D$24,$6:$6)+100)/100</f>
        <v>0.01</v>
      </c>
      <c r="F410" s="634"/>
      <c r="G410" s="21">
        <f t="shared" ref="G410:G473" si="71">(SUMIF($7:$7,F410,$8:$8)-SUMIF($7:$7,$F$24,$8:$8)+100)/100</f>
        <v>0.04</v>
      </c>
      <c r="H410" s="634"/>
      <c r="I410" s="21">
        <f t="shared" ref="I410:I473" si="72">(SUMIF($9:$9,H410,$10:$10)-SUMIF($9:$9,$H$24,$10:$10)+100)/100</f>
        <v>0.06</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4"/>
      <c r="E411" s="21">
        <f t="shared" si="70"/>
        <v>0.01</v>
      </c>
      <c r="F411" s="634"/>
      <c r="G411" s="21">
        <f t="shared" si="71"/>
        <v>0.04</v>
      </c>
      <c r="H411" s="634"/>
      <c r="I411" s="21">
        <f t="shared" si="72"/>
        <v>0.06</v>
      </c>
      <c r="J411" s="634"/>
      <c r="K411" s="21">
        <f t="shared" si="73"/>
        <v>1</v>
      </c>
      <c r="L411" s="634"/>
      <c r="M411" s="21">
        <f t="shared" si="74"/>
        <v>1</v>
      </c>
      <c r="N411" s="634"/>
      <c r="O411" s="21">
        <f t="shared" si="75"/>
        <v>1</v>
      </c>
      <c r="P411" s="634"/>
      <c r="Q411" s="21">
        <f t="shared" si="76"/>
        <v>1</v>
      </c>
      <c r="R411" s="21">
        <f t="shared" si="77"/>
        <v>0</v>
      </c>
      <c r="S411" s="308">
        <f t="shared" si="68"/>
        <v>0</v>
      </c>
    </row>
    <row r="412" spans="1:19">
      <c r="A412" s="142"/>
      <c r="B412" s="52"/>
      <c r="C412" s="21">
        <f t="shared" si="69"/>
        <v>1</v>
      </c>
      <c r="D412" s="634"/>
      <c r="E412" s="21">
        <f t="shared" si="70"/>
        <v>0.01</v>
      </c>
      <c r="F412" s="634"/>
      <c r="G412" s="21">
        <f t="shared" si="71"/>
        <v>0.04</v>
      </c>
      <c r="H412" s="634"/>
      <c r="I412" s="21">
        <f t="shared" si="72"/>
        <v>0.06</v>
      </c>
      <c r="J412" s="634"/>
      <c r="K412" s="21">
        <f t="shared" si="73"/>
        <v>1</v>
      </c>
      <c r="L412" s="634"/>
      <c r="M412" s="21">
        <f t="shared" si="74"/>
        <v>1</v>
      </c>
      <c r="N412" s="634"/>
      <c r="O412" s="21">
        <f t="shared" si="75"/>
        <v>1</v>
      </c>
      <c r="P412" s="634"/>
      <c r="Q412" s="21">
        <f t="shared" si="76"/>
        <v>1</v>
      </c>
      <c r="R412" s="21">
        <f t="shared" si="77"/>
        <v>0</v>
      </c>
      <c r="S412" s="308">
        <f t="shared" si="68"/>
        <v>0</v>
      </c>
    </row>
    <row r="413" spans="1:19">
      <c r="A413" s="142"/>
      <c r="B413" s="52"/>
      <c r="C413" s="21">
        <f t="shared" si="69"/>
        <v>1</v>
      </c>
      <c r="D413" s="634"/>
      <c r="E413" s="21">
        <f t="shared" si="70"/>
        <v>0.01</v>
      </c>
      <c r="F413" s="634"/>
      <c r="G413" s="21">
        <f t="shared" si="71"/>
        <v>0.04</v>
      </c>
      <c r="H413" s="634"/>
      <c r="I413" s="21">
        <f t="shared" si="72"/>
        <v>0.06</v>
      </c>
      <c r="J413" s="634"/>
      <c r="K413" s="21">
        <f t="shared" si="73"/>
        <v>1</v>
      </c>
      <c r="L413" s="634"/>
      <c r="M413" s="21">
        <f t="shared" si="74"/>
        <v>1</v>
      </c>
      <c r="N413" s="634"/>
      <c r="O413" s="21">
        <f t="shared" si="75"/>
        <v>1</v>
      </c>
      <c r="P413" s="634"/>
      <c r="Q413" s="21">
        <f t="shared" si="76"/>
        <v>1</v>
      </c>
      <c r="R413" s="21">
        <f t="shared" si="77"/>
        <v>0</v>
      </c>
      <c r="S413" s="308">
        <f t="shared" si="68"/>
        <v>0</v>
      </c>
    </row>
    <row r="414" spans="1:19">
      <c r="A414" s="142"/>
      <c r="B414" s="52"/>
      <c r="C414" s="21">
        <f t="shared" si="69"/>
        <v>1</v>
      </c>
      <c r="D414" s="634"/>
      <c r="E414" s="21">
        <f t="shared" si="70"/>
        <v>0.01</v>
      </c>
      <c r="F414" s="634"/>
      <c r="G414" s="21">
        <f t="shared" si="71"/>
        <v>0.04</v>
      </c>
      <c r="H414" s="634"/>
      <c r="I414" s="21">
        <f t="shared" si="72"/>
        <v>0.06</v>
      </c>
      <c r="J414" s="634"/>
      <c r="K414" s="21">
        <f t="shared" si="73"/>
        <v>1</v>
      </c>
      <c r="L414" s="634"/>
      <c r="M414" s="21">
        <f t="shared" si="74"/>
        <v>1</v>
      </c>
      <c r="N414" s="634"/>
      <c r="O414" s="21">
        <f t="shared" si="75"/>
        <v>1</v>
      </c>
      <c r="P414" s="634"/>
      <c r="Q414" s="21">
        <f t="shared" si="76"/>
        <v>1</v>
      </c>
      <c r="R414" s="21">
        <f t="shared" si="77"/>
        <v>0</v>
      </c>
      <c r="S414" s="308">
        <f t="shared" si="68"/>
        <v>0</v>
      </c>
    </row>
    <row r="415" spans="1:19">
      <c r="A415" s="142"/>
      <c r="B415" s="52"/>
      <c r="C415" s="21">
        <f t="shared" si="69"/>
        <v>1</v>
      </c>
      <c r="D415" s="634"/>
      <c r="E415" s="21">
        <f t="shared" si="70"/>
        <v>0.01</v>
      </c>
      <c r="F415" s="634"/>
      <c r="G415" s="21">
        <f t="shared" si="71"/>
        <v>0.04</v>
      </c>
      <c r="H415" s="634"/>
      <c r="I415" s="21">
        <f t="shared" si="72"/>
        <v>0.06</v>
      </c>
      <c r="J415" s="634"/>
      <c r="K415" s="21">
        <f t="shared" si="73"/>
        <v>1</v>
      </c>
      <c r="L415" s="634"/>
      <c r="M415" s="21">
        <f t="shared" si="74"/>
        <v>1</v>
      </c>
      <c r="N415" s="634"/>
      <c r="O415" s="21">
        <f t="shared" si="75"/>
        <v>1</v>
      </c>
      <c r="P415" s="634"/>
      <c r="Q415" s="21">
        <f t="shared" si="76"/>
        <v>1</v>
      </c>
      <c r="R415" s="21">
        <f t="shared" si="77"/>
        <v>0</v>
      </c>
      <c r="S415" s="308">
        <f t="shared" si="68"/>
        <v>0</v>
      </c>
    </row>
    <row r="416" spans="1:19">
      <c r="A416" s="142"/>
      <c r="B416" s="52"/>
      <c r="C416" s="21">
        <f t="shared" si="69"/>
        <v>1</v>
      </c>
      <c r="D416" s="634"/>
      <c r="E416" s="21">
        <f t="shared" si="70"/>
        <v>0.01</v>
      </c>
      <c r="F416" s="634"/>
      <c r="G416" s="21">
        <f t="shared" si="71"/>
        <v>0.04</v>
      </c>
      <c r="H416" s="634"/>
      <c r="I416" s="21">
        <f t="shared" si="72"/>
        <v>0.06</v>
      </c>
      <c r="J416" s="634"/>
      <c r="K416" s="21">
        <f t="shared" si="73"/>
        <v>1</v>
      </c>
      <c r="L416" s="634"/>
      <c r="M416" s="21">
        <f t="shared" si="74"/>
        <v>1</v>
      </c>
      <c r="N416" s="634"/>
      <c r="O416" s="21">
        <f t="shared" si="75"/>
        <v>1</v>
      </c>
      <c r="P416" s="634"/>
      <c r="Q416" s="21">
        <f t="shared" si="76"/>
        <v>1</v>
      </c>
      <c r="R416" s="21">
        <f t="shared" si="77"/>
        <v>0</v>
      </c>
      <c r="S416" s="308">
        <f t="shared" si="68"/>
        <v>0</v>
      </c>
    </row>
    <row r="417" spans="1:19">
      <c r="A417" s="142"/>
      <c r="B417" s="52"/>
      <c r="C417" s="21">
        <f t="shared" si="69"/>
        <v>1</v>
      </c>
      <c r="D417" s="634"/>
      <c r="E417" s="21">
        <f t="shared" si="70"/>
        <v>0.01</v>
      </c>
      <c r="F417" s="634"/>
      <c r="G417" s="21">
        <f t="shared" si="71"/>
        <v>0.04</v>
      </c>
      <c r="H417" s="634"/>
      <c r="I417" s="21">
        <f t="shared" si="72"/>
        <v>0.06</v>
      </c>
      <c r="J417" s="634"/>
      <c r="K417" s="21">
        <f t="shared" si="73"/>
        <v>1</v>
      </c>
      <c r="L417" s="634"/>
      <c r="M417" s="21">
        <f t="shared" si="74"/>
        <v>1</v>
      </c>
      <c r="N417" s="634"/>
      <c r="O417" s="21">
        <f t="shared" si="75"/>
        <v>1</v>
      </c>
      <c r="P417" s="634"/>
      <c r="Q417" s="21">
        <f t="shared" si="76"/>
        <v>1</v>
      </c>
      <c r="R417" s="21">
        <f t="shared" si="77"/>
        <v>0</v>
      </c>
      <c r="S417" s="308">
        <f t="shared" si="68"/>
        <v>0</v>
      </c>
    </row>
    <row r="418" spans="1:19">
      <c r="A418" s="142"/>
      <c r="B418" s="52"/>
      <c r="C418" s="21">
        <f t="shared" si="69"/>
        <v>1</v>
      </c>
      <c r="D418" s="634"/>
      <c r="E418" s="21">
        <f t="shared" si="70"/>
        <v>0.01</v>
      </c>
      <c r="F418" s="634"/>
      <c r="G418" s="21">
        <f t="shared" si="71"/>
        <v>0.04</v>
      </c>
      <c r="H418" s="634"/>
      <c r="I418" s="21">
        <f t="shared" si="72"/>
        <v>0.06</v>
      </c>
      <c r="J418" s="634"/>
      <c r="K418" s="21">
        <f t="shared" si="73"/>
        <v>1</v>
      </c>
      <c r="L418" s="634"/>
      <c r="M418" s="21">
        <f t="shared" si="74"/>
        <v>1</v>
      </c>
      <c r="N418" s="634"/>
      <c r="O418" s="21">
        <f t="shared" si="75"/>
        <v>1</v>
      </c>
      <c r="P418" s="634"/>
      <c r="Q418" s="21">
        <f t="shared" si="76"/>
        <v>1</v>
      </c>
      <c r="R418" s="21">
        <f t="shared" si="77"/>
        <v>0</v>
      </c>
      <c r="S418" s="308">
        <f t="shared" si="68"/>
        <v>0</v>
      </c>
    </row>
    <row r="419" spans="1:19">
      <c r="A419" s="142"/>
      <c r="B419" s="52"/>
      <c r="C419" s="21">
        <f t="shared" si="69"/>
        <v>1</v>
      </c>
      <c r="D419" s="634"/>
      <c r="E419" s="21">
        <f t="shared" si="70"/>
        <v>0.01</v>
      </c>
      <c r="F419" s="634"/>
      <c r="G419" s="21">
        <f t="shared" si="71"/>
        <v>0.04</v>
      </c>
      <c r="H419" s="634"/>
      <c r="I419" s="21">
        <f t="shared" si="72"/>
        <v>0.06</v>
      </c>
      <c r="J419" s="634"/>
      <c r="K419" s="21">
        <f t="shared" si="73"/>
        <v>1</v>
      </c>
      <c r="L419" s="634"/>
      <c r="M419" s="21">
        <f t="shared" si="74"/>
        <v>1</v>
      </c>
      <c r="N419" s="634"/>
      <c r="O419" s="21">
        <f t="shared" si="75"/>
        <v>1</v>
      </c>
      <c r="P419" s="634"/>
      <c r="Q419" s="21">
        <f t="shared" si="76"/>
        <v>1</v>
      </c>
      <c r="R419" s="21">
        <f t="shared" si="77"/>
        <v>0</v>
      </c>
      <c r="S419" s="308">
        <f t="shared" si="68"/>
        <v>0</v>
      </c>
    </row>
    <row r="420" spans="1:19">
      <c r="A420" s="142"/>
      <c r="B420" s="52"/>
      <c r="C420" s="21">
        <f t="shared" si="69"/>
        <v>1</v>
      </c>
      <c r="D420" s="634"/>
      <c r="E420" s="21">
        <f t="shared" si="70"/>
        <v>0.01</v>
      </c>
      <c r="F420" s="634"/>
      <c r="G420" s="21">
        <f t="shared" si="71"/>
        <v>0.04</v>
      </c>
      <c r="H420" s="634"/>
      <c r="I420" s="21">
        <f t="shared" si="72"/>
        <v>0.06</v>
      </c>
      <c r="J420" s="634"/>
      <c r="K420" s="21">
        <f t="shared" si="73"/>
        <v>1</v>
      </c>
      <c r="L420" s="634"/>
      <c r="M420" s="21">
        <f t="shared" si="74"/>
        <v>1</v>
      </c>
      <c r="N420" s="634"/>
      <c r="O420" s="21">
        <f t="shared" si="75"/>
        <v>1</v>
      </c>
      <c r="P420" s="634"/>
      <c r="Q420" s="21">
        <f t="shared" si="76"/>
        <v>1</v>
      </c>
      <c r="R420" s="21">
        <f t="shared" si="77"/>
        <v>0</v>
      </c>
      <c r="S420" s="308">
        <f t="shared" si="68"/>
        <v>0</v>
      </c>
    </row>
    <row r="421" spans="1:19">
      <c r="A421" s="142"/>
      <c r="B421" s="52"/>
      <c r="C421" s="21">
        <f t="shared" si="69"/>
        <v>1</v>
      </c>
      <c r="D421" s="634"/>
      <c r="E421" s="21">
        <f t="shared" si="70"/>
        <v>0.01</v>
      </c>
      <c r="F421" s="634"/>
      <c r="G421" s="21">
        <f t="shared" si="71"/>
        <v>0.04</v>
      </c>
      <c r="H421" s="634"/>
      <c r="I421" s="21">
        <f t="shared" si="72"/>
        <v>0.06</v>
      </c>
      <c r="J421" s="634"/>
      <c r="K421" s="21">
        <f t="shared" si="73"/>
        <v>1</v>
      </c>
      <c r="L421" s="634"/>
      <c r="M421" s="21">
        <f t="shared" si="74"/>
        <v>1</v>
      </c>
      <c r="N421" s="634"/>
      <c r="O421" s="21">
        <f t="shared" si="75"/>
        <v>1</v>
      </c>
      <c r="P421" s="634"/>
      <c r="Q421" s="21">
        <f t="shared" si="76"/>
        <v>1</v>
      </c>
      <c r="R421" s="21">
        <f t="shared" si="77"/>
        <v>0</v>
      </c>
      <c r="S421" s="308">
        <f t="shared" si="68"/>
        <v>0</v>
      </c>
    </row>
    <row r="422" spans="1:19">
      <c r="A422" s="142"/>
      <c r="B422" s="52"/>
      <c r="C422" s="21">
        <f t="shared" si="69"/>
        <v>1</v>
      </c>
      <c r="D422" s="634"/>
      <c r="E422" s="21">
        <f t="shared" si="70"/>
        <v>0.01</v>
      </c>
      <c r="F422" s="634"/>
      <c r="G422" s="21">
        <f t="shared" si="71"/>
        <v>0.04</v>
      </c>
      <c r="H422" s="634"/>
      <c r="I422" s="21">
        <f t="shared" si="72"/>
        <v>0.06</v>
      </c>
      <c r="J422" s="634"/>
      <c r="K422" s="21">
        <f t="shared" si="73"/>
        <v>1</v>
      </c>
      <c r="L422" s="634"/>
      <c r="M422" s="21">
        <f t="shared" si="74"/>
        <v>1</v>
      </c>
      <c r="N422" s="634"/>
      <c r="O422" s="21">
        <f t="shared" si="75"/>
        <v>1</v>
      </c>
      <c r="P422" s="634"/>
      <c r="Q422" s="21">
        <f t="shared" si="76"/>
        <v>1</v>
      </c>
      <c r="R422" s="21">
        <f t="shared" si="77"/>
        <v>0</v>
      </c>
      <c r="S422" s="308">
        <f t="shared" si="68"/>
        <v>0</v>
      </c>
    </row>
    <row r="423" spans="1:19">
      <c r="A423" s="142"/>
      <c r="B423" s="52"/>
      <c r="C423" s="21">
        <f t="shared" si="69"/>
        <v>1</v>
      </c>
      <c r="D423" s="634"/>
      <c r="E423" s="21">
        <f t="shared" si="70"/>
        <v>0.01</v>
      </c>
      <c r="F423" s="634"/>
      <c r="G423" s="21">
        <f t="shared" si="71"/>
        <v>0.04</v>
      </c>
      <c r="H423" s="634"/>
      <c r="I423" s="21">
        <f t="shared" si="72"/>
        <v>0.06</v>
      </c>
      <c r="J423" s="634"/>
      <c r="K423" s="21">
        <f t="shared" si="73"/>
        <v>1</v>
      </c>
      <c r="L423" s="634"/>
      <c r="M423" s="21">
        <f t="shared" si="74"/>
        <v>1</v>
      </c>
      <c r="N423" s="634"/>
      <c r="O423" s="21">
        <f t="shared" si="75"/>
        <v>1</v>
      </c>
      <c r="P423" s="634"/>
      <c r="Q423" s="21">
        <f t="shared" si="76"/>
        <v>1</v>
      </c>
      <c r="R423" s="21">
        <f t="shared" si="77"/>
        <v>0</v>
      </c>
      <c r="S423" s="308">
        <f t="shared" ref="S423:S467" si="78">ROUND(R423*B423/10000,0)</f>
        <v>0</v>
      </c>
    </row>
    <row r="424" spans="1:19">
      <c r="A424" s="142"/>
      <c r="B424" s="52"/>
      <c r="C424" s="21">
        <f t="shared" si="69"/>
        <v>1</v>
      </c>
      <c r="D424" s="634"/>
      <c r="E424" s="21">
        <f t="shared" si="70"/>
        <v>0.01</v>
      </c>
      <c r="F424" s="634"/>
      <c r="G424" s="21">
        <f t="shared" si="71"/>
        <v>0.04</v>
      </c>
      <c r="H424" s="634"/>
      <c r="I424" s="21">
        <f t="shared" si="72"/>
        <v>0.06</v>
      </c>
      <c r="J424" s="634"/>
      <c r="K424" s="21">
        <f t="shared" si="73"/>
        <v>1</v>
      </c>
      <c r="L424" s="634"/>
      <c r="M424" s="21">
        <f t="shared" si="74"/>
        <v>1</v>
      </c>
      <c r="N424" s="634"/>
      <c r="O424" s="21">
        <f t="shared" si="75"/>
        <v>1</v>
      </c>
      <c r="P424" s="634"/>
      <c r="Q424" s="21">
        <f t="shared" si="76"/>
        <v>1</v>
      </c>
      <c r="R424" s="21">
        <f t="shared" si="77"/>
        <v>0</v>
      </c>
      <c r="S424" s="308">
        <f t="shared" si="78"/>
        <v>0</v>
      </c>
    </row>
    <row r="425" spans="1:19">
      <c r="A425" s="142"/>
      <c r="B425" s="52"/>
      <c r="C425" s="21">
        <f t="shared" si="69"/>
        <v>1</v>
      </c>
      <c r="D425" s="634"/>
      <c r="E425" s="21">
        <f t="shared" si="70"/>
        <v>0.01</v>
      </c>
      <c r="F425" s="634"/>
      <c r="G425" s="21">
        <f t="shared" si="71"/>
        <v>0.04</v>
      </c>
      <c r="H425" s="634"/>
      <c r="I425" s="21">
        <f t="shared" si="72"/>
        <v>0.06</v>
      </c>
      <c r="J425" s="634"/>
      <c r="K425" s="21">
        <f t="shared" si="73"/>
        <v>1</v>
      </c>
      <c r="L425" s="634"/>
      <c r="M425" s="21">
        <f t="shared" si="74"/>
        <v>1</v>
      </c>
      <c r="N425" s="634"/>
      <c r="O425" s="21">
        <f t="shared" si="75"/>
        <v>1</v>
      </c>
      <c r="P425" s="634"/>
      <c r="Q425" s="21">
        <f t="shared" si="76"/>
        <v>1</v>
      </c>
      <c r="R425" s="21">
        <f t="shared" si="77"/>
        <v>0</v>
      </c>
      <c r="S425" s="308">
        <f t="shared" si="78"/>
        <v>0</v>
      </c>
    </row>
    <row r="426" spans="1:19">
      <c r="A426" s="142"/>
      <c r="B426" s="52"/>
      <c r="C426" s="21">
        <f t="shared" si="69"/>
        <v>1</v>
      </c>
      <c r="D426" s="634"/>
      <c r="E426" s="21">
        <f t="shared" si="70"/>
        <v>0.01</v>
      </c>
      <c r="F426" s="634"/>
      <c r="G426" s="21">
        <f t="shared" si="71"/>
        <v>0.04</v>
      </c>
      <c r="H426" s="634"/>
      <c r="I426" s="21">
        <f t="shared" si="72"/>
        <v>0.06</v>
      </c>
      <c r="J426" s="634"/>
      <c r="K426" s="21">
        <f t="shared" si="73"/>
        <v>1</v>
      </c>
      <c r="L426" s="634"/>
      <c r="M426" s="21">
        <f t="shared" si="74"/>
        <v>1</v>
      </c>
      <c r="N426" s="634"/>
      <c r="O426" s="21">
        <f t="shared" si="75"/>
        <v>1</v>
      </c>
      <c r="P426" s="634"/>
      <c r="Q426" s="21">
        <f t="shared" si="76"/>
        <v>1</v>
      </c>
      <c r="R426" s="21">
        <f t="shared" si="77"/>
        <v>0</v>
      </c>
      <c r="S426" s="308">
        <f t="shared" si="78"/>
        <v>0</v>
      </c>
    </row>
    <row r="427" spans="1:19">
      <c r="A427" s="142"/>
      <c r="B427" s="52"/>
      <c r="C427" s="21">
        <f t="shared" si="69"/>
        <v>1</v>
      </c>
      <c r="D427" s="634"/>
      <c r="E427" s="21">
        <f t="shared" si="70"/>
        <v>0.01</v>
      </c>
      <c r="F427" s="634"/>
      <c r="G427" s="21">
        <f t="shared" si="71"/>
        <v>0.04</v>
      </c>
      <c r="H427" s="634"/>
      <c r="I427" s="21">
        <f t="shared" si="72"/>
        <v>0.06</v>
      </c>
      <c r="J427" s="634"/>
      <c r="K427" s="21">
        <f t="shared" si="73"/>
        <v>1</v>
      </c>
      <c r="L427" s="634"/>
      <c r="M427" s="21">
        <f t="shared" si="74"/>
        <v>1</v>
      </c>
      <c r="N427" s="634"/>
      <c r="O427" s="21">
        <f t="shared" si="75"/>
        <v>1</v>
      </c>
      <c r="P427" s="634"/>
      <c r="Q427" s="21">
        <f t="shared" si="76"/>
        <v>1</v>
      </c>
      <c r="R427" s="21">
        <f t="shared" si="77"/>
        <v>0</v>
      </c>
      <c r="S427" s="308">
        <f t="shared" si="78"/>
        <v>0</v>
      </c>
    </row>
    <row r="428" spans="1:19">
      <c r="A428" s="142"/>
      <c r="B428" s="52"/>
      <c r="C428" s="21">
        <f t="shared" si="69"/>
        <v>1</v>
      </c>
      <c r="D428" s="634"/>
      <c r="E428" s="21">
        <f t="shared" si="70"/>
        <v>0.01</v>
      </c>
      <c r="F428" s="634"/>
      <c r="G428" s="21">
        <f t="shared" si="71"/>
        <v>0.04</v>
      </c>
      <c r="H428" s="634"/>
      <c r="I428" s="21">
        <f t="shared" si="72"/>
        <v>0.06</v>
      </c>
      <c r="J428" s="634"/>
      <c r="K428" s="21">
        <f t="shared" si="73"/>
        <v>1</v>
      </c>
      <c r="L428" s="634"/>
      <c r="M428" s="21">
        <f t="shared" si="74"/>
        <v>1</v>
      </c>
      <c r="N428" s="634"/>
      <c r="O428" s="21">
        <f t="shared" si="75"/>
        <v>1</v>
      </c>
      <c r="P428" s="634"/>
      <c r="Q428" s="21">
        <f t="shared" si="76"/>
        <v>1</v>
      </c>
      <c r="R428" s="21">
        <f t="shared" si="77"/>
        <v>0</v>
      </c>
      <c r="S428" s="308">
        <f t="shared" si="78"/>
        <v>0</v>
      </c>
    </row>
    <row r="429" spans="1:19">
      <c r="A429" s="142"/>
      <c r="B429" s="52"/>
      <c r="C429" s="21">
        <f t="shared" si="69"/>
        <v>1</v>
      </c>
      <c r="D429" s="634"/>
      <c r="E429" s="21">
        <f t="shared" si="70"/>
        <v>0.01</v>
      </c>
      <c r="F429" s="634"/>
      <c r="G429" s="21">
        <f t="shared" si="71"/>
        <v>0.04</v>
      </c>
      <c r="H429" s="634"/>
      <c r="I429" s="21">
        <f t="shared" si="72"/>
        <v>0.06</v>
      </c>
      <c r="J429" s="634"/>
      <c r="K429" s="21">
        <f t="shared" si="73"/>
        <v>1</v>
      </c>
      <c r="L429" s="634"/>
      <c r="M429" s="21">
        <f t="shared" si="74"/>
        <v>1</v>
      </c>
      <c r="N429" s="634"/>
      <c r="O429" s="21">
        <f t="shared" si="75"/>
        <v>1</v>
      </c>
      <c r="P429" s="634"/>
      <c r="Q429" s="21">
        <f t="shared" si="76"/>
        <v>1</v>
      </c>
      <c r="R429" s="21">
        <f t="shared" si="77"/>
        <v>0</v>
      </c>
      <c r="S429" s="308">
        <f t="shared" si="78"/>
        <v>0</v>
      </c>
    </row>
    <row r="430" spans="1:19">
      <c r="A430" s="142"/>
      <c r="B430" s="52"/>
      <c r="C430" s="21">
        <f t="shared" si="69"/>
        <v>1</v>
      </c>
      <c r="D430" s="634"/>
      <c r="E430" s="21">
        <f t="shared" si="70"/>
        <v>0.01</v>
      </c>
      <c r="F430" s="634"/>
      <c r="G430" s="21">
        <f t="shared" si="71"/>
        <v>0.04</v>
      </c>
      <c r="H430" s="634"/>
      <c r="I430" s="21">
        <f t="shared" si="72"/>
        <v>0.06</v>
      </c>
      <c r="J430" s="634"/>
      <c r="K430" s="21">
        <f t="shared" si="73"/>
        <v>1</v>
      </c>
      <c r="L430" s="634"/>
      <c r="M430" s="21">
        <f t="shared" si="74"/>
        <v>1</v>
      </c>
      <c r="N430" s="634"/>
      <c r="O430" s="21">
        <f t="shared" si="75"/>
        <v>1</v>
      </c>
      <c r="P430" s="634"/>
      <c r="Q430" s="21">
        <f t="shared" si="76"/>
        <v>1</v>
      </c>
      <c r="R430" s="21">
        <f t="shared" si="77"/>
        <v>0</v>
      </c>
      <c r="S430" s="308">
        <f t="shared" si="78"/>
        <v>0</v>
      </c>
    </row>
    <row r="431" spans="1:19">
      <c r="A431" s="142"/>
      <c r="B431" s="52"/>
      <c r="C431" s="21">
        <f t="shared" si="69"/>
        <v>1</v>
      </c>
      <c r="D431" s="634"/>
      <c r="E431" s="21">
        <f t="shared" si="70"/>
        <v>0.01</v>
      </c>
      <c r="F431" s="634"/>
      <c r="G431" s="21">
        <f t="shared" si="71"/>
        <v>0.04</v>
      </c>
      <c r="H431" s="634"/>
      <c r="I431" s="21">
        <f t="shared" si="72"/>
        <v>0.06</v>
      </c>
      <c r="J431" s="634"/>
      <c r="K431" s="21">
        <f t="shared" si="73"/>
        <v>1</v>
      </c>
      <c r="L431" s="634"/>
      <c r="M431" s="21">
        <f t="shared" si="74"/>
        <v>1</v>
      </c>
      <c r="N431" s="634"/>
      <c r="O431" s="21">
        <f t="shared" si="75"/>
        <v>1</v>
      </c>
      <c r="P431" s="634"/>
      <c r="Q431" s="21">
        <f t="shared" si="76"/>
        <v>1</v>
      </c>
      <c r="R431" s="21">
        <f t="shared" si="77"/>
        <v>0</v>
      </c>
      <c r="S431" s="308">
        <f t="shared" si="78"/>
        <v>0</v>
      </c>
    </row>
    <row r="432" spans="1:19">
      <c r="A432" s="142"/>
      <c r="B432" s="52"/>
      <c r="C432" s="21">
        <f t="shared" si="69"/>
        <v>1</v>
      </c>
      <c r="D432" s="634"/>
      <c r="E432" s="21">
        <f t="shared" si="70"/>
        <v>0.01</v>
      </c>
      <c r="F432" s="634"/>
      <c r="G432" s="21">
        <f t="shared" si="71"/>
        <v>0.04</v>
      </c>
      <c r="H432" s="634"/>
      <c r="I432" s="21">
        <f t="shared" si="72"/>
        <v>0.06</v>
      </c>
      <c r="J432" s="634"/>
      <c r="K432" s="21">
        <f t="shared" si="73"/>
        <v>1</v>
      </c>
      <c r="L432" s="634"/>
      <c r="M432" s="21">
        <f t="shared" si="74"/>
        <v>1</v>
      </c>
      <c r="N432" s="634"/>
      <c r="O432" s="21">
        <f t="shared" si="75"/>
        <v>1</v>
      </c>
      <c r="P432" s="634"/>
      <c r="Q432" s="21">
        <f t="shared" si="76"/>
        <v>1</v>
      </c>
      <c r="R432" s="21">
        <f t="shared" si="77"/>
        <v>0</v>
      </c>
      <c r="S432" s="308">
        <f t="shared" si="78"/>
        <v>0</v>
      </c>
    </row>
    <row r="433" spans="1:19">
      <c r="A433" s="142"/>
      <c r="B433" s="52"/>
      <c r="C433" s="21">
        <f t="shared" si="69"/>
        <v>1</v>
      </c>
      <c r="D433" s="634"/>
      <c r="E433" s="21">
        <f t="shared" si="70"/>
        <v>0.01</v>
      </c>
      <c r="F433" s="634"/>
      <c r="G433" s="21">
        <f t="shared" si="71"/>
        <v>0.04</v>
      </c>
      <c r="H433" s="634"/>
      <c r="I433" s="21">
        <f t="shared" si="72"/>
        <v>0.06</v>
      </c>
      <c r="J433" s="634"/>
      <c r="K433" s="21">
        <f t="shared" si="73"/>
        <v>1</v>
      </c>
      <c r="L433" s="634"/>
      <c r="M433" s="21">
        <f t="shared" si="74"/>
        <v>1</v>
      </c>
      <c r="N433" s="634"/>
      <c r="O433" s="21">
        <f t="shared" si="75"/>
        <v>1</v>
      </c>
      <c r="P433" s="634"/>
      <c r="Q433" s="21">
        <f t="shared" si="76"/>
        <v>1</v>
      </c>
      <c r="R433" s="21">
        <f t="shared" si="77"/>
        <v>0</v>
      </c>
      <c r="S433" s="308">
        <f t="shared" si="78"/>
        <v>0</v>
      </c>
    </row>
    <row r="434" spans="1:19">
      <c r="A434" s="142"/>
      <c r="B434" s="52"/>
      <c r="C434" s="21">
        <f t="shared" si="69"/>
        <v>1</v>
      </c>
      <c r="D434" s="634"/>
      <c r="E434" s="21">
        <f t="shared" si="70"/>
        <v>0.01</v>
      </c>
      <c r="F434" s="634"/>
      <c r="G434" s="21">
        <f t="shared" si="71"/>
        <v>0.04</v>
      </c>
      <c r="H434" s="634"/>
      <c r="I434" s="21">
        <f t="shared" si="72"/>
        <v>0.06</v>
      </c>
      <c r="J434" s="634"/>
      <c r="K434" s="21">
        <f t="shared" si="73"/>
        <v>1</v>
      </c>
      <c r="L434" s="634"/>
      <c r="M434" s="21">
        <f t="shared" si="74"/>
        <v>1</v>
      </c>
      <c r="N434" s="634"/>
      <c r="O434" s="21">
        <f t="shared" si="75"/>
        <v>1</v>
      </c>
      <c r="P434" s="634"/>
      <c r="Q434" s="21">
        <f t="shared" si="76"/>
        <v>1</v>
      </c>
      <c r="R434" s="21">
        <f t="shared" si="77"/>
        <v>0</v>
      </c>
      <c r="S434" s="308">
        <f t="shared" si="78"/>
        <v>0</v>
      </c>
    </row>
    <row r="435" spans="1:19">
      <c r="A435" s="142"/>
      <c r="B435" s="52"/>
      <c r="C435" s="21">
        <f t="shared" si="69"/>
        <v>1</v>
      </c>
      <c r="D435" s="634"/>
      <c r="E435" s="21">
        <f t="shared" si="70"/>
        <v>0.01</v>
      </c>
      <c r="F435" s="634"/>
      <c r="G435" s="21">
        <f t="shared" si="71"/>
        <v>0.04</v>
      </c>
      <c r="H435" s="634"/>
      <c r="I435" s="21">
        <f t="shared" si="72"/>
        <v>0.06</v>
      </c>
      <c r="J435" s="634"/>
      <c r="K435" s="21">
        <f t="shared" si="73"/>
        <v>1</v>
      </c>
      <c r="L435" s="634"/>
      <c r="M435" s="21">
        <f t="shared" si="74"/>
        <v>1</v>
      </c>
      <c r="N435" s="634"/>
      <c r="O435" s="21">
        <f t="shared" si="75"/>
        <v>1</v>
      </c>
      <c r="P435" s="634"/>
      <c r="Q435" s="21">
        <f t="shared" si="76"/>
        <v>1</v>
      </c>
      <c r="R435" s="21">
        <f t="shared" si="77"/>
        <v>0</v>
      </c>
      <c r="S435" s="308">
        <f t="shared" si="78"/>
        <v>0</v>
      </c>
    </row>
    <row r="436" spans="1:19">
      <c r="A436" s="142"/>
      <c r="B436" s="52"/>
      <c r="C436" s="21">
        <f t="shared" si="69"/>
        <v>1</v>
      </c>
      <c r="D436" s="634"/>
      <c r="E436" s="21">
        <f t="shared" si="70"/>
        <v>0.01</v>
      </c>
      <c r="F436" s="634"/>
      <c r="G436" s="21">
        <f t="shared" si="71"/>
        <v>0.04</v>
      </c>
      <c r="H436" s="634"/>
      <c r="I436" s="21">
        <f t="shared" si="72"/>
        <v>0.06</v>
      </c>
      <c r="J436" s="634"/>
      <c r="K436" s="21">
        <f t="shared" si="73"/>
        <v>1</v>
      </c>
      <c r="L436" s="634"/>
      <c r="M436" s="21">
        <f t="shared" si="74"/>
        <v>1</v>
      </c>
      <c r="N436" s="634"/>
      <c r="O436" s="21">
        <f t="shared" si="75"/>
        <v>1</v>
      </c>
      <c r="P436" s="634"/>
      <c r="Q436" s="21">
        <f t="shared" si="76"/>
        <v>1</v>
      </c>
      <c r="R436" s="21">
        <f t="shared" si="77"/>
        <v>0</v>
      </c>
      <c r="S436" s="308">
        <f t="shared" si="78"/>
        <v>0</v>
      </c>
    </row>
    <row r="437" spans="1:19">
      <c r="A437" s="142"/>
      <c r="B437" s="52"/>
      <c r="C437" s="21">
        <f t="shared" si="69"/>
        <v>1</v>
      </c>
      <c r="D437" s="634"/>
      <c r="E437" s="21">
        <f t="shared" si="70"/>
        <v>0.01</v>
      </c>
      <c r="F437" s="634"/>
      <c r="G437" s="21">
        <f t="shared" si="71"/>
        <v>0.04</v>
      </c>
      <c r="H437" s="634"/>
      <c r="I437" s="21">
        <f t="shared" si="72"/>
        <v>0.06</v>
      </c>
      <c r="J437" s="634"/>
      <c r="K437" s="21">
        <f t="shared" si="73"/>
        <v>1</v>
      </c>
      <c r="L437" s="634"/>
      <c r="M437" s="21">
        <f t="shared" si="74"/>
        <v>1</v>
      </c>
      <c r="N437" s="634"/>
      <c r="O437" s="21">
        <f t="shared" si="75"/>
        <v>1</v>
      </c>
      <c r="P437" s="634"/>
      <c r="Q437" s="21">
        <f t="shared" si="76"/>
        <v>1</v>
      </c>
      <c r="R437" s="21">
        <f t="shared" si="77"/>
        <v>0</v>
      </c>
      <c r="S437" s="308">
        <f t="shared" si="78"/>
        <v>0</v>
      </c>
    </row>
    <row r="438" spans="1:19">
      <c r="A438" s="142"/>
      <c r="B438" s="52"/>
      <c r="C438" s="21">
        <f t="shared" si="69"/>
        <v>1</v>
      </c>
      <c r="D438" s="634"/>
      <c r="E438" s="21">
        <f t="shared" si="70"/>
        <v>0.01</v>
      </c>
      <c r="F438" s="634"/>
      <c r="G438" s="21">
        <f t="shared" si="71"/>
        <v>0.04</v>
      </c>
      <c r="H438" s="634"/>
      <c r="I438" s="21">
        <f t="shared" si="72"/>
        <v>0.06</v>
      </c>
      <c r="J438" s="634"/>
      <c r="K438" s="21">
        <f t="shared" si="73"/>
        <v>1</v>
      </c>
      <c r="L438" s="634"/>
      <c r="M438" s="21">
        <f t="shared" si="74"/>
        <v>1</v>
      </c>
      <c r="N438" s="634"/>
      <c r="O438" s="21">
        <f t="shared" si="75"/>
        <v>1</v>
      </c>
      <c r="P438" s="634"/>
      <c r="Q438" s="21">
        <f t="shared" si="76"/>
        <v>1</v>
      </c>
      <c r="R438" s="21">
        <f t="shared" si="77"/>
        <v>0</v>
      </c>
      <c r="S438" s="308">
        <f t="shared" si="78"/>
        <v>0</v>
      </c>
    </row>
    <row r="439" spans="1:19">
      <c r="A439" s="142"/>
      <c r="B439" s="52"/>
      <c r="C439" s="21">
        <f t="shared" si="69"/>
        <v>1</v>
      </c>
      <c r="D439" s="634"/>
      <c r="E439" s="21">
        <f t="shared" si="70"/>
        <v>0.01</v>
      </c>
      <c r="F439" s="634"/>
      <c r="G439" s="21">
        <f t="shared" si="71"/>
        <v>0.04</v>
      </c>
      <c r="H439" s="634"/>
      <c r="I439" s="21">
        <f t="shared" si="72"/>
        <v>0.06</v>
      </c>
      <c r="J439" s="634"/>
      <c r="K439" s="21">
        <f t="shared" si="73"/>
        <v>1</v>
      </c>
      <c r="L439" s="634"/>
      <c r="M439" s="21">
        <f t="shared" si="74"/>
        <v>1</v>
      </c>
      <c r="N439" s="634"/>
      <c r="O439" s="21">
        <f t="shared" si="75"/>
        <v>1</v>
      </c>
      <c r="P439" s="634"/>
      <c r="Q439" s="21">
        <f t="shared" si="76"/>
        <v>1</v>
      </c>
      <c r="R439" s="21">
        <f t="shared" si="77"/>
        <v>0</v>
      </c>
      <c r="S439" s="308">
        <f t="shared" si="78"/>
        <v>0</v>
      </c>
    </row>
    <row r="440" spans="1:19">
      <c r="A440" s="142"/>
      <c r="B440" s="52"/>
      <c r="C440" s="21">
        <f t="shared" si="69"/>
        <v>1</v>
      </c>
      <c r="D440" s="634"/>
      <c r="E440" s="21">
        <f t="shared" si="70"/>
        <v>0.01</v>
      </c>
      <c r="F440" s="634"/>
      <c r="G440" s="21">
        <f t="shared" si="71"/>
        <v>0.04</v>
      </c>
      <c r="H440" s="634"/>
      <c r="I440" s="21">
        <f t="shared" si="72"/>
        <v>0.06</v>
      </c>
      <c r="J440" s="634"/>
      <c r="K440" s="21">
        <f t="shared" si="73"/>
        <v>1</v>
      </c>
      <c r="L440" s="634"/>
      <c r="M440" s="21">
        <f t="shared" si="74"/>
        <v>1</v>
      </c>
      <c r="N440" s="634"/>
      <c r="O440" s="21">
        <f t="shared" si="75"/>
        <v>1</v>
      </c>
      <c r="P440" s="634"/>
      <c r="Q440" s="21">
        <f t="shared" si="76"/>
        <v>1</v>
      </c>
      <c r="R440" s="21">
        <f t="shared" si="77"/>
        <v>0</v>
      </c>
      <c r="S440" s="308">
        <f t="shared" si="78"/>
        <v>0</v>
      </c>
    </row>
    <row r="441" spans="1:19">
      <c r="A441" s="142"/>
      <c r="B441" s="52"/>
      <c r="C441" s="21">
        <f t="shared" si="69"/>
        <v>1</v>
      </c>
      <c r="D441" s="634"/>
      <c r="E441" s="21">
        <f t="shared" si="70"/>
        <v>0.01</v>
      </c>
      <c r="F441" s="634"/>
      <c r="G441" s="21">
        <f t="shared" si="71"/>
        <v>0.04</v>
      </c>
      <c r="H441" s="634"/>
      <c r="I441" s="21">
        <f t="shared" si="72"/>
        <v>0.06</v>
      </c>
      <c r="J441" s="634"/>
      <c r="K441" s="21">
        <f t="shared" si="73"/>
        <v>1</v>
      </c>
      <c r="L441" s="634"/>
      <c r="M441" s="21">
        <f t="shared" si="74"/>
        <v>1</v>
      </c>
      <c r="N441" s="634"/>
      <c r="O441" s="21">
        <f t="shared" si="75"/>
        <v>1</v>
      </c>
      <c r="P441" s="634"/>
      <c r="Q441" s="21">
        <f t="shared" si="76"/>
        <v>1</v>
      </c>
      <c r="R441" s="21">
        <f t="shared" si="77"/>
        <v>0</v>
      </c>
      <c r="S441" s="308">
        <f t="shared" si="78"/>
        <v>0</v>
      </c>
    </row>
    <row r="442" spans="1:19">
      <c r="A442" s="142"/>
      <c r="B442" s="52"/>
      <c r="C442" s="21">
        <f t="shared" si="69"/>
        <v>1</v>
      </c>
      <c r="D442" s="634"/>
      <c r="E442" s="21">
        <f t="shared" si="70"/>
        <v>0.01</v>
      </c>
      <c r="F442" s="634"/>
      <c r="G442" s="21">
        <f t="shared" si="71"/>
        <v>0.04</v>
      </c>
      <c r="H442" s="634"/>
      <c r="I442" s="21">
        <f t="shared" si="72"/>
        <v>0.06</v>
      </c>
      <c r="J442" s="634"/>
      <c r="K442" s="21">
        <f t="shared" si="73"/>
        <v>1</v>
      </c>
      <c r="L442" s="634"/>
      <c r="M442" s="21">
        <f t="shared" si="74"/>
        <v>1</v>
      </c>
      <c r="N442" s="634"/>
      <c r="O442" s="21">
        <f t="shared" si="75"/>
        <v>1</v>
      </c>
      <c r="P442" s="634"/>
      <c r="Q442" s="21">
        <f t="shared" si="76"/>
        <v>1</v>
      </c>
      <c r="R442" s="21">
        <f t="shared" si="77"/>
        <v>0</v>
      </c>
      <c r="S442" s="308">
        <f t="shared" si="78"/>
        <v>0</v>
      </c>
    </row>
    <row r="443" spans="1:19">
      <c r="A443" s="142"/>
      <c r="B443" s="52"/>
      <c r="C443" s="21">
        <f t="shared" si="69"/>
        <v>1</v>
      </c>
      <c r="D443" s="634"/>
      <c r="E443" s="21">
        <f t="shared" si="70"/>
        <v>0.01</v>
      </c>
      <c r="F443" s="634"/>
      <c r="G443" s="21">
        <f t="shared" si="71"/>
        <v>0.04</v>
      </c>
      <c r="H443" s="634"/>
      <c r="I443" s="21">
        <f t="shared" si="72"/>
        <v>0.06</v>
      </c>
      <c r="J443" s="634"/>
      <c r="K443" s="21">
        <f t="shared" si="73"/>
        <v>1</v>
      </c>
      <c r="L443" s="634"/>
      <c r="M443" s="21">
        <f t="shared" si="74"/>
        <v>1</v>
      </c>
      <c r="N443" s="634"/>
      <c r="O443" s="21">
        <f t="shared" si="75"/>
        <v>1</v>
      </c>
      <c r="P443" s="634"/>
      <c r="Q443" s="21">
        <f t="shared" si="76"/>
        <v>1</v>
      </c>
      <c r="R443" s="21">
        <f t="shared" si="77"/>
        <v>0</v>
      </c>
      <c r="S443" s="308">
        <f t="shared" si="78"/>
        <v>0</v>
      </c>
    </row>
    <row r="444" spans="1:19">
      <c r="A444" s="142"/>
      <c r="B444" s="52"/>
      <c r="C444" s="21">
        <f t="shared" si="69"/>
        <v>1</v>
      </c>
      <c r="D444" s="634"/>
      <c r="E444" s="21">
        <f t="shared" si="70"/>
        <v>0.01</v>
      </c>
      <c r="F444" s="634"/>
      <c r="G444" s="21">
        <f t="shared" si="71"/>
        <v>0.04</v>
      </c>
      <c r="H444" s="634"/>
      <c r="I444" s="21">
        <f t="shared" si="72"/>
        <v>0.06</v>
      </c>
      <c r="J444" s="634"/>
      <c r="K444" s="21">
        <f t="shared" si="73"/>
        <v>1</v>
      </c>
      <c r="L444" s="634"/>
      <c r="M444" s="21">
        <f t="shared" si="74"/>
        <v>1</v>
      </c>
      <c r="N444" s="634"/>
      <c r="O444" s="21">
        <f t="shared" si="75"/>
        <v>1</v>
      </c>
      <c r="P444" s="634"/>
      <c r="Q444" s="21">
        <f t="shared" si="76"/>
        <v>1</v>
      </c>
      <c r="R444" s="21">
        <f t="shared" si="77"/>
        <v>0</v>
      </c>
      <c r="S444" s="308">
        <f t="shared" si="78"/>
        <v>0</v>
      </c>
    </row>
    <row r="445" spans="1:19">
      <c r="A445" s="142"/>
      <c r="B445" s="52"/>
      <c r="C445" s="21">
        <f t="shared" si="69"/>
        <v>1</v>
      </c>
      <c r="D445" s="634"/>
      <c r="E445" s="21">
        <f t="shared" si="70"/>
        <v>0.01</v>
      </c>
      <c r="F445" s="634"/>
      <c r="G445" s="21">
        <f t="shared" si="71"/>
        <v>0.04</v>
      </c>
      <c r="H445" s="634"/>
      <c r="I445" s="21">
        <f t="shared" si="72"/>
        <v>0.06</v>
      </c>
      <c r="J445" s="634"/>
      <c r="K445" s="21">
        <f t="shared" si="73"/>
        <v>1</v>
      </c>
      <c r="L445" s="634"/>
      <c r="M445" s="21">
        <f t="shared" si="74"/>
        <v>1</v>
      </c>
      <c r="N445" s="634"/>
      <c r="O445" s="21">
        <f t="shared" si="75"/>
        <v>1</v>
      </c>
      <c r="P445" s="634"/>
      <c r="Q445" s="21">
        <f t="shared" si="76"/>
        <v>1</v>
      </c>
      <c r="R445" s="21">
        <f t="shared" si="77"/>
        <v>0</v>
      </c>
      <c r="S445" s="308">
        <f t="shared" si="78"/>
        <v>0</v>
      </c>
    </row>
    <row r="446" spans="1:19">
      <c r="A446" s="142"/>
      <c r="B446" s="52"/>
      <c r="C446" s="21">
        <f t="shared" si="69"/>
        <v>1</v>
      </c>
      <c r="D446" s="634"/>
      <c r="E446" s="21">
        <f t="shared" si="70"/>
        <v>0.01</v>
      </c>
      <c r="F446" s="634"/>
      <c r="G446" s="21">
        <f t="shared" si="71"/>
        <v>0.04</v>
      </c>
      <c r="H446" s="634"/>
      <c r="I446" s="21">
        <f t="shared" si="72"/>
        <v>0.06</v>
      </c>
      <c r="J446" s="634"/>
      <c r="K446" s="21">
        <f t="shared" si="73"/>
        <v>1</v>
      </c>
      <c r="L446" s="634"/>
      <c r="M446" s="21">
        <f t="shared" si="74"/>
        <v>1</v>
      </c>
      <c r="N446" s="634"/>
      <c r="O446" s="21">
        <f t="shared" si="75"/>
        <v>1</v>
      </c>
      <c r="P446" s="634"/>
      <c r="Q446" s="21">
        <f t="shared" si="76"/>
        <v>1</v>
      </c>
      <c r="R446" s="21">
        <f t="shared" si="77"/>
        <v>0</v>
      </c>
      <c r="S446" s="308">
        <f t="shared" si="78"/>
        <v>0</v>
      </c>
    </row>
    <row r="447" spans="1:19">
      <c r="A447" s="142"/>
      <c r="B447" s="52"/>
      <c r="C447" s="21">
        <f t="shared" si="69"/>
        <v>1</v>
      </c>
      <c r="D447" s="634"/>
      <c r="E447" s="21">
        <f t="shared" si="70"/>
        <v>0.01</v>
      </c>
      <c r="F447" s="634"/>
      <c r="G447" s="21">
        <f t="shared" si="71"/>
        <v>0.04</v>
      </c>
      <c r="H447" s="634"/>
      <c r="I447" s="21">
        <f t="shared" si="72"/>
        <v>0.06</v>
      </c>
      <c r="J447" s="634"/>
      <c r="K447" s="21">
        <f t="shared" si="73"/>
        <v>1</v>
      </c>
      <c r="L447" s="634"/>
      <c r="M447" s="21">
        <f t="shared" si="74"/>
        <v>1</v>
      </c>
      <c r="N447" s="634"/>
      <c r="O447" s="21">
        <f t="shared" si="75"/>
        <v>1</v>
      </c>
      <c r="P447" s="634"/>
      <c r="Q447" s="21">
        <f t="shared" si="76"/>
        <v>1</v>
      </c>
      <c r="R447" s="21">
        <f t="shared" si="77"/>
        <v>0</v>
      </c>
      <c r="S447" s="308">
        <f t="shared" si="78"/>
        <v>0</v>
      </c>
    </row>
    <row r="448" spans="1:19">
      <c r="A448" s="142"/>
      <c r="B448" s="52"/>
      <c r="C448" s="21">
        <f t="shared" si="69"/>
        <v>1</v>
      </c>
      <c r="D448" s="634"/>
      <c r="E448" s="21">
        <f t="shared" si="70"/>
        <v>0.01</v>
      </c>
      <c r="F448" s="634"/>
      <c r="G448" s="21">
        <f t="shared" si="71"/>
        <v>0.04</v>
      </c>
      <c r="H448" s="634"/>
      <c r="I448" s="21">
        <f t="shared" si="72"/>
        <v>0.06</v>
      </c>
      <c r="J448" s="634"/>
      <c r="K448" s="21">
        <f t="shared" si="73"/>
        <v>1</v>
      </c>
      <c r="L448" s="634"/>
      <c r="M448" s="21">
        <f t="shared" si="74"/>
        <v>1</v>
      </c>
      <c r="N448" s="634"/>
      <c r="O448" s="21">
        <f t="shared" si="75"/>
        <v>1</v>
      </c>
      <c r="P448" s="634"/>
      <c r="Q448" s="21">
        <f t="shared" si="76"/>
        <v>1</v>
      </c>
      <c r="R448" s="21">
        <f t="shared" si="77"/>
        <v>0</v>
      </c>
      <c r="S448" s="308">
        <f t="shared" si="78"/>
        <v>0</v>
      </c>
    </row>
    <row r="449" spans="1:19">
      <c r="A449" s="142"/>
      <c r="B449" s="52"/>
      <c r="C449" s="21">
        <f t="shared" si="69"/>
        <v>1</v>
      </c>
      <c r="D449" s="634"/>
      <c r="E449" s="21">
        <f t="shared" si="70"/>
        <v>0.01</v>
      </c>
      <c r="F449" s="634"/>
      <c r="G449" s="21">
        <f t="shared" si="71"/>
        <v>0.04</v>
      </c>
      <c r="H449" s="634"/>
      <c r="I449" s="21">
        <f t="shared" si="72"/>
        <v>0.06</v>
      </c>
      <c r="J449" s="634"/>
      <c r="K449" s="21">
        <f t="shared" si="73"/>
        <v>1</v>
      </c>
      <c r="L449" s="634"/>
      <c r="M449" s="21">
        <f t="shared" si="74"/>
        <v>1</v>
      </c>
      <c r="N449" s="634"/>
      <c r="O449" s="21">
        <f t="shared" si="75"/>
        <v>1</v>
      </c>
      <c r="P449" s="634"/>
      <c r="Q449" s="21">
        <f t="shared" si="76"/>
        <v>1</v>
      </c>
      <c r="R449" s="21">
        <f t="shared" si="77"/>
        <v>0</v>
      </c>
      <c r="S449" s="308">
        <f t="shared" si="78"/>
        <v>0</v>
      </c>
    </row>
    <row r="450" spans="1:19">
      <c r="A450" s="142"/>
      <c r="B450" s="52"/>
      <c r="C450" s="21">
        <f t="shared" si="69"/>
        <v>1</v>
      </c>
      <c r="D450" s="634"/>
      <c r="E450" s="21">
        <f t="shared" si="70"/>
        <v>0.01</v>
      </c>
      <c r="F450" s="634"/>
      <c r="G450" s="21">
        <f t="shared" si="71"/>
        <v>0.04</v>
      </c>
      <c r="H450" s="634"/>
      <c r="I450" s="21">
        <f t="shared" si="72"/>
        <v>0.06</v>
      </c>
      <c r="J450" s="634"/>
      <c r="K450" s="21">
        <f t="shared" si="73"/>
        <v>1</v>
      </c>
      <c r="L450" s="634"/>
      <c r="M450" s="21">
        <f t="shared" si="74"/>
        <v>1</v>
      </c>
      <c r="N450" s="634"/>
      <c r="O450" s="21">
        <f t="shared" si="75"/>
        <v>1</v>
      </c>
      <c r="P450" s="634"/>
      <c r="Q450" s="21">
        <f t="shared" si="76"/>
        <v>1</v>
      </c>
      <c r="R450" s="21">
        <f t="shared" si="77"/>
        <v>0</v>
      </c>
      <c r="S450" s="308">
        <f t="shared" si="78"/>
        <v>0</v>
      </c>
    </row>
    <row r="451" spans="1:19">
      <c r="A451" s="142"/>
      <c r="B451" s="52"/>
      <c r="C451" s="21">
        <f t="shared" si="69"/>
        <v>1</v>
      </c>
      <c r="D451" s="634"/>
      <c r="E451" s="21">
        <f t="shared" si="70"/>
        <v>0.01</v>
      </c>
      <c r="F451" s="634"/>
      <c r="G451" s="21">
        <f t="shared" si="71"/>
        <v>0.04</v>
      </c>
      <c r="H451" s="634"/>
      <c r="I451" s="21">
        <f t="shared" si="72"/>
        <v>0.06</v>
      </c>
      <c r="J451" s="634"/>
      <c r="K451" s="21">
        <f t="shared" si="73"/>
        <v>1</v>
      </c>
      <c r="L451" s="634"/>
      <c r="M451" s="21">
        <f t="shared" si="74"/>
        <v>1</v>
      </c>
      <c r="N451" s="634"/>
      <c r="O451" s="21">
        <f t="shared" si="75"/>
        <v>1</v>
      </c>
      <c r="P451" s="634"/>
      <c r="Q451" s="21">
        <f t="shared" si="76"/>
        <v>1</v>
      </c>
      <c r="R451" s="21">
        <f t="shared" si="77"/>
        <v>0</v>
      </c>
      <c r="S451" s="308">
        <f t="shared" si="78"/>
        <v>0</v>
      </c>
    </row>
    <row r="452" spans="1:19">
      <c r="A452" s="142"/>
      <c r="B452" s="52"/>
      <c r="C452" s="21">
        <f t="shared" si="69"/>
        <v>1</v>
      </c>
      <c r="D452" s="634"/>
      <c r="E452" s="21">
        <f t="shared" si="70"/>
        <v>0.01</v>
      </c>
      <c r="F452" s="634"/>
      <c r="G452" s="21">
        <f t="shared" si="71"/>
        <v>0.04</v>
      </c>
      <c r="H452" s="634"/>
      <c r="I452" s="21">
        <f t="shared" si="72"/>
        <v>0.06</v>
      </c>
      <c r="J452" s="634"/>
      <c r="K452" s="21">
        <f t="shared" si="73"/>
        <v>1</v>
      </c>
      <c r="L452" s="634"/>
      <c r="M452" s="21">
        <f t="shared" si="74"/>
        <v>1</v>
      </c>
      <c r="N452" s="634"/>
      <c r="O452" s="21">
        <f t="shared" si="75"/>
        <v>1</v>
      </c>
      <c r="P452" s="634"/>
      <c r="Q452" s="21">
        <f t="shared" si="76"/>
        <v>1</v>
      </c>
      <c r="R452" s="21">
        <f t="shared" si="77"/>
        <v>0</v>
      </c>
      <c r="S452" s="308">
        <f t="shared" si="78"/>
        <v>0</v>
      </c>
    </row>
    <row r="453" spans="1:19">
      <c r="A453" s="142"/>
      <c r="B453" s="52"/>
      <c r="C453" s="21">
        <f t="shared" si="69"/>
        <v>1</v>
      </c>
      <c r="D453" s="634"/>
      <c r="E453" s="21">
        <f t="shared" si="70"/>
        <v>0.01</v>
      </c>
      <c r="F453" s="634"/>
      <c r="G453" s="21">
        <f t="shared" si="71"/>
        <v>0.04</v>
      </c>
      <c r="H453" s="634"/>
      <c r="I453" s="21">
        <f t="shared" si="72"/>
        <v>0.06</v>
      </c>
      <c r="J453" s="634"/>
      <c r="K453" s="21">
        <f t="shared" si="73"/>
        <v>1</v>
      </c>
      <c r="L453" s="634"/>
      <c r="M453" s="21">
        <f t="shared" si="74"/>
        <v>1</v>
      </c>
      <c r="N453" s="634"/>
      <c r="O453" s="21">
        <f t="shared" si="75"/>
        <v>1</v>
      </c>
      <c r="P453" s="634"/>
      <c r="Q453" s="21">
        <f t="shared" si="76"/>
        <v>1</v>
      </c>
      <c r="R453" s="21">
        <f t="shared" si="77"/>
        <v>0</v>
      </c>
      <c r="S453" s="308">
        <f t="shared" si="78"/>
        <v>0</v>
      </c>
    </row>
    <row r="454" spans="1:19">
      <c r="A454" s="142"/>
      <c r="B454" s="52"/>
      <c r="C454" s="21">
        <f t="shared" si="69"/>
        <v>1</v>
      </c>
      <c r="D454" s="634"/>
      <c r="E454" s="21">
        <f t="shared" si="70"/>
        <v>0.01</v>
      </c>
      <c r="F454" s="634"/>
      <c r="G454" s="21">
        <f t="shared" si="71"/>
        <v>0.04</v>
      </c>
      <c r="H454" s="634"/>
      <c r="I454" s="21">
        <f t="shared" si="72"/>
        <v>0.06</v>
      </c>
      <c r="J454" s="634"/>
      <c r="K454" s="21">
        <f t="shared" si="73"/>
        <v>1</v>
      </c>
      <c r="L454" s="634"/>
      <c r="M454" s="21">
        <f t="shared" si="74"/>
        <v>1</v>
      </c>
      <c r="N454" s="634"/>
      <c r="O454" s="21">
        <f t="shared" si="75"/>
        <v>1</v>
      </c>
      <c r="P454" s="634"/>
      <c r="Q454" s="21">
        <f t="shared" si="76"/>
        <v>1</v>
      </c>
      <c r="R454" s="21">
        <f t="shared" si="77"/>
        <v>0</v>
      </c>
      <c r="S454" s="308">
        <f t="shared" si="78"/>
        <v>0</v>
      </c>
    </row>
    <row r="455" spans="1:19">
      <c r="A455" s="142"/>
      <c r="B455" s="52"/>
      <c r="C455" s="21">
        <f t="shared" si="69"/>
        <v>1</v>
      </c>
      <c r="D455" s="634"/>
      <c r="E455" s="21">
        <f t="shared" si="70"/>
        <v>0.01</v>
      </c>
      <c r="F455" s="634"/>
      <c r="G455" s="21">
        <f t="shared" si="71"/>
        <v>0.04</v>
      </c>
      <c r="H455" s="634"/>
      <c r="I455" s="21">
        <f t="shared" si="72"/>
        <v>0.06</v>
      </c>
      <c r="J455" s="634"/>
      <c r="K455" s="21">
        <f t="shared" si="73"/>
        <v>1</v>
      </c>
      <c r="L455" s="634"/>
      <c r="M455" s="21">
        <f t="shared" si="74"/>
        <v>1</v>
      </c>
      <c r="N455" s="634"/>
      <c r="O455" s="21">
        <f t="shared" si="75"/>
        <v>1</v>
      </c>
      <c r="P455" s="634"/>
      <c r="Q455" s="21">
        <f t="shared" si="76"/>
        <v>1</v>
      </c>
      <c r="R455" s="21">
        <f t="shared" si="77"/>
        <v>0</v>
      </c>
      <c r="S455" s="308">
        <f t="shared" si="78"/>
        <v>0</v>
      </c>
    </row>
    <row r="456" spans="1:19">
      <c r="A456" s="142"/>
      <c r="B456" s="52"/>
      <c r="C456" s="21">
        <f t="shared" si="69"/>
        <v>1</v>
      </c>
      <c r="D456" s="634"/>
      <c r="E456" s="21">
        <f t="shared" si="70"/>
        <v>0.01</v>
      </c>
      <c r="F456" s="634"/>
      <c r="G456" s="21">
        <f t="shared" si="71"/>
        <v>0.04</v>
      </c>
      <c r="H456" s="634"/>
      <c r="I456" s="21">
        <f t="shared" si="72"/>
        <v>0.06</v>
      </c>
      <c r="J456" s="634"/>
      <c r="K456" s="21">
        <f t="shared" si="73"/>
        <v>1</v>
      </c>
      <c r="L456" s="634"/>
      <c r="M456" s="21">
        <f t="shared" si="74"/>
        <v>1</v>
      </c>
      <c r="N456" s="634"/>
      <c r="O456" s="21">
        <f t="shared" si="75"/>
        <v>1</v>
      </c>
      <c r="P456" s="634"/>
      <c r="Q456" s="21">
        <f t="shared" si="76"/>
        <v>1</v>
      </c>
      <c r="R456" s="21">
        <f t="shared" si="77"/>
        <v>0</v>
      </c>
      <c r="S456" s="308">
        <f t="shared" si="78"/>
        <v>0</v>
      </c>
    </row>
    <row r="457" spans="1:19">
      <c r="A457" s="142"/>
      <c r="B457" s="52"/>
      <c r="C457" s="21">
        <f t="shared" si="69"/>
        <v>1</v>
      </c>
      <c r="D457" s="634"/>
      <c r="E457" s="21">
        <f t="shared" si="70"/>
        <v>0.01</v>
      </c>
      <c r="F457" s="634"/>
      <c r="G457" s="21">
        <f t="shared" si="71"/>
        <v>0.04</v>
      </c>
      <c r="H457" s="634"/>
      <c r="I457" s="21">
        <f t="shared" si="72"/>
        <v>0.06</v>
      </c>
      <c r="J457" s="634"/>
      <c r="K457" s="21">
        <f t="shared" si="73"/>
        <v>1</v>
      </c>
      <c r="L457" s="634"/>
      <c r="M457" s="21">
        <f t="shared" si="74"/>
        <v>1</v>
      </c>
      <c r="N457" s="634"/>
      <c r="O457" s="21">
        <f t="shared" si="75"/>
        <v>1</v>
      </c>
      <c r="P457" s="634"/>
      <c r="Q457" s="21">
        <f t="shared" si="76"/>
        <v>1</v>
      </c>
      <c r="R457" s="21">
        <f t="shared" si="77"/>
        <v>0</v>
      </c>
      <c r="S457" s="308">
        <f t="shared" si="78"/>
        <v>0</v>
      </c>
    </row>
    <row r="458" spans="1:19">
      <c r="A458" s="142"/>
      <c r="B458" s="52"/>
      <c r="C458" s="21">
        <f t="shared" si="69"/>
        <v>1</v>
      </c>
      <c r="D458" s="634"/>
      <c r="E458" s="21">
        <f t="shared" si="70"/>
        <v>0.01</v>
      </c>
      <c r="F458" s="634"/>
      <c r="G458" s="21">
        <f t="shared" si="71"/>
        <v>0.04</v>
      </c>
      <c r="H458" s="634"/>
      <c r="I458" s="21">
        <f t="shared" si="72"/>
        <v>0.06</v>
      </c>
      <c r="J458" s="634"/>
      <c r="K458" s="21">
        <f t="shared" si="73"/>
        <v>1</v>
      </c>
      <c r="L458" s="634"/>
      <c r="M458" s="21">
        <f t="shared" si="74"/>
        <v>1</v>
      </c>
      <c r="N458" s="634"/>
      <c r="O458" s="21">
        <f t="shared" si="75"/>
        <v>1</v>
      </c>
      <c r="P458" s="634"/>
      <c r="Q458" s="21">
        <f t="shared" si="76"/>
        <v>1</v>
      </c>
      <c r="R458" s="21">
        <f t="shared" si="77"/>
        <v>0</v>
      </c>
      <c r="S458" s="308">
        <f t="shared" si="78"/>
        <v>0</v>
      </c>
    </row>
    <row r="459" spans="1:19">
      <c r="A459" s="142"/>
      <c r="B459" s="52"/>
      <c r="C459" s="21">
        <f t="shared" si="69"/>
        <v>1</v>
      </c>
      <c r="D459" s="634"/>
      <c r="E459" s="21">
        <f t="shared" si="70"/>
        <v>0.01</v>
      </c>
      <c r="F459" s="634"/>
      <c r="G459" s="21">
        <f t="shared" si="71"/>
        <v>0.04</v>
      </c>
      <c r="H459" s="634"/>
      <c r="I459" s="21">
        <f t="shared" si="72"/>
        <v>0.06</v>
      </c>
      <c r="J459" s="634"/>
      <c r="K459" s="21">
        <f t="shared" si="73"/>
        <v>1</v>
      </c>
      <c r="L459" s="634"/>
      <c r="M459" s="21">
        <f t="shared" si="74"/>
        <v>1</v>
      </c>
      <c r="N459" s="634"/>
      <c r="O459" s="21">
        <f t="shared" si="75"/>
        <v>1</v>
      </c>
      <c r="P459" s="634"/>
      <c r="Q459" s="21">
        <f t="shared" si="76"/>
        <v>1</v>
      </c>
      <c r="R459" s="21">
        <f t="shared" si="77"/>
        <v>0</v>
      </c>
      <c r="S459" s="308">
        <f t="shared" si="78"/>
        <v>0</v>
      </c>
    </row>
    <row r="460" spans="1:19">
      <c r="A460" s="142"/>
      <c r="B460" s="52"/>
      <c r="C460" s="21">
        <f t="shared" si="69"/>
        <v>1</v>
      </c>
      <c r="D460" s="634"/>
      <c r="E460" s="21">
        <f t="shared" si="70"/>
        <v>0.01</v>
      </c>
      <c r="F460" s="634"/>
      <c r="G460" s="21">
        <f t="shared" si="71"/>
        <v>0.04</v>
      </c>
      <c r="H460" s="634"/>
      <c r="I460" s="21">
        <f t="shared" si="72"/>
        <v>0.06</v>
      </c>
      <c r="J460" s="634"/>
      <c r="K460" s="21">
        <f t="shared" si="73"/>
        <v>1</v>
      </c>
      <c r="L460" s="634"/>
      <c r="M460" s="21">
        <f t="shared" si="74"/>
        <v>1</v>
      </c>
      <c r="N460" s="634"/>
      <c r="O460" s="21">
        <f t="shared" si="75"/>
        <v>1</v>
      </c>
      <c r="P460" s="634"/>
      <c r="Q460" s="21">
        <f t="shared" si="76"/>
        <v>1</v>
      </c>
      <c r="R460" s="21">
        <f t="shared" si="77"/>
        <v>0</v>
      </c>
      <c r="S460" s="308">
        <f t="shared" si="78"/>
        <v>0</v>
      </c>
    </row>
    <row r="461" spans="1:19">
      <c r="A461" s="142"/>
      <c r="B461" s="52"/>
      <c r="C461" s="21">
        <f t="shared" si="69"/>
        <v>1</v>
      </c>
      <c r="D461" s="634"/>
      <c r="E461" s="21">
        <f t="shared" si="70"/>
        <v>0.01</v>
      </c>
      <c r="F461" s="634"/>
      <c r="G461" s="21">
        <f t="shared" si="71"/>
        <v>0.04</v>
      </c>
      <c r="H461" s="634"/>
      <c r="I461" s="21">
        <f t="shared" si="72"/>
        <v>0.06</v>
      </c>
      <c r="J461" s="634"/>
      <c r="K461" s="21">
        <f t="shared" si="73"/>
        <v>1</v>
      </c>
      <c r="L461" s="634"/>
      <c r="M461" s="21">
        <f t="shared" si="74"/>
        <v>1</v>
      </c>
      <c r="N461" s="634"/>
      <c r="O461" s="21">
        <f t="shared" si="75"/>
        <v>1</v>
      </c>
      <c r="P461" s="634"/>
      <c r="Q461" s="21">
        <f t="shared" si="76"/>
        <v>1</v>
      </c>
      <c r="R461" s="21">
        <f t="shared" si="77"/>
        <v>0</v>
      </c>
      <c r="S461" s="308">
        <f t="shared" si="78"/>
        <v>0</v>
      </c>
    </row>
    <row r="462" spans="1:19">
      <c r="A462" s="142"/>
      <c r="B462" s="52"/>
      <c r="C462" s="21">
        <f t="shared" si="69"/>
        <v>1</v>
      </c>
      <c r="D462" s="634"/>
      <c r="E462" s="21">
        <f t="shared" si="70"/>
        <v>0.01</v>
      </c>
      <c r="F462" s="634"/>
      <c r="G462" s="21">
        <f t="shared" si="71"/>
        <v>0.04</v>
      </c>
      <c r="H462" s="634"/>
      <c r="I462" s="21">
        <f t="shared" si="72"/>
        <v>0.06</v>
      </c>
      <c r="J462" s="634"/>
      <c r="K462" s="21">
        <f t="shared" si="73"/>
        <v>1</v>
      </c>
      <c r="L462" s="634"/>
      <c r="M462" s="21">
        <f t="shared" si="74"/>
        <v>1</v>
      </c>
      <c r="N462" s="634"/>
      <c r="O462" s="21">
        <f t="shared" si="75"/>
        <v>1</v>
      </c>
      <c r="P462" s="634"/>
      <c r="Q462" s="21">
        <f t="shared" si="76"/>
        <v>1</v>
      </c>
      <c r="R462" s="21">
        <f t="shared" si="77"/>
        <v>0</v>
      </c>
      <c r="S462" s="308">
        <f t="shared" si="78"/>
        <v>0</v>
      </c>
    </row>
    <row r="463" spans="1:19">
      <c r="A463" s="142"/>
      <c r="B463" s="52"/>
      <c r="C463" s="21">
        <f t="shared" si="69"/>
        <v>1</v>
      </c>
      <c r="D463" s="634"/>
      <c r="E463" s="21">
        <f t="shared" si="70"/>
        <v>0.01</v>
      </c>
      <c r="F463" s="634"/>
      <c r="G463" s="21">
        <f t="shared" si="71"/>
        <v>0.04</v>
      </c>
      <c r="H463" s="634"/>
      <c r="I463" s="21">
        <f t="shared" si="72"/>
        <v>0.06</v>
      </c>
      <c r="J463" s="634"/>
      <c r="K463" s="21">
        <f t="shared" si="73"/>
        <v>1</v>
      </c>
      <c r="L463" s="634"/>
      <c r="M463" s="21">
        <f t="shared" si="74"/>
        <v>1</v>
      </c>
      <c r="N463" s="634"/>
      <c r="O463" s="21">
        <f t="shared" si="75"/>
        <v>1</v>
      </c>
      <c r="P463" s="634"/>
      <c r="Q463" s="21">
        <f t="shared" si="76"/>
        <v>1</v>
      </c>
      <c r="R463" s="21">
        <f t="shared" si="77"/>
        <v>0</v>
      </c>
      <c r="S463" s="308">
        <f t="shared" si="78"/>
        <v>0</v>
      </c>
    </row>
    <row r="464" spans="1:19">
      <c r="A464" s="142"/>
      <c r="B464" s="52"/>
      <c r="C464" s="21">
        <f t="shared" si="69"/>
        <v>1</v>
      </c>
      <c r="D464" s="634"/>
      <c r="E464" s="21">
        <f t="shared" si="70"/>
        <v>0.01</v>
      </c>
      <c r="F464" s="634"/>
      <c r="G464" s="21">
        <f t="shared" si="71"/>
        <v>0.04</v>
      </c>
      <c r="H464" s="634"/>
      <c r="I464" s="21">
        <f t="shared" si="72"/>
        <v>0.06</v>
      </c>
      <c r="J464" s="634"/>
      <c r="K464" s="21">
        <f t="shared" si="73"/>
        <v>1</v>
      </c>
      <c r="L464" s="634"/>
      <c r="M464" s="21">
        <f t="shared" si="74"/>
        <v>1</v>
      </c>
      <c r="N464" s="634"/>
      <c r="O464" s="21">
        <f t="shared" si="75"/>
        <v>1</v>
      </c>
      <c r="P464" s="634"/>
      <c r="Q464" s="21">
        <f t="shared" si="76"/>
        <v>1</v>
      </c>
      <c r="R464" s="21">
        <f t="shared" si="77"/>
        <v>0</v>
      </c>
      <c r="S464" s="308">
        <f t="shared" si="78"/>
        <v>0</v>
      </c>
    </row>
    <row r="465" spans="1:19">
      <c r="A465" s="142"/>
      <c r="B465" s="52"/>
      <c r="C465" s="21">
        <f t="shared" si="69"/>
        <v>1</v>
      </c>
      <c r="D465" s="634"/>
      <c r="E465" s="21">
        <f t="shared" si="70"/>
        <v>0.01</v>
      </c>
      <c r="F465" s="634"/>
      <c r="G465" s="21">
        <f t="shared" si="71"/>
        <v>0.04</v>
      </c>
      <c r="H465" s="634"/>
      <c r="I465" s="21">
        <f t="shared" si="72"/>
        <v>0.06</v>
      </c>
      <c r="J465" s="634"/>
      <c r="K465" s="21">
        <f t="shared" si="73"/>
        <v>1</v>
      </c>
      <c r="L465" s="634"/>
      <c r="M465" s="21">
        <f t="shared" si="74"/>
        <v>1</v>
      </c>
      <c r="N465" s="634"/>
      <c r="O465" s="21">
        <f t="shared" si="75"/>
        <v>1</v>
      </c>
      <c r="P465" s="634"/>
      <c r="Q465" s="21">
        <f t="shared" si="76"/>
        <v>1</v>
      </c>
      <c r="R465" s="21">
        <f t="shared" si="77"/>
        <v>0</v>
      </c>
      <c r="S465" s="308">
        <f t="shared" si="78"/>
        <v>0</v>
      </c>
    </row>
    <row r="466" spans="1:19">
      <c r="A466" s="142"/>
      <c r="B466" s="52"/>
      <c r="C466" s="21">
        <f t="shared" si="69"/>
        <v>1</v>
      </c>
      <c r="D466" s="634"/>
      <c r="E466" s="21">
        <f t="shared" si="70"/>
        <v>0.01</v>
      </c>
      <c r="F466" s="634"/>
      <c r="G466" s="21">
        <f t="shared" si="71"/>
        <v>0.04</v>
      </c>
      <c r="H466" s="634"/>
      <c r="I466" s="21">
        <f t="shared" si="72"/>
        <v>0.06</v>
      </c>
      <c r="J466" s="634"/>
      <c r="K466" s="21">
        <f t="shared" si="73"/>
        <v>1</v>
      </c>
      <c r="L466" s="634"/>
      <c r="M466" s="21">
        <f t="shared" si="74"/>
        <v>1</v>
      </c>
      <c r="N466" s="634"/>
      <c r="O466" s="21">
        <f t="shared" si="75"/>
        <v>1</v>
      </c>
      <c r="P466" s="634"/>
      <c r="Q466" s="21">
        <f t="shared" si="76"/>
        <v>1</v>
      </c>
      <c r="R466" s="21">
        <f t="shared" si="77"/>
        <v>0</v>
      </c>
      <c r="S466" s="308">
        <f t="shared" si="78"/>
        <v>0</v>
      </c>
    </row>
    <row r="467" spans="1:19">
      <c r="A467" s="142"/>
      <c r="B467" s="52"/>
      <c r="C467" s="21">
        <f t="shared" si="69"/>
        <v>1</v>
      </c>
      <c r="D467" s="634"/>
      <c r="E467" s="21">
        <f t="shared" si="70"/>
        <v>0.01</v>
      </c>
      <c r="F467" s="634"/>
      <c r="G467" s="21">
        <f t="shared" si="71"/>
        <v>0.04</v>
      </c>
      <c r="H467" s="634"/>
      <c r="I467" s="21">
        <f t="shared" si="72"/>
        <v>0.06</v>
      </c>
      <c r="J467" s="634"/>
      <c r="K467" s="21">
        <f t="shared" si="73"/>
        <v>1</v>
      </c>
      <c r="L467" s="634"/>
      <c r="M467" s="21">
        <f t="shared" si="74"/>
        <v>1</v>
      </c>
      <c r="N467" s="634"/>
      <c r="O467" s="21">
        <f t="shared" si="75"/>
        <v>1</v>
      </c>
      <c r="P467" s="634"/>
      <c r="Q467" s="21">
        <f t="shared" si="76"/>
        <v>1</v>
      </c>
      <c r="R467" s="21">
        <f t="shared" si="77"/>
        <v>0</v>
      </c>
      <c r="S467" s="308">
        <f t="shared" si="78"/>
        <v>0</v>
      </c>
    </row>
    <row r="468" spans="1:19">
      <c r="A468" s="142"/>
      <c r="B468" s="52"/>
      <c r="C468" s="21">
        <f t="shared" si="69"/>
        <v>1</v>
      </c>
      <c r="D468" s="634"/>
      <c r="E468" s="21">
        <f t="shared" si="70"/>
        <v>0.01</v>
      </c>
      <c r="F468" s="634"/>
      <c r="G468" s="21">
        <f t="shared" si="71"/>
        <v>0.04</v>
      </c>
      <c r="H468" s="634"/>
      <c r="I468" s="21">
        <f t="shared" si="72"/>
        <v>0.06</v>
      </c>
      <c r="J468" s="634"/>
      <c r="K468" s="21">
        <f t="shared" si="73"/>
        <v>1</v>
      </c>
      <c r="L468" s="634"/>
      <c r="M468" s="21">
        <f t="shared" si="74"/>
        <v>1</v>
      </c>
      <c r="N468" s="634"/>
      <c r="O468" s="21">
        <f t="shared" si="75"/>
        <v>1</v>
      </c>
      <c r="P468" s="634"/>
      <c r="Q468" s="21">
        <f t="shared" si="76"/>
        <v>1</v>
      </c>
      <c r="R468" s="21">
        <f t="shared" si="77"/>
        <v>0</v>
      </c>
      <c r="S468" s="308">
        <f t="shared" ref="S468:S497" si="79">ROUND(R468*B468/10000,0)</f>
        <v>0</v>
      </c>
    </row>
    <row r="469" spans="1:19">
      <c r="A469" s="142"/>
      <c r="B469" s="52"/>
      <c r="C469" s="21">
        <f t="shared" si="69"/>
        <v>1</v>
      </c>
      <c r="D469" s="634"/>
      <c r="E469" s="21">
        <f t="shared" si="70"/>
        <v>0.01</v>
      </c>
      <c r="F469" s="634"/>
      <c r="G469" s="21">
        <f t="shared" si="71"/>
        <v>0.04</v>
      </c>
      <c r="H469" s="634"/>
      <c r="I469" s="21">
        <f t="shared" si="72"/>
        <v>0.06</v>
      </c>
      <c r="J469" s="634"/>
      <c r="K469" s="21">
        <f t="shared" si="73"/>
        <v>1</v>
      </c>
      <c r="L469" s="634"/>
      <c r="M469" s="21">
        <f t="shared" si="74"/>
        <v>1</v>
      </c>
      <c r="N469" s="634"/>
      <c r="O469" s="21">
        <f t="shared" si="75"/>
        <v>1</v>
      </c>
      <c r="P469" s="634"/>
      <c r="Q469" s="21">
        <f t="shared" si="76"/>
        <v>1</v>
      </c>
      <c r="R469" s="21">
        <f t="shared" si="77"/>
        <v>0</v>
      </c>
      <c r="S469" s="308">
        <f t="shared" si="79"/>
        <v>0</v>
      </c>
    </row>
    <row r="470" spans="1:19">
      <c r="A470" s="142"/>
      <c r="B470" s="52"/>
      <c r="C470" s="21">
        <f t="shared" si="69"/>
        <v>1</v>
      </c>
      <c r="D470" s="634"/>
      <c r="E470" s="21">
        <f t="shared" si="70"/>
        <v>0.01</v>
      </c>
      <c r="F470" s="634"/>
      <c r="G470" s="21">
        <f t="shared" si="71"/>
        <v>0.04</v>
      </c>
      <c r="H470" s="634"/>
      <c r="I470" s="21">
        <f t="shared" si="72"/>
        <v>0.06</v>
      </c>
      <c r="J470" s="634"/>
      <c r="K470" s="21">
        <f t="shared" si="73"/>
        <v>1</v>
      </c>
      <c r="L470" s="634"/>
      <c r="M470" s="21">
        <f t="shared" si="74"/>
        <v>1</v>
      </c>
      <c r="N470" s="634"/>
      <c r="O470" s="21">
        <f t="shared" si="75"/>
        <v>1</v>
      </c>
      <c r="P470" s="634"/>
      <c r="Q470" s="21">
        <f t="shared" si="76"/>
        <v>1</v>
      </c>
      <c r="R470" s="21">
        <f t="shared" si="77"/>
        <v>0</v>
      </c>
      <c r="S470" s="308">
        <f t="shared" si="79"/>
        <v>0</v>
      </c>
    </row>
    <row r="471" spans="1:19">
      <c r="A471" s="142"/>
      <c r="B471" s="52"/>
      <c r="C471" s="21">
        <f t="shared" si="69"/>
        <v>1</v>
      </c>
      <c r="D471" s="634"/>
      <c r="E471" s="21">
        <f t="shared" si="70"/>
        <v>0.01</v>
      </c>
      <c r="F471" s="634"/>
      <c r="G471" s="21">
        <f t="shared" si="71"/>
        <v>0.04</v>
      </c>
      <c r="H471" s="634"/>
      <c r="I471" s="21">
        <f t="shared" si="72"/>
        <v>0.06</v>
      </c>
      <c r="J471" s="634"/>
      <c r="K471" s="21">
        <f t="shared" si="73"/>
        <v>1</v>
      </c>
      <c r="L471" s="634"/>
      <c r="M471" s="21">
        <f t="shared" si="74"/>
        <v>1</v>
      </c>
      <c r="N471" s="634"/>
      <c r="O471" s="21">
        <f t="shared" si="75"/>
        <v>1</v>
      </c>
      <c r="P471" s="634"/>
      <c r="Q471" s="21">
        <f t="shared" si="76"/>
        <v>1</v>
      </c>
      <c r="R471" s="21">
        <f t="shared" si="77"/>
        <v>0</v>
      </c>
      <c r="S471" s="308">
        <f t="shared" si="79"/>
        <v>0</v>
      </c>
    </row>
    <row r="472" spans="1:19">
      <c r="A472" s="142"/>
      <c r="B472" s="52"/>
      <c r="C472" s="21">
        <f t="shared" si="69"/>
        <v>1</v>
      </c>
      <c r="D472" s="634"/>
      <c r="E472" s="21">
        <f t="shared" si="70"/>
        <v>0.01</v>
      </c>
      <c r="F472" s="634"/>
      <c r="G472" s="21">
        <f t="shared" si="71"/>
        <v>0.04</v>
      </c>
      <c r="H472" s="634"/>
      <c r="I472" s="21">
        <f t="shared" si="72"/>
        <v>0.06</v>
      </c>
      <c r="J472" s="634"/>
      <c r="K472" s="21">
        <f t="shared" si="73"/>
        <v>1</v>
      </c>
      <c r="L472" s="634"/>
      <c r="M472" s="21">
        <f t="shared" si="74"/>
        <v>1</v>
      </c>
      <c r="N472" s="634"/>
      <c r="O472" s="21">
        <f t="shared" si="75"/>
        <v>1</v>
      </c>
      <c r="P472" s="634"/>
      <c r="Q472" s="21">
        <f t="shared" si="76"/>
        <v>1</v>
      </c>
      <c r="R472" s="21">
        <f t="shared" si="77"/>
        <v>0</v>
      </c>
      <c r="S472" s="308">
        <f t="shared" si="79"/>
        <v>0</v>
      </c>
    </row>
    <row r="473" spans="1:19">
      <c r="A473" s="142"/>
      <c r="B473" s="52"/>
      <c r="C473" s="21">
        <f t="shared" si="69"/>
        <v>1</v>
      </c>
      <c r="D473" s="634"/>
      <c r="E473" s="21">
        <f t="shared" si="70"/>
        <v>0.01</v>
      </c>
      <c r="F473" s="634"/>
      <c r="G473" s="21">
        <f t="shared" si="71"/>
        <v>0.04</v>
      </c>
      <c r="H473" s="634"/>
      <c r="I473" s="21">
        <f t="shared" si="72"/>
        <v>0.06</v>
      </c>
      <c r="J473" s="634"/>
      <c r="K473" s="21">
        <f t="shared" si="73"/>
        <v>1</v>
      </c>
      <c r="L473" s="634"/>
      <c r="M473" s="21">
        <f t="shared" si="74"/>
        <v>1</v>
      </c>
      <c r="N473" s="634"/>
      <c r="O473" s="21">
        <f t="shared" si="75"/>
        <v>1</v>
      </c>
      <c r="P473" s="634"/>
      <c r="Q473" s="21">
        <f t="shared" si="76"/>
        <v>1</v>
      </c>
      <c r="R473" s="21">
        <f t="shared" si="77"/>
        <v>0</v>
      </c>
      <c r="S473" s="308">
        <f t="shared" si="79"/>
        <v>0</v>
      </c>
    </row>
    <row r="474" spans="1:19">
      <c r="A474" s="142"/>
      <c r="B474" s="52"/>
      <c r="C474" s="21">
        <f t="shared" ref="C474:C524" si="80">IF(B474="",1,(LOOKUP(B474,$3:$3,$4:$4)-LOOKUP($B$24,$3:$3,$4:$4)+100)/100)</f>
        <v>1</v>
      </c>
      <c r="D474" s="634"/>
      <c r="E474" s="21">
        <f t="shared" ref="E474:E524" si="81">(SUMIF($5:$5,D474,$6:$6)-SUMIF($5:$5,$D$24,$6:$6)+100)/100</f>
        <v>0.01</v>
      </c>
      <c r="F474" s="634"/>
      <c r="G474" s="21">
        <f t="shared" ref="G474:G524" si="82">(SUMIF($7:$7,F474,$8:$8)-SUMIF($7:$7,$F$24,$8:$8)+100)/100</f>
        <v>0.04</v>
      </c>
      <c r="H474" s="634"/>
      <c r="I474" s="21">
        <f t="shared" ref="I474:I524" si="83">(SUMIF($9:$9,H474,$10:$10)-SUMIF($9:$9,$H$24,$10:$10)+100)/100</f>
        <v>0.06</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4"/>
      <c r="E475" s="21">
        <f t="shared" si="81"/>
        <v>0.01</v>
      </c>
      <c r="F475" s="634"/>
      <c r="G475" s="21">
        <f t="shared" si="82"/>
        <v>0.04</v>
      </c>
      <c r="H475" s="634"/>
      <c r="I475" s="21">
        <f t="shared" si="83"/>
        <v>0.06</v>
      </c>
      <c r="J475" s="634"/>
      <c r="K475" s="21">
        <f t="shared" si="84"/>
        <v>1</v>
      </c>
      <c r="L475" s="634"/>
      <c r="M475" s="21">
        <f t="shared" si="85"/>
        <v>1</v>
      </c>
      <c r="N475" s="634"/>
      <c r="O475" s="21">
        <f t="shared" si="86"/>
        <v>1</v>
      </c>
      <c r="P475" s="634"/>
      <c r="Q475" s="21">
        <f t="shared" si="87"/>
        <v>1</v>
      </c>
      <c r="R475" s="21">
        <f t="shared" si="88"/>
        <v>0</v>
      </c>
      <c r="S475" s="308">
        <f t="shared" si="79"/>
        <v>0</v>
      </c>
    </row>
    <row r="476" spans="1:19">
      <c r="A476" s="142"/>
      <c r="B476" s="52"/>
      <c r="C476" s="21">
        <f t="shared" si="80"/>
        <v>1</v>
      </c>
      <c r="D476" s="634"/>
      <c r="E476" s="21">
        <f t="shared" si="81"/>
        <v>0.01</v>
      </c>
      <c r="F476" s="634"/>
      <c r="G476" s="21">
        <f t="shared" si="82"/>
        <v>0.04</v>
      </c>
      <c r="H476" s="634"/>
      <c r="I476" s="21">
        <f t="shared" si="83"/>
        <v>0.06</v>
      </c>
      <c r="J476" s="634"/>
      <c r="K476" s="21">
        <f t="shared" si="84"/>
        <v>1</v>
      </c>
      <c r="L476" s="634"/>
      <c r="M476" s="21">
        <f t="shared" si="85"/>
        <v>1</v>
      </c>
      <c r="N476" s="634"/>
      <c r="O476" s="21">
        <f t="shared" si="86"/>
        <v>1</v>
      </c>
      <c r="P476" s="634"/>
      <c r="Q476" s="21">
        <f t="shared" si="87"/>
        <v>1</v>
      </c>
      <c r="R476" s="21">
        <f t="shared" si="88"/>
        <v>0</v>
      </c>
      <c r="S476" s="308">
        <f t="shared" si="79"/>
        <v>0</v>
      </c>
    </row>
    <row r="477" spans="1:19">
      <c r="A477" s="142"/>
      <c r="B477" s="52"/>
      <c r="C477" s="21">
        <f t="shared" si="80"/>
        <v>1</v>
      </c>
      <c r="D477" s="634"/>
      <c r="E477" s="21">
        <f t="shared" si="81"/>
        <v>0.01</v>
      </c>
      <c r="F477" s="634"/>
      <c r="G477" s="21">
        <f t="shared" si="82"/>
        <v>0.04</v>
      </c>
      <c r="H477" s="634"/>
      <c r="I477" s="21">
        <f t="shared" si="83"/>
        <v>0.06</v>
      </c>
      <c r="J477" s="634"/>
      <c r="K477" s="21">
        <f t="shared" si="84"/>
        <v>1</v>
      </c>
      <c r="L477" s="634"/>
      <c r="M477" s="21">
        <f t="shared" si="85"/>
        <v>1</v>
      </c>
      <c r="N477" s="634"/>
      <c r="O477" s="21">
        <f t="shared" si="86"/>
        <v>1</v>
      </c>
      <c r="P477" s="634"/>
      <c r="Q477" s="21">
        <f t="shared" si="87"/>
        <v>1</v>
      </c>
      <c r="R477" s="21">
        <f t="shared" si="88"/>
        <v>0</v>
      </c>
      <c r="S477" s="308">
        <f t="shared" si="79"/>
        <v>0</v>
      </c>
    </row>
    <row r="478" spans="1:19">
      <c r="A478" s="142"/>
      <c r="B478" s="52"/>
      <c r="C478" s="21">
        <f t="shared" si="80"/>
        <v>1</v>
      </c>
      <c r="D478" s="634"/>
      <c r="E478" s="21">
        <f t="shared" si="81"/>
        <v>0.01</v>
      </c>
      <c r="F478" s="634"/>
      <c r="G478" s="21">
        <f t="shared" si="82"/>
        <v>0.04</v>
      </c>
      <c r="H478" s="634"/>
      <c r="I478" s="21">
        <f t="shared" si="83"/>
        <v>0.06</v>
      </c>
      <c r="J478" s="634"/>
      <c r="K478" s="21">
        <f t="shared" si="84"/>
        <v>1</v>
      </c>
      <c r="L478" s="634"/>
      <c r="M478" s="21">
        <f t="shared" si="85"/>
        <v>1</v>
      </c>
      <c r="N478" s="634"/>
      <c r="O478" s="21">
        <f t="shared" si="86"/>
        <v>1</v>
      </c>
      <c r="P478" s="634"/>
      <c r="Q478" s="21">
        <f t="shared" si="87"/>
        <v>1</v>
      </c>
      <c r="R478" s="21">
        <f t="shared" si="88"/>
        <v>0</v>
      </c>
      <c r="S478" s="308">
        <f t="shared" si="79"/>
        <v>0</v>
      </c>
    </row>
    <row r="479" spans="1:19">
      <c r="A479" s="142"/>
      <c r="B479" s="52"/>
      <c r="C479" s="21">
        <f t="shared" si="80"/>
        <v>1</v>
      </c>
      <c r="D479" s="634"/>
      <c r="E479" s="21">
        <f t="shared" si="81"/>
        <v>0.01</v>
      </c>
      <c r="F479" s="634"/>
      <c r="G479" s="21">
        <f t="shared" si="82"/>
        <v>0.04</v>
      </c>
      <c r="H479" s="634"/>
      <c r="I479" s="21">
        <f t="shared" si="83"/>
        <v>0.06</v>
      </c>
      <c r="J479" s="634"/>
      <c r="K479" s="21">
        <f t="shared" si="84"/>
        <v>1</v>
      </c>
      <c r="L479" s="634"/>
      <c r="M479" s="21">
        <f t="shared" si="85"/>
        <v>1</v>
      </c>
      <c r="N479" s="634"/>
      <c r="O479" s="21">
        <f t="shared" si="86"/>
        <v>1</v>
      </c>
      <c r="P479" s="634"/>
      <c r="Q479" s="21">
        <f t="shared" si="87"/>
        <v>1</v>
      </c>
      <c r="R479" s="21">
        <f t="shared" si="88"/>
        <v>0</v>
      </c>
      <c r="S479" s="308">
        <f t="shared" si="79"/>
        <v>0</v>
      </c>
    </row>
    <row r="480" spans="1:19">
      <c r="A480" s="142"/>
      <c r="B480" s="52"/>
      <c r="C480" s="21">
        <f t="shared" si="80"/>
        <v>1</v>
      </c>
      <c r="D480" s="634"/>
      <c r="E480" s="21">
        <f t="shared" si="81"/>
        <v>0.01</v>
      </c>
      <c r="F480" s="634"/>
      <c r="G480" s="21">
        <f t="shared" si="82"/>
        <v>0.04</v>
      </c>
      <c r="H480" s="634"/>
      <c r="I480" s="21">
        <f t="shared" si="83"/>
        <v>0.06</v>
      </c>
      <c r="J480" s="634"/>
      <c r="K480" s="21">
        <f t="shared" si="84"/>
        <v>1</v>
      </c>
      <c r="L480" s="634"/>
      <c r="M480" s="21">
        <f t="shared" si="85"/>
        <v>1</v>
      </c>
      <c r="N480" s="634"/>
      <c r="O480" s="21">
        <f t="shared" si="86"/>
        <v>1</v>
      </c>
      <c r="P480" s="634"/>
      <c r="Q480" s="21">
        <f t="shared" si="87"/>
        <v>1</v>
      </c>
      <c r="R480" s="21">
        <f t="shared" si="88"/>
        <v>0</v>
      </c>
      <c r="S480" s="308">
        <f t="shared" si="79"/>
        <v>0</v>
      </c>
    </row>
    <row r="481" spans="1:19">
      <c r="A481" s="142"/>
      <c r="B481" s="52"/>
      <c r="C481" s="21">
        <f t="shared" si="80"/>
        <v>1</v>
      </c>
      <c r="D481" s="634"/>
      <c r="E481" s="21">
        <f t="shared" si="81"/>
        <v>0.01</v>
      </c>
      <c r="F481" s="634"/>
      <c r="G481" s="21">
        <f t="shared" si="82"/>
        <v>0.04</v>
      </c>
      <c r="H481" s="634"/>
      <c r="I481" s="21">
        <f t="shared" si="83"/>
        <v>0.06</v>
      </c>
      <c r="J481" s="634"/>
      <c r="K481" s="21">
        <f t="shared" si="84"/>
        <v>1</v>
      </c>
      <c r="L481" s="634"/>
      <c r="M481" s="21">
        <f t="shared" si="85"/>
        <v>1</v>
      </c>
      <c r="N481" s="634"/>
      <c r="O481" s="21">
        <f t="shared" si="86"/>
        <v>1</v>
      </c>
      <c r="P481" s="634"/>
      <c r="Q481" s="21">
        <f t="shared" si="87"/>
        <v>1</v>
      </c>
      <c r="R481" s="21">
        <f t="shared" si="88"/>
        <v>0</v>
      </c>
      <c r="S481" s="308">
        <f t="shared" si="79"/>
        <v>0</v>
      </c>
    </row>
    <row r="482" spans="1:19">
      <c r="A482" s="142"/>
      <c r="B482" s="52"/>
      <c r="C482" s="21">
        <f t="shared" si="80"/>
        <v>1</v>
      </c>
      <c r="D482" s="634"/>
      <c r="E482" s="21">
        <f t="shared" si="81"/>
        <v>0.01</v>
      </c>
      <c r="F482" s="634"/>
      <c r="G482" s="21">
        <f t="shared" si="82"/>
        <v>0.04</v>
      </c>
      <c r="H482" s="634"/>
      <c r="I482" s="21">
        <f t="shared" si="83"/>
        <v>0.06</v>
      </c>
      <c r="J482" s="634"/>
      <c r="K482" s="21">
        <f t="shared" si="84"/>
        <v>1</v>
      </c>
      <c r="L482" s="634"/>
      <c r="M482" s="21">
        <f t="shared" si="85"/>
        <v>1</v>
      </c>
      <c r="N482" s="634"/>
      <c r="O482" s="21">
        <f t="shared" si="86"/>
        <v>1</v>
      </c>
      <c r="P482" s="634"/>
      <c r="Q482" s="21">
        <f t="shared" si="87"/>
        <v>1</v>
      </c>
      <c r="R482" s="21">
        <f t="shared" si="88"/>
        <v>0</v>
      </c>
      <c r="S482" s="308">
        <f t="shared" si="79"/>
        <v>0</v>
      </c>
    </row>
    <row r="483" spans="1:19">
      <c r="A483" s="142"/>
      <c r="B483" s="52"/>
      <c r="C483" s="21">
        <f t="shared" si="80"/>
        <v>1</v>
      </c>
      <c r="D483" s="634"/>
      <c r="E483" s="21">
        <f t="shared" si="81"/>
        <v>0.01</v>
      </c>
      <c r="F483" s="634"/>
      <c r="G483" s="21">
        <f t="shared" si="82"/>
        <v>0.04</v>
      </c>
      <c r="H483" s="634"/>
      <c r="I483" s="21">
        <f t="shared" si="83"/>
        <v>0.06</v>
      </c>
      <c r="J483" s="634"/>
      <c r="K483" s="21">
        <f t="shared" si="84"/>
        <v>1</v>
      </c>
      <c r="L483" s="634"/>
      <c r="M483" s="21">
        <f t="shared" si="85"/>
        <v>1</v>
      </c>
      <c r="N483" s="634"/>
      <c r="O483" s="21">
        <f t="shared" si="86"/>
        <v>1</v>
      </c>
      <c r="P483" s="634"/>
      <c r="Q483" s="21">
        <f t="shared" si="87"/>
        <v>1</v>
      </c>
      <c r="R483" s="21">
        <f t="shared" si="88"/>
        <v>0</v>
      </c>
      <c r="S483" s="308">
        <f t="shared" si="79"/>
        <v>0</v>
      </c>
    </row>
    <row r="484" spans="1:19">
      <c r="A484" s="142"/>
      <c r="B484" s="52"/>
      <c r="C484" s="21">
        <f t="shared" si="80"/>
        <v>1</v>
      </c>
      <c r="D484" s="634"/>
      <c r="E484" s="21">
        <f t="shared" si="81"/>
        <v>0.01</v>
      </c>
      <c r="F484" s="634"/>
      <c r="G484" s="21">
        <f t="shared" si="82"/>
        <v>0.04</v>
      </c>
      <c r="H484" s="634"/>
      <c r="I484" s="21">
        <f t="shared" si="83"/>
        <v>0.06</v>
      </c>
      <c r="J484" s="634"/>
      <c r="K484" s="21">
        <f t="shared" si="84"/>
        <v>1</v>
      </c>
      <c r="L484" s="634"/>
      <c r="M484" s="21">
        <f t="shared" si="85"/>
        <v>1</v>
      </c>
      <c r="N484" s="634"/>
      <c r="O484" s="21">
        <f t="shared" si="86"/>
        <v>1</v>
      </c>
      <c r="P484" s="634"/>
      <c r="Q484" s="21">
        <f t="shared" si="87"/>
        <v>1</v>
      </c>
      <c r="R484" s="21">
        <f t="shared" si="88"/>
        <v>0</v>
      </c>
      <c r="S484" s="308">
        <f t="shared" si="79"/>
        <v>0</v>
      </c>
    </row>
    <row r="485" spans="1:19">
      <c r="A485" s="142"/>
      <c r="B485" s="52"/>
      <c r="C485" s="21">
        <f t="shared" si="80"/>
        <v>1</v>
      </c>
      <c r="D485" s="634"/>
      <c r="E485" s="21">
        <f t="shared" si="81"/>
        <v>0.01</v>
      </c>
      <c r="F485" s="634"/>
      <c r="G485" s="21">
        <f t="shared" si="82"/>
        <v>0.04</v>
      </c>
      <c r="H485" s="634"/>
      <c r="I485" s="21">
        <f t="shared" si="83"/>
        <v>0.06</v>
      </c>
      <c r="J485" s="634"/>
      <c r="K485" s="21">
        <f t="shared" si="84"/>
        <v>1</v>
      </c>
      <c r="L485" s="634"/>
      <c r="M485" s="21">
        <f t="shared" si="85"/>
        <v>1</v>
      </c>
      <c r="N485" s="634"/>
      <c r="O485" s="21">
        <f t="shared" si="86"/>
        <v>1</v>
      </c>
      <c r="P485" s="634"/>
      <c r="Q485" s="21">
        <f t="shared" si="87"/>
        <v>1</v>
      </c>
      <c r="R485" s="21">
        <f t="shared" si="88"/>
        <v>0</v>
      </c>
      <c r="S485" s="308">
        <f t="shared" si="79"/>
        <v>0</v>
      </c>
    </row>
    <row r="486" spans="1:19">
      <c r="A486" s="142"/>
      <c r="B486" s="52"/>
      <c r="C486" s="21">
        <f t="shared" si="80"/>
        <v>1</v>
      </c>
      <c r="D486" s="634"/>
      <c r="E486" s="21">
        <f t="shared" si="81"/>
        <v>0.01</v>
      </c>
      <c r="F486" s="634"/>
      <c r="G486" s="21">
        <f t="shared" si="82"/>
        <v>0.04</v>
      </c>
      <c r="H486" s="634"/>
      <c r="I486" s="21">
        <f t="shared" si="83"/>
        <v>0.06</v>
      </c>
      <c r="J486" s="634"/>
      <c r="K486" s="21">
        <f t="shared" si="84"/>
        <v>1</v>
      </c>
      <c r="L486" s="634"/>
      <c r="M486" s="21">
        <f t="shared" si="85"/>
        <v>1</v>
      </c>
      <c r="N486" s="634"/>
      <c r="O486" s="21">
        <f t="shared" si="86"/>
        <v>1</v>
      </c>
      <c r="P486" s="634"/>
      <c r="Q486" s="21">
        <f t="shared" si="87"/>
        <v>1</v>
      </c>
      <c r="R486" s="21">
        <f t="shared" si="88"/>
        <v>0</v>
      </c>
      <c r="S486" s="308">
        <f t="shared" si="79"/>
        <v>0</v>
      </c>
    </row>
    <row r="487" spans="1:19">
      <c r="A487" s="142"/>
      <c r="B487" s="52"/>
      <c r="C487" s="21">
        <f t="shared" si="80"/>
        <v>1</v>
      </c>
      <c r="D487" s="634"/>
      <c r="E487" s="21">
        <f t="shared" si="81"/>
        <v>0.01</v>
      </c>
      <c r="F487" s="634"/>
      <c r="G487" s="21">
        <f t="shared" si="82"/>
        <v>0.04</v>
      </c>
      <c r="H487" s="634"/>
      <c r="I487" s="21">
        <f t="shared" si="83"/>
        <v>0.06</v>
      </c>
      <c r="J487" s="634"/>
      <c r="K487" s="21">
        <f t="shared" si="84"/>
        <v>1</v>
      </c>
      <c r="L487" s="634"/>
      <c r="M487" s="21">
        <f t="shared" si="85"/>
        <v>1</v>
      </c>
      <c r="N487" s="634"/>
      <c r="O487" s="21">
        <f t="shared" si="86"/>
        <v>1</v>
      </c>
      <c r="P487" s="634"/>
      <c r="Q487" s="21">
        <f t="shared" si="87"/>
        <v>1</v>
      </c>
      <c r="R487" s="21">
        <f t="shared" si="88"/>
        <v>0</v>
      </c>
      <c r="S487" s="308">
        <f t="shared" si="79"/>
        <v>0</v>
      </c>
    </row>
    <row r="488" spans="1:19">
      <c r="A488" s="142"/>
      <c r="B488" s="52"/>
      <c r="C488" s="21">
        <f t="shared" si="80"/>
        <v>1</v>
      </c>
      <c r="D488" s="634"/>
      <c r="E488" s="21">
        <f t="shared" si="81"/>
        <v>0.01</v>
      </c>
      <c r="F488" s="634"/>
      <c r="G488" s="21">
        <f t="shared" si="82"/>
        <v>0.04</v>
      </c>
      <c r="H488" s="634"/>
      <c r="I488" s="21">
        <f t="shared" si="83"/>
        <v>0.06</v>
      </c>
      <c r="J488" s="634"/>
      <c r="K488" s="21">
        <f t="shared" si="84"/>
        <v>1</v>
      </c>
      <c r="L488" s="634"/>
      <c r="M488" s="21">
        <f t="shared" si="85"/>
        <v>1</v>
      </c>
      <c r="N488" s="634"/>
      <c r="O488" s="21">
        <f t="shared" si="86"/>
        <v>1</v>
      </c>
      <c r="P488" s="634"/>
      <c r="Q488" s="21">
        <f t="shared" si="87"/>
        <v>1</v>
      </c>
      <c r="R488" s="21">
        <f t="shared" si="88"/>
        <v>0</v>
      </c>
      <c r="S488" s="308">
        <f t="shared" si="79"/>
        <v>0</v>
      </c>
    </row>
    <row r="489" spans="1:19">
      <c r="A489" s="142"/>
      <c r="B489" s="52"/>
      <c r="C489" s="21">
        <f t="shared" si="80"/>
        <v>1</v>
      </c>
      <c r="D489" s="634"/>
      <c r="E489" s="21">
        <f t="shared" si="81"/>
        <v>0.01</v>
      </c>
      <c r="F489" s="634"/>
      <c r="G489" s="21">
        <f t="shared" si="82"/>
        <v>0.04</v>
      </c>
      <c r="H489" s="634"/>
      <c r="I489" s="21">
        <f t="shared" si="83"/>
        <v>0.06</v>
      </c>
      <c r="J489" s="634"/>
      <c r="K489" s="21">
        <f t="shared" si="84"/>
        <v>1</v>
      </c>
      <c r="L489" s="634"/>
      <c r="M489" s="21">
        <f t="shared" si="85"/>
        <v>1</v>
      </c>
      <c r="N489" s="634"/>
      <c r="O489" s="21">
        <f t="shared" si="86"/>
        <v>1</v>
      </c>
      <c r="P489" s="634"/>
      <c r="Q489" s="21">
        <f t="shared" si="87"/>
        <v>1</v>
      </c>
      <c r="R489" s="21">
        <f t="shared" si="88"/>
        <v>0</v>
      </c>
      <c r="S489" s="308">
        <f t="shared" si="79"/>
        <v>0</v>
      </c>
    </row>
    <row r="490" spans="1:19">
      <c r="A490" s="142"/>
      <c r="B490" s="52"/>
      <c r="C490" s="21">
        <f t="shared" si="80"/>
        <v>1</v>
      </c>
      <c r="D490" s="634"/>
      <c r="E490" s="21">
        <f t="shared" si="81"/>
        <v>0.01</v>
      </c>
      <c r="F490" s="634"/>
      <c r="G490" s="21">
        <f t="shared" si="82"/>
        <v>0.04</v>
      </c>
      <c r="H490" s="634"/>
      <c r="I490" s="21">
        <f t="shared" si="83"/>
        <v>0.06</v>
      </c>
      <c r="J490" s="634"/>
      <c r="K490" s="21">
        <f t="shared" si="84"/>
        <v>1</v>
      </c>
      <c r="L490" s="634"/>
      <c r="M490" s="21">
        <f t="shared" si="85"/>
        <v>1</v>
      </c>
      <c r="N490" s="634"/>
      <c r="O490" s="21">
        <f t="shared" si="86"/>
        <v>1</v>
      </c>
      <c r="P490" s="634"/>
      <c r="Q490" s="21">
        <f t="shared" si="87"/>
        <v>1</v>
      </c>
      <c r="R490" s="21">
        <f t="shared" si="88"/>
        <v>0</v>
      </c>
      <c r="S490" s="308">
        <f t="shared" si="79"/>
        <v>0</v>
      </c>
    </row>
    <row r="491" spans="1:19">
      <c r="A491" s="142"/>
      <c r="B491" s="52"/>
      <c r="C491" s="21">
        <f t="shared" si="80"/>
        <v>1</v>
      </c>
      <c r="D491" s="634"/>
      <c r="E491" s="21">
        <f t="shared" si="81"/>
        <v>0.01</v>
      </c>
      <c r="F491" s="634"/>
      <c r="G491" s="21">
        <f t="shared" si="82"/>
        <v>0.04</v>
      </c>
      <c r="H491" s="634"/>
      <c r="I491" s="21">
        <f t="shared" si="83"/>
        <v>0.06</v>
      </c>
      <c r="J491" s="634"/>
      <c r="K491" s="21">
        <f t="shared" si="84"/>
        <v>1</v>
      </c>
      <c r="L491" s="634"/>
      <c r="M491" s="21">
        <f t="shared" si="85"/>
        <v>1</v>
      </c>
      <c r="N491" s="634"/>
      <c r="O491" s="21">
        <f t="shared" si="86"/>
        <v>1</v>
      </c>
      <c r="P491" s="634"/>
      <c r="Q491" s="21">
        <f t="shared" si="87"/>
        <v>1</v>
      </c>
      <c r="R491" s="21">
        <f t="shared" si="88"/>
        <v>0</v>
      </c>
      <c r="S491" s="308">
        <f t="shared" si="79"/>
        <v>0</v>
      </c>
    </row>
    <row r="492" spans="1:19">
      <c r="A492" s="142"/>
      <c r="B492" s="52"/>
      <c r="C492" s="21">
        <f t="shared" si="80"/>
        <v>1</v>
      </c>
      <c r="D492" s="634"/>
      <c r="E492" s="21">
        <f t="shared" si="81"/>
        <v>0.01</v>
      </c>
      <c r="F492" s="634"/>
      <c r="G492" s="21">
        <f t="shared" si="82"/>
        <v>0.04</v>
      </c>
      <c r="H492" s="634"/>
      <c r="I492" s="21">
        <f t="shared" si="83"/>
        <v>0.06</v>
      </c>
      <c r="J492" s="634"/>
      <c r="K492" s="21">
        <f t="shared" si="84"/>
        <v>1</v>
      </c>
      <c r="L492" s="634"/>
      <c r="M492" s="21">
        <f t="shared" si="85"/>
        <v>1</v>
      </c>
      <c r="N492" s="634"/>
      <c r="O492" s="21">
        <f t="shared" si="86"/>
        <v>1</v>
      </c>
      <c r="P492" s="634"/>
      <c r="Q492" s="21">
        <f t="shared" si="87"/>
        <v>1</v>
      </c>
      <c r="R492" s="21">
        <f t="shared" si="88"/>
        <v>0</v>
      </c>
      <c r="S492" s="308">
        <f t="shared" si="79"/>
        <v>0</v>
      </c>
    </row>
    <row r="493" spans="1:19">
      <c r="A493" s="142"/>
      <c r="B493" s="52"/>
      <c r="C493" s="21">
        <f t="shared" si="80"/>
        <v>1</v>
      </c>
      <c r="D493" s="634"/>
      <c r="E493" s="21">
        <f t="shared" si="81"/>
        <v>0.01</v>
      </c>
      <c r="F493" s="634"/>
      <c r="G493" s="21">
        <f t="shared" si="82"/>
        <v>0.04</v>
      </c>
      <c r="H493" s="634"/>
      <c r="I493" s="21">
        <f t="shared" si="83"/>
        <v>0.06</v>
      </c>
      <c r="J493" s="634"/>
      <c r="K493" s="21">
        <f t="shared" si="84"/>
        <v>1</v>
      </c>
      <c r="L493" s="634"/>
      <c r="M493" s="21">
        <f t="shared" si="85"/>
        <v>1</v>
      </c>
      <c r="N493" s="634"/>
      <c r="O493" s="21">
        <f t="shared" si="86"/>
        <v>1</v>
      </c>
      <c r="P493" s="634"/>
      <c r="Q493" s="21">
        <f t="shared" si="87"/>
        <v>1</v>
      </c>
      <c r="R493" s="21">
        <f t="shared" si="88"/>
        <v>0</v>
      </c>
      <c r="S493" s="308">
        <f t="shared" si="79"/>
        <v>0</v>
      </c>
    </row>
    <row r="494" spans="1:19">
      <c r="A494" s="142"/>
      <c r="B494" s="52"/>
      <c r="C494" s="21">
        <f t="shared" si="80"/>
        <v>1</v>
      </c>
      <c r="D494" s="634"/>
      <c r="E494" s="21">
        <f t="shared" si="81"/>
        <v>0.01</v>
      </c>
      <c r="F494" s="634"/>
      <c r="G494" s="21">
        <f t="shared" si="82"/>
        <v>0.04</v>
      </c>
      <c r="H494" s="634"/>
      <c r="I494" s="21">
        <f t="shared" si="83"/>
        <v>0.06</v>
      </c>
      <c r="J494" s="634"/>
      <c r="K494" s="21">
        <f t="shared" si="84"/>
        <v>1</v>
      </c>
      <c r="L494" s="634"/>
      <c r="M494" s="21">
        <f t="shared" si="85"/>
        <v>1</v>
      </c>
      <c r="N494" s="634"/>
      <c r="O494" s="21">
        <f t="shared" si="86"/>
        <v>1</v>
      </c>
      <c r="P494" s="634"/>
      <c r="Q494" s="21">
        <f t="shared" si="87"/>
        <v>1</v>
      </c>
      <c r="R494" s="21">
        <f t="shared" si="88"/>
        <v>0</v>
      </c>
      <c r="S494" s="308">
        <f t="shared" si="79"/>
        <v>0</v>
      </c>
    </row>
    <row r="495" spans="1:19">
      <c r="A495" s="142"/>
      <c r="B495" s="52"/>
      <c r="C495" s="21">
        <f t="shared" si="80"/>
        <v>1</v>
      </c>
      <c r="D495" s="634"/>
      <c r="E495" s="21">
        <f t="shared" si="81"/>
        <v>0.01</v>
      </c>
      <c r="F495" s="634"/>
      <c r="G495" s="21">
        <f t="shared" si="82"/>
        <v>0.04</v>
      </c>
      <c r="H495" s="634"/>
      <c r="I495" s="21">
        <f t="shared" si="83"/>
        <v>0.06</v>
      </c>
      <c r="J495" s="634"/>
      <c r="K495" s="21">
        <f t="shared" si="84"/>
        <v>1</v>
      </c>
      <c r="L495" s="634"/>
      <c r="M495" s="21">
        <f t="shared" si="85"/>
        <v>1</v>
      </c>
      <c r="N495" s="634"/>
      <c r="O495" s="21">
        <f t="shared" si="86"/>
        <v>1</v>
      </c>
      <c r="P495" s="634"/>
      <c r="Q495" s="21">
        <f t="shared" si="87"/>
        <v>1</v>
      </c>
      <c r="R495" s="21">
        <f t="shared" si="88"/>
        <v>0</v>
      </c>
      <c r="S495" s="308">
        <f t="shared" si="79"/>
        <v>0</v>
      </c>
    </row>
    <row r="496" spans="1:19">
      <c r="A496" s="142"/>
      <c r="B496" s="52"/>
      <c r="C496" s="21">
        <f t="shared" si="80"/>
        <v>1</v>
      </c>
      <c r="D496" s="634"/>
      <c r="E496" s="21">
        <f t="shared" si="81"/>
        <v>0.01</v>
      </c>
      <c r="F496" s="634"/>
      <c r="G496" s="21">
        <f t="shared" si="82"/>
        <v>0.04</v>
      </c>
      <c r="H496" s="634"/>
      <c r="I496" s="21">
        <f t="shared" si="83"/>
        <v>0.06</v>
      </c>
      <c r="J496" s="634"/>
      <c r="K496" s="21">
        <f t="shared" si="84"/>
        <v>1</v>
      </c>
      <c r="L496" s="634"/>
      <c r="M496" s="21">
        <f t="shared" si="85"/>
        <v>1</v>
      </c>
      <c r="N496" s="634"/>
      <c r="O496" s="21">
        <f t="shared" si="86"/>
        <v>1</v>
      </c>
      <c r="P496" s="634"/>
      <c r="Q496" s="21">
        <f t="shared" si="87"/>
        <v>1</v>
      </c>
      <c r="R496" s="21">
        <f t="shared" si="88"/>
        <v>0</v>
      </c>
      <c r="S496" s="308">
        <f t="shared" si="79"/>
        <v>0</v>
      </c>
    </row>
    <row r="497" spans="1:19">
      <c r="A497" s="142"/>
      <c r="B497" s="52"/>
      <c r="C497" s="21">
        <f t="shared" si="80"/>
        <v>1</v>
      </c>
      <c r="D497" s="634"/>
      <c r="E497" s="21">
        <f t="shared" si="81"/>
        <v>0.01</v>
      </c>
      <c r="F497" s="634"/>
      <c r="G497" s="21">
        <f t="shared" si="82"/>
        <v>0.04</v>
      </c>
      <c r="H497" s="634"/>
      <c r="I497" s="21">
        <f t="shared" si="83"/>
        <v>0.06</v>
      </c>
      <c r="J497" s="634"/>
      <c r="K497" s="21">
        <f t="shared" si="84"/>
        <v>1</v>
      </c>
      <c r="L497" s="634"/>
      <c r="M497" s="21">
        <f t="shared" si="85"/>
        <v>1</v>
      </c>
      <c r="N497" s="634"/>
      <c r="O497" s="21">
        <f t="shared" si="86"/>
        <v>1</v>
      </c>
      <c r="P497" s="634"/>
      <c r="Q497" s="21">
        <f t="shared" si="87"/>
        <v>1</v>
      </c>
      <c r="R497" s="21">
        <f t="shared" si="88"/>
        <v>0</v>
      </c>
      <c r="S497" s="308">
        <f t="shared" si="79"/>
        <v>0</v>
      </c>
    </row>
    <row r="498" spans="1:19">
      <c r="A498" s="142"/>
      <c r="B498" s="52"/>
      <c r="C498" s="21">
        <f t="shared" si="80"/>
        <v>1</v>
      </c>
      <c r="D498" s="634"/>
      <c r="E498" s="21">
        <f t="shared" si="81"/>
        <v>0.01</v>
      </c>
      <c r="F498" s="634"/>
      <c r="G498" s="21">
        <f t="shared" si="82"/>
        <v>0.04</v>
      </c>
      <c r="H498" s="634"/>
      <c r="I498" s="21">
        <f t="shared" si="83"/>
        <v>0.06</v>
      </c>
      <c r="J498" s="634"/>
      <c r="K498" s="21">
        <f t="shared" si="84"/>
        <v>1</v>
      </c>
      <c r="L498" s="634"/>
      <c r="M498" s="21">
        <f t="shared" si="85"/>
        <v>1</v>
      </c>
      <c r="N498" s="634"/>
      <c r="O498" s="21">
        <f t="shared" si="86"/>
        <v>1</v>
      </c>
      <c r="P498" s="634"/>
      <c r="Q498" s="21">
        <f t="shared" si="87"/>
        <v>1</v>
      </c>
      <c r="R498" s="21">
        <f t="shared" si="88"/>
        <v>0</v>
      </c>
      <c r="S498" s="308">
        <f t="shared" ref="S498:S524" si="89">ROUND(R498*B498/10000,0)</f>
        <v>0</v>
      </c>
    </row>
    <row r="499" spans="1:19">
      <c r="A499" s="142"/>
      <c r="B499" s="52"/>
      <c r="C499" s="21">
        <f t="shared" si="80"/>
        <v>1</v>
      </c>
      <c r="D499" s="634"/>
      <c r="E499" s="21">
        <f t="shared" si="81"/>
        <v>0.01</v>
      </c>
      <c r="F499" s="634"/>
      <c r="G499" s="21">
        <f t="shared" si="82"/>
        <v>0.04</v>
      </c>
      <c r="H499" s="634"/>
      <c r="I499" s="21">
        <f t="shared" si="83"/>
        <v>0.06</v>
      </c>
      <c r="J499" s="634"/>
      <c r="K499" s="21">
        <f t="shared" si="84"/>
        <v>1</v>
      </c>
      <c r="L499" s="634"/>
      <c r="M499" s="21">
        <f t="shared" si="85"/>
        <v>1</v>
      </c>
      <c r="N499" s="634"/>
      <c r="O499" s="21">
        <f t="shared" si="86"/>
        <v>1</v>
      </c>
      <c r="P499" s="634"/>
      <c r="Q499" s="21">
        <f t="shared" si="87"/>
        <v>1</v>
      </c>
      <c r="R499" s="21">
        <f t="shared" si="88"/>
        <v>0</v>
      </c>
      <c r="S499" s="308">
        <f t="shared" si="89"/>
        <v>0</v>
      </c>
    </row>
    <row r="500" spans="1:19">
      <c r="A500" s="142"/>
      <c r="B500" s="52"/>
      <c r="C500" s="21">
        <f t="shared" si="80"/>
        <v>1</v>
      </c>
      <c r="D500" s="634"/>
      <c r="E500" s="21">
        <f t="shared" si="81"/>
        <v>0.01</v>
      </c>
      <c r="F500" s="634"/>
      <c r="G500" s="21">
        <f t="shared" si="82"/>
        <v>0.04</v>
      </c>
      <c r="H500" s="634"/>
      <c r="I500" s="21">
        <f t="shared" si="83"/>
        <v>0.06</v>
      </c>
      <c r="J500" s="634"/>
      <c r="K500" s="21">
        <f t="shared" si="84"/>
        <v>1</v>
      </c>
      <c r="L500" s="634"/>
      <c r="M500" s="21">
        <f t="shared" si="85"/>
        <v>1</v>
      </c>
      <c r="N500" s="634"/>
      <c r="O500" s="21">
        <f t="shared" si="86"/>
        <v>1</v>
      </c>
      <c r="P500" s="634"/>
      <c r="Q500" s="21">
        <f t="shared" si="87"/>
        <v>1</v>
      </c>
      <c r="R500" s="21">
        <f t="shared" si="88"/>
        <v>0</v>
      </c>
      <c r="S500" s="308">
        <f t="shared" si="89"/>
        <v>0</v>
      </c>
    </row>
    <row r="501" spans="1:19">
      <c r="A501" s="142"/>
      <c r="B501" s="52"/>
      <c r="C501" s="21">
        <f t="shared" si="80"/>
        <v>1</v>
      </c>
      <c r="D501" s="634"/>
      <c r="E501" s="21">
        <f t="shared" si="81"/>
        <v>0.01</v>
      </c>
      <c r="F501" s="634"/>
      <c r="G501" s="21">
        <f t="shared" si="82"/>
        <v>0.04</v>
      </c>
      <c r="H501" s="634"/>
      <c r="I501" s="21">
        <f t="shared" si="83"/>
        <v>0.06</v>
      </c>
      <c r="J501" s="634"/>
      <c r="K501" s="21">
        <f t="shared" si="84"/>
        <v>1</v>
      </c>
      <c r="L501" s="634"/>
      <c r="M501" s="21">
        <f t="shared" si="85"/>
        <v>1</v>
      </c>
      <c r="N501" s="634"/>
      <c r="O501" s="21">
        <f t="shared" si="86"/>
        <v>1</v>
      </c>
      <c r="P501" s="634"/>
      <c r="Q501" s="21">
        <f t="shared" si="87"/>
        <v>1</v>
      </c>
      <c r="R501" s="21">
        <f t="shared" si="88"/>
        <v>0</v>
      </c>
      <c r="S501" s="308">
        <f t="shared" si="89"/>
        <v>0</v>
      </c>
    </row>
    <row r="502" spans="1:19">
      <c r="A502" s="142"/>
      <c r="B502" s="52"/>
      <c r="C502" s="21">
        <f t="shared" si="80"/>
        <v>1</v>
      </c>
      <c r="D502" s="634"/>
      <c r="E502" s="21">
        <f t="shared" si="81"/>
        <v>0.01</v>
      </c>
      <c r="F502" s="634"/>
      <c r="G502" s="21">
        <f t="shared" si="82"/>
        <v>0.04</v>
      </c>
      <c r="H502" s="634"/>
      <c r="I502" s="21">
        <f t="shared" si="83"/>
        <v>0.06</v>
      </c>
      <c r="J502" s="634"/>
      <c r="K502" s="21">
        <f t="shared" si="84"/>
        <v>1</v>
      </c>
      <c r="L502" s="634"/>
      <c r="M502" s="21">
        <f t="shared" si="85"/>
        <v>1</v>
      </c>
      <c r="N502" s="634"/>
      <c r="O502" s="21">
        <f t="shared" si="86"/>
        <v>1</v>
      </c>
      <c r="P502" s="634"/>
      <c r="Q502" s="21">
        <f t="shared" si="87"/>
        <v>1</v>
      </c>
      <c r="R502" s="21">
        <f t="shared" si="88"/>
        <v>0</v>
      </c>
      <c r="S502" s="308">
        <f t="shared" si="89"/>
        <v>0</v>
      </c>
    </row>
    <row r="503" spans="1:19">
      <c r="A503" s="142"/>
      <c r="B503" s="52"/>
      <c r="C503" s="21">
        <f t="shared" si="80"/>
        <v>1</v>
      </c>
      <c r="D503" s="634"/>
      <c r="E503" s="21">
        <f t="shared" si="81"/>
        <v>0.01</v>
      </c>
      <c r="F503" s="634"/>
      <c r="G503" s="21">
        <f t="shared" si="82"/>
        <v>0.04</v>
      </c>
      <c r="H503" s="634"/>
      <c r="I503" s="21">
        <f t="shared" si="83"/>
        <v>0.06</v>
      </c>
      <c r="J503" s="634"/>
      <c r="K503" s="21">
        <f t="shared" si="84"/>
        <v>1</v>
      </c>
      <c r="L503" s="634"/>
      <c r="M503" s="21">
        <f t="shared" si="85"/>
        <v>1</v>
      </c>
      <c r="N503" s="634"/>
      <c r="O503" s="21">
        <f t="shared" si="86"/>
        <v>1</v>
      </c>
      <c r="P503" s="634"/>
      <c r="Q503" s="21">
        <f t="shared" si="87"/>
        <v>1</v>
      </c>
      <c r="R503" s="21">
        <f t="shared" si="88"/>
        <v>0</v>
      </c>
      <c r="S503" s="308">
        <f t="shared" si="89"/>
        <v>0</v>
      </c>
    </row>
    <row r="504" spans="1:19">
      <c r="A504" s="142"/>
      <c r="B504" s="52"/>
      <c r="C504" s="21">
        <f t="shared" si="80"/>
        <v>1</v>
      </c>
      <c r="D504" s="634"/>
      <c r="E504" s="21">
        <f t="shared" si="81"/>
        <v>0.01</v>
      </c>
      <c r="F504" s="634"/>
      <c r="G504" s="21">
        <f t="shared" si="82"/>
        <v>0.04</v>
      </c>
      <c r="H504" s="634"/>
      <c r="I504" s="21">
        <f t="shared" si="83"/>
        <v>0.06</v>
      </c>
      <c r="J504" s="634"/>
      <c r="K504" s="21">
        <f t="shared" si="84"/>
        <v>1</v>
      </c>
      <c r="L504" s="634"/>
      <c r="M504" s="21">
        <f t="shared" si="85"/>
        <v>1</v>
      </c>
      <c r="N504" s="634"/>
      <c r="O504" s="21">
        <f t="shared" si="86"/>
        <v>1</v>
      </c>
      <c r="P504" s="634"/>
      <c r="Q504" s="21">
        <f t="shared" si="87"/>
        <v>1</v>
      </c>
      <c r="R504" s="21">
        <f t="shared" si="88"/>
        <v>0</v>
      </c>
      <c r="S504" s="308">
        <f t="shared" si="89"/>
        <v>0</v>
      </c>
    </row>
    <row r="505" spans="1:19">
      <c r="A505" s="142"/>
      <c r="B505" s="52"/>
      <c r="C505" s="21">
        <f t="shared" si="80"/>
        <v>1</v>
      </c>
      <c r="D505" s="634"/>
      <c r="E505" s="21">
        <f t="shared" si="81"/>
        <v>0.01</v>
      </c>
      <c r="F505" s="634"/>
      <c r="G505" s="21">
        <f t="shared" si="82"/>
        <v>0.04</v>
      </c>
      <c r="H505" s="634"/>
      <c r="I505" s="21">
        <f t="shared" si="83"/>
        <v>0.06</v>
      </c>
      <c r="J505" s="634"/>
      <c r="K505" s="21">
        <f t="shared" si="84"/>
        <v>1</v>
      </c>
      <c r="L505" s="634"/>
      <c r="M505" s="21">
        <f t="shared" si="85"/>
        <v>1</v>
      </c>
      <c r="N505" s="634"/>
      <c r="O505" s="21">
        <f t="shared" si="86"/>
        <v>1</v>
      </c>
      <c r="P505" s="634"/>
      <c r="Q505" s="21">
        <f t="shared" si="87"/>
        <v>1</v>
      </c>
      <c r="R505" s="21">
        <f t="shared" si="88"/>
        <v>0</v>
      </c>
      <c r="S505" s="308">
        <f t="shared" si="89"/>
        <v>0</v>
      </c>
    </row>
    <row r="506" spans="1:19">
      <c r="A506" s="142"/>
      <c r="B506" s="52"/>
      <c r="C506" s="21">
        <f t="shared" si="80"/>
        <v>1</v>
      </c>
      <c r="D506" s="634"/>
      <c r="E506" s="21">
        <f t="shared" si="81"/>
        <v>0.01</v>
      </c>
      <c r="F506" s="634"/>
      <c r="G506" s="21">
        <f t="shared" si="82"/>
        <v>0.04</v>
      </c>
      <c r="H506" s="634"/>
      <c r="I506" s="21">
        <f t="shared" si="83"/>
        <v>0.06</v>
      </c>
      <c r="J506" s="634"/>
      <c r="K506" s="21">
        <f t="shared" si="84"/>
        <v>1</v>
      </c>
      <c r="L506" s="634"/>
      <c r="M506" s="21">
        <f t="shared" si="85"/>
        <v>1</v>
      </c>
      <c r="N506" s="634"/>
      <c r="O506" s="21">
        <f t="shared" si="86"/>
        <v>1</v>
      </c>
      <c r="P506" s="634"/>
      <c r="Q506" s="21">
        <f t="shared" si="87"/>
        <v>1</v>
      </c>
      <c r="R506" s="21">
        <f t="shared" si="88"/>
        <v>0</v>
      </c>
      <c r="S506" s="308">
        <f t="shared" si="89"/>
        <v>0</v>
      </c>
    </row>
    <row r="507" spans="1:19">
      <c r="A507" s="142"/>
      <c r="B507" s="52"/>
      <c r="C507" s="21">
        <f t="shared" si="80"/>
        <v>1</v>
      </c>
      <c r="D507" s="634"/>
      <c r="E507" s="21">
        <f t="shared" si="81"/>
        <v>0.01</v>
      </c>
      <c r="F507" s="634"/>
      <c r="G507" s="21">
        <f t="shared" si="82"/>
        <v>0.04</v>
      </c>
      <c r="H507" s="634"/>
      <c r="I507" s="21">
        <f t="shared" si="83"/>
        <v>0.06</v>
      </c>
      <c r="J507" s="634"/>
      <c r="K507" s="21">
        <f t="shared" si="84"/>
        <v>1</v>
      </c>
      <c r="L507" s="634"/>
      <c r="M507" s="21">
        <f t="shared" si="85"/>
        <v>1</v>
      </c>
      <c r="N507" s="634"/>
      <c r="O507" s="21">
        <f t="shared" si="86"/>
        <v>1</v>
      </c>
      <c r="P507" s="634"/>
      <c r="Q507" s="21">
        <f t="shared" si="87"/>
        <v>1</v>
      </c>
      <c r="R507" s="21">
        <f t="shared" si="88"/>
        <v>0</v>
      </c>
      <c r="S507" s="308">
        <f t="shared" si="89"/>
        <v>0</v>
      </c>
    </row>
    <row r="508" spans="1:19">
      <c r="A508" s="142"/>
      <c r="B508" s="52"/>
      <c r="C508" s="21">
        <f t="shared" si="80"/>
        <v>1</v>
      </c>
      <c r="D508" s="634"/>
      <c r="E508" s="21">
        <f t="shared" si="81"/>
        <v>0.01</v>
      </c>
      <c r="F508" s="634"/>
      <c r="G508" s="21">
        <f t="shared" si="82"/>
        <v>0.04</v>
      </c>
      <c r="H508" s="634"/>
      <c r="I508" s="21">
        <f t="shared" si="83"/>
        <v>0.06</v>
      </c>
      <c r="J508" s="634"/>
      <c r="K508" s="21">
        <f t="shared" si="84"/>
        <v>1</v>
      </c>
      <c r="L508" s="634"/>
      <c r="M508" s="21">
        <f t="shared" si="85"/>
        <v>1</v>
      </c>
      <c r="N508" s="634"/>
      <c r="O508" s="21">
        <f t="shared" si="86"/>
        <v>1</v>
      </c>
      <c r="P508" s="634"/>
      <c r="Q508" s="21">
        <f t="shared" si="87"/>
        <v>1</v>
      </c>
      <c r="R508" s="21">
        <f t="shared" si="88"/>
        <v>0</v>
      </c>
      <c r="S508" s="308">
        <f t="shared" si="89"/>
        <v>0</v>
      </c>
    </row>
    <row r="509" spans="1:19">
      <c r="A509" s="142"/>
      <c r="B509" s="52"/>
      <c r="C509" s="21">
        <f t="shared" si="80"/>
        <v>1</v>
      </c>
      <c r="D509" s="634"/>
      <c r="E509" s="21">
        <f t="shared" si="81"/>
        <v>0.01</v>
      </c>
      <c r="F509" s="634"/>
      <c r="G509" s="21">
        <f t="shared" si="82"/>
        <v>0.04</v>
      </c>
      <c r="H509" s="634"/>
      <c r="I509" s="21">
        <f t="shared" si="83"/>
        <v>0.06</v>
      </c>
      <c r="J509" s="634"/>
      <c r="K509" s="21">
        <f t="shared" si="84"/>
        <v>1</v>
      </c>
      <c r="L509" s="634"/>
      <c r="M509" s="21">
        <f t="shared" si="85"/>
        <v>1</v>
      </c>
      <c r="N509" s="634"/>
      <c r="O509" s="21">
        <f t="shared" si="86"/>
        <v>1</v>
      </c>
      <c r="P509" s="634"/>
      <c r="Q509" s="21">
        <f t="shared" si="87"/>
        <v>1</v>
      </c>
      <c r="R509" s="21">
        <f t="shared" si="88"/>
        <v>0</v>
      </c>
      <c r="S509" s="308">
        <f t="shared" si="89"/>
        <v>0</v>
      </c>
    </row>
    <row r="510" spans="1:19">
      <c r="A510" s="142"/>
      <c r="B510" s="52"/>
      <c r="C510" s="21">
        <f t="shared" si="80"/>
        <v>1</v>
      </c>
      <c r="D510" s="634"/>
      <c r="E510" s="21">
        <f t="shared" si="81"/>
        <v>0.01</v>
      </c>
      <c r="F510" s="634"/>
      <c r="G510" s="21">
        <f t="shared" si="82"/>
        <v>0.04</v>
      </c>
      <c r="H510" s="634"/>
      <c r="I510" s="21">
        <f t="shared" si="83"/>
        <v>0.06</v>
      </c>
      <c r="J510" s="634"/>
      <c r="K510" s="21">
        <f t="shared" si="84"/>
        <v>1</v>
      </c>
      <c r="L510" s="634"/>
      <c r="M510" s="21">
        <f t="shared" si="85"/>
        <v>1</v>
      </c>
      <c r="N510" s="634"/>
      <c r="O510" s="21">
        <f t="shared" si="86"/>
        <v>1</v>
      </c>
      <c r="P510" s="634"/>
      <c r="Q510" s="21">
        <f t="shared" si="87"/>
        <v>1</v>
      </c>
      <c r="R510" s="21">
        <f t="shared" si="88"/>
        <v>0</v>
      </c>
      <c r="S510" s="308">
        <f t="shared" si="89"/>
        <v>0</v>
      </c>
    </row>
    <row r="511" spans="1:19">
      <c r="A511" s="142"/>
      <c r="B511" s="52"/>
      <c r="C511" s="21">
        <f t="shared" si="80"/>
        <v>1</v>
      </c>
      <c r="D511" s="634"/>
      <c r="E511" s="21">
        <f t="shared" si="81"/>
        <v>0.01</v>
      </c>
      <c r="F511" s="634"/>
      <c r="G511" s="21">
        <f t="shared" si="82"/>
        <v>0.04</v>
      </c>
      <c r="H511" s="634"/>
      <c r="I511" s="21">
        <f t="shared" si="83"/>
        <v>0.06</v>
      </c>
      <c r="J511" s="634"/>
      <c r="K511" s="21">
        <f t="shared" si="84"/>
        <v>1</v>
      </c>
      <c r="L511" s="634"/>
      <c r="M511" s="21">
        <f t="shared" si="85"/>
        <v>1</v>
      </c>
      <c r="N511" s="634"/>
      <c r="O511" s="21">
        <f t="shared" si="86"/>
        <v>1</v>
      </c>
      <c r="P511" s="634"/>
      <c r="Q511" s="21">
        <f t="shared" si="87"/>
        <v>1</v>
      </c>
      <c r="R511" s="21">
        <f t="shared" si="88"/>
        <v>0</v>
      </c>
      <c r="S511" s="308">
        <f t="shared" si="89"/>
        <v>0</v>
      </c>
    </row>
    <row r="512" spans="1:19">
      <c r="A512" s="142"/>
      <c r="B512" s="52"/>
      <c r="C512" s="21">
        <f t="shared" si="80"/>
        <v>1</v>
      </c>
      <c r="D512" s="634"/>
      <c r="E512" s="21">
        <f t="shared" si="81"/>
        <v>0.01</v>
      </c>
      <c r="F512" s="634"/>
      <c r="G512" s="21">
        <f t="shared" si="82"/>
        <v>0.04</v>
      </c>
      <c r="H512" s="634"/>
      <c r="I512" s="21">
        <f t="shared" si="83"/>
        <v>0.06</v>
      </c>
      <c r="J512" s="634"/>
      <c r="K512" s="21">
        <f t="shared" si="84"/>
        <v>1</v>
      </c>
      <c r="L512" s="634"/>
      <c r="M512" s="21">
        <f t="shared" si="85"/>
        <v>1</v>
      </c>
      <c r="N512" s="634"/>
      <c r="O512" s="21">
        <f t="shared" si="86"/>
        <v>1</v>
      </c>
      <c r="P512" s="634"/>
      <c r="Q512" s="21">
        <f t="shared" si="87"/>
        <v>1</v>
      </c>
      <c r="R512" s="21">
        <f t="shared" si="88"/>
        <v>0</v>
      </c>
      <c r="S512" s="308">
        <f t="shared" si="89"/>
        <v>0</v>
      </c>
    </row>
    <row r="513" spans="1:19">
      <c r="A513" s="142"/>
      <c r="B513" s="52"/>
      <c r="C513" s="21">
        <f t="shared" si="80"/>
        <v>1</v>
      </c>
      <c r="D513" s="634"/>
      <c r="E513" s="21">
        <f t="shared" si="81"/>
        <v>0.01</v>
      </c>
      <c r="F513" s="634"/>
      <c r="G513" s="21">
        <f t="shared" si="82"/>
        <v>0.04</v>
      </c>
      <c r="H513" s="634"/>
      <c r="I513" s="21">
        <f t="shared" si="83"/>
        <v>0.06</v>
      </c>
      <c r="J513" s="634"/>
      <c r="K513" s="21">
        <f t="shared" si="84"/>
        <v>1</v>
      </c>
      <c r="L513" s="634"/>
      <c r="M513" s="21">
        <f t="shared" si="85"/>
        <v>1</v>
      </c>
      <c r="N513" s="634"/>
      <c r="O513" s="21">
        <f t="shared" si="86"/>
        <v>1</v>
      </c>
      <c r="P513" s="634"/>
      <c r="Q513" s="21">
        <f t="shared" si="87"/>
        <v>1</v>
      </c>
      <c r="R513" s="21">
        <f t="shared" si="88"/>
        <v>0</v>
      </c>
      <c r="S513" s="308">
        <f t="shared" si="89"/>
        <v>0</v>
      </c>
    </row>
    <row r="514" spans="1:19">
      <c r="A514" s="142"/>
      <c r="B514" s="52"/>
      <c r="C514" s="21">
        <f t="shared" si="80"/>
        <v>1</v>
      </c>
      <c r="D514" s="634"/>
      <c r="E514" s="21">
        <f t="shared" si="81"/>
        <v>0.01</v>
      </c>
      <c r="F514" s="634"/>
      <c r="G514" s="21">
        <f t="shared" si="82"/>
        <v>0.04</v>
      </c>
      <c r="H514" s="634"/>
      <c r="I514" s="21">
        <f t="shared" si="83"/>
        <v>0.06</v>
      </c>
      <c r="J514" s="634"/>
      <c r="K514" s="21">
        <f t="shared" si="84"/>
        <v>1</v>
      </c>
      <c r="L514" s="634"/>
      <c r="M514" s="21">
        <f t="shared" si="85"/>
        <v>1</v>
      </c>
      <c r="N514" s="634"/>
      <c r="O514" s="21">
        <f t="shared" si="86"/>
        <v>1</v>
      </c>
      <c r="P514" s="634"/>
      <c r="Q514" s="21">
        <f t="shared" si="87"/>
        <v>1</v>
      </c>
      <c r="R514" s="21">
        <f t="shared" si="88"/>
        <v>0</v>
      </c>
      <c r="S514" s="308">
        <f t="shared" si="89"/>
        <v>0</v>
      </c>
    </row>
    <row r="515" spans="1:19">
      <c r="A515" s="142"/>
      <c r="B515" s="52"/>
      <c r="C515" s="21">
        <f t="shared" si="80"/>
        <v>1</v>
      </c>
      <c r="D515" s="634"/>
      <c r="E515" s="21">
        <f t="shared" si="81"/>
        <v>0.01</v>
      </c>
      <c r="F515" s="634"/>
      <c r="G515" s="21">
        <f t="shared" si="82"/>
        <v>0.04</v>
      </c>
      <c r="H515" s="634"/>
      <c r="I515" s="21">
        <f t="shared" si="83"/>
        <v>0.06</v>
      </c>
      <c r="J515" s="634"/>
      <c r="K515" s="21">
        <f t="shared" si="84"/>
        <v>1</v>
      </c>
      <c r="L515" s="634"/>
      <c r="M515" s="21">
        <f t="shared" si="85"/>
        <v>1</v>
      </c>
      <c r="N515" s="634"/>
      <c r="O515" s="21">
        <f t="shared" si="86"/>
        <v>1</v>
      </c>
      <c r="P515" s="634"/>
      <c r="Q515" s="21">
        <f t="shared" si="87"/>
        <v>1</v>
      </c>
      <c r="R515" s="21">
        <f t="shared" si="88"/>
        <v>0</v>
      </c>
      <c r="S515" s="308">
        <f t="shared" si="89"/>
        <v>0</v>
      </c>
    </row>
    <row r="516" spans="1:19">
      <c r="A516" s="142"/>
      <c r="B516" s="52"/>
      <c r="C516" s="21">
        <f t="shared" si="80"/>
        <v>1</v>
      </c>
      <c r="D516" s="634"/>
      <c r="E516" s="21">
        <f t="shared" si="81"/>
        <v>0.01</v>
      </c>
      <c r="F516" s="634"/>
      <c r="G516" s="21">
        <f t="shared" si="82"/>
        <v>0.04</v>
      </c>
      <c r="H516" s="634"/>
      <c r="I516" s="21">
        <f t="shared" si="83"/>
        <v>0.06</v>
      </c>
      <c r="J516" s="634"/>
      <c r="K516" s="21">
        <f t="shared" si="84"/>
        <v>1</v>
      </c>
      <c r="L516" s="634"/>
      <c r="M516" s="21">
        <f t="shared" si="85"/>
        <v>1</v>
      </c>
      <c r="N516" s="634"/>
      <c r="O516" s="21">
        <f t="shared" si="86"/>
        <v>1</v>
      </c>
      <c r="P516" s="634"/>
      <c r="Q516" s="21">
        <f t="shared" si="87"/>
        <v>1</v>
      </c>
      <c r="R516" s="21">
        <f t="shared" si="88"/>
        <v>0</v>
      </c>
      <c r="S516" s="308">
        <f t="shared" si="89"/>
        <v>0</v>
      </c>
    </row>
    <row r="517" spans="1:19">
      <c r="A517" s="142"/>
      <c r="B517" s="52"/>
      <c r="C517" s="21">
        <f t="shared" si="80"/>
        <v>1</v>
      </c>
      <c r="D517" s="634"/>
      <c r="E517" s="21">
        <f t="shared" si="81"/>
        <v>0.01</v>
      </c>
      <c r="F517" s="634"/>
      <c r="G517" s="21">
        <f t="shared" si="82"/>
        <v>0.04</v>
      </c>
      <c r="H517" s="634"/>
      <c r="I517" s="21">
        <f t="shared" si="83"/>
        <v>0.06</v>
      </c>
      <c r="J517" s="634"/>
      <c r="K517" s="21">
        <f t="shared" si="84"/>
        <v>1</v>
      </c>
      <c r="L517" s="634"/>
      <c r="M517" s="21">
        <f t="shared" si="85"/>
        <v>1</v>
      </c>
      <c r="N517" s="634"/>
      <c r="O517" s="21">
        <f t="shared" si="86"/>
        <v>1</v>
      </c>
      <c r="P517" s="634"/>
      <c r="Q517" s="21">
        <f t="shared" si="87"/>
        <v>1</v>
      </c>
      <c r="R517" s="21">
        <f t="shared" si="88"/>
        <v>0</v>
      </c>
      <c r="S517" s="308">
        <f t="shared" si="89"/>
        <v>0</v>
      </c>
    </row>
    <row r="518" spans="1:19">
      <c r="A518" s="142"/>
      <c r="B518" s="52"/>
      <c r="C518" s="21">
        <f t="shared" si="80"/>
        <v>1</v>
      </c>
      <c r="D518" s="634"/>
      <c r="E518" s="21">
        <f t="shared" si="81"/>
        <v>0.01</v>
      </c>
      <c r="F518" s="634"/>
      <c r="G518" s="21">
        <f t="shared" si="82"/>
        <v>0.04</v>
      </c>
      <c r="H518" s="634"/>
      <c r="I518" s="21">
        <f t="shared" si="83"/>
        <v>0.06</v>
      </c>
      <c r="J518" s="634"/>
      <c r="K518" s="21">
        <f t="shared" si="84"/>
        <v>1</v>
      </c>
      <c r="L518" s="634"/>
      <c r="M518" s="21">
        <f t="shared" si="85"/>
        <v>1</v>
      </c>
      <c r="N518" s="634"/>
      <c r="O518" s="21">
        <f t="shared" si="86"/>
        <v>1</v>
      </c>
      <c r="P518" s="634"/>
      <c r="Q518" s="21">
        <f t="shared" si="87"/>
        <v>1</v>
      </c>
      <c r="R518" s="21">
        <f t="shared" si="88"/>
        <v>0</v>
      </c>
      <c r="S518" s="308">
        <f t="shared" si="89"/>
        <v>0</v>
      </c>
    </row>
    <row r="519" spans="1:19">
      <c r="A519" s="142"/>
      <c r="B519" s="52"/>
      <c r="C519" s="21">
        <f t="shared" si="80"/>
        <v>1</v>
      </c>
      <c r="D519" s="634"/>
      <c r="E519" s="21">
        <f t="shared" si="81"/>
        <v>0.01</v>
      </c>
      <c r="F519" s="634"/>
      <c r="G519" s="21">
        <f t="shared" si="82"/>
        <v>0.04</v>
      </c>
      <c r="H519" s="634"/>
      <c r="I519" s="21">
        <f t="shared" si="83"/>
        <v>0.06</v>
      </c>
      <c r="J519" s="634"/>
      <c r="K519" s="21">
        <f t="shared" si="84"/>
        <v>1</v>
      </c>
      <c r="L519" s="634"/>
      <c r="M519" s="21">
        <f t="shared" si="85"/>
        <v>1</v>
      </c>
      <c r="N519" s="634"/>
      <c r="O519" s="21">
        <f t="shared" si="86"/>
        <v>1</v>
      </c>
      <c r="P519" s="634"/>
      <c r="Q519" s="21">
        <f t="shared" si="87"/>
        <v>1</v>
      </c>
      <c r="R519" s="21">
        <f t="shared" si="88"/>
        <v>0</v>
      </c>
      <c r="S519" s="308">
        <f t="shared" si="89"/>
        <v>0</v>
      </c>
    </row>
    <row r="520" spans="1:19">
      <c r="A520" s="142"/>
      <c r="B520" s="52"/>
      <c r="C520" s="21">
        <f t="shared" si="80"/>
        <v>1</v>
      </c>
      <c r="D520" s="634"/>
      <c r="E520" s="21">
        <f t="shared" si="81"/>
        <v>0.01</v>
      </c>
      <c r="F520" s="634"/>
      <c r="G520" s="21">
        <f t="shared" si="82"/>
        <v>0.04</v>
      </c>
      <c r="H520" s="634"/>
      <c r="I520" s="21">
        <f t="shared" si="83"/>
        <v>0.06</v>
      </c>
      <c r="J520" s="634"/>
      <c r="K520" s="21">
        <f t="shared" si="84"/>
        <v>1</v>
      </c>
      <c r="L520" s="634"/>
      <c r="M520" s="21">
        <f t="shared" si="85"/>
        <v>1</v>
      </c>
      <c r="N520" s="634"/>
      <c r="O520" s="21">
        <f t="shared" si="86"/>
        <v>1</v>
      </c>
      <c r="P520" s="634"/>
      <c r="Q520" s="21">
        <f t="shared" si="87"/>
        <v>1</v>
      </c>
      <c r="R520" s="21">
        <f t="shared" si="88"/>
        <v>0</v>
      </c>
      <c r="S520" s="308">
        <f t="shared" si="89"/>
        <v>0</v>
      </c>
    </row>
    <row r="521" spans="1:19">
      <c r="A521" s="142"/>
      <c r="B521" s="52"/>
      <c r="C521" s="21">
        <f t="shared" si="80"/>
        <v>1</v>
      </c>
      <c r="D521" s="634"/>
      <c r="E521" s="21">
        <f t="shared" si="81"/>
        <v>0.01</v>
      </c>
      <c r="F521" s="634"/>
      <c r="G521" s="21">
        <f t="shared" si="82"/>
        <v>0.04</v>
      </c>
      <c r="H521" s="634"/>
      <c r="I521" s="21">
        <f t="shared" si="83"/>
        <v>0.06</v>
      </c>
      <c r="J521" s="634"/>
      <c r="K521" s="21">
        <f t="shared" si="84"/>
        <v>1</v>
      </c>
      <c r="L521" s="634"/>
      <c r="M521" s="21">
        <f t="shared" si="85"/>
        <v>1</v>
      </c>
      <c r="N521" s="634"/>
      <c r="O521" s="21">
        <f t="shared" si="86"/>
        <v>1</v>
      </c>
      <c r="P521" s="634"/>
      <c r="Q521" s="21">
        <f t="shared" si="87"/>
        <v>1</v>
      </c>
      <c r="R521" s="21">
        <f t="shared" si="88"/>
        <v>0</v>
      </c>
      <c r="S521" s="308">
        <f t="shared" si="89"/>
        <v>0</v>
      </c>
    </row>
    <row r="522" spans="1:19">
      <c r="A522" s="142"/>
      <c r="B522" s="52"/>
      <c r="C522" s="21">
        <f t="shared" si="80"/>
        <v>1</v>
      </c>
      <c r="D522" s="634"/>
      <c r="E522" s="21">
        <f t="shared" si="81"/>
        <v>0.01</v>
      </c>
      <c r="F522" s="634"/>
      <c r="G522" s="21">
        <f t="shared" si="82"/>
        <v>0.04</v>
      </c>
      <c r="H522" s="634"/>
      <c r="I522" s="21">
        <f t="shared" si="83"/>
        <v>0.06</v>
      </c>
      <c r="J522" s="634"/>
      <c r="K522" s="21">
        <f t="shared" si="84"/>
        <v>1</v>
      </c>
      <c r="L522" s="634"/>
      <c r="M522" s="21">
        <f t="shared" si="85"/>
        <v>1</v>
      </c>
      <c r="N522" s="634"/>
      <c r="O522" s="21">
        <f t="shared" si="86"/>
        <v>1</v>
      </c>
      <c r="P522" s="634"/>
      <c r="Q522" s="21">
        <f t="shared" si="87"/>
        <v>1</v>
      </c>
      <c r="R522" s="21">
        <f t="shared" si="88"/>
        <v>0</v>
      </c>
      <c r="S522" s="308">
        <f t="shared" si="89"/>
        <v>0</v>
      </c>
    </row>
    <row r="523" spans="1:19">
      <c r="A523" s="142"/>
      <c r="B523" s="52"/>
      <c r="C523" s="21">
        <f t="shared" si="80"/>
        <v>1</v>
      </c>
      <c r="D523" s="634"/>
      <c r="E523" s="21">
        <f t="shared" si="81"/>
        <v>0.01</v>
      </c>
      <c r="F523" s="634"/>
      <c r="G523" s="21">
        <f t="shared" si="82"/>
        <v>0.04</v>
      </c>
      <c r="H523" s="634"/>
      <c r="I523" s="21">
        <f t="shared" si="83"/>
        <v>0.06</v>
      </c>
      <c r="J523" s="634"/>
      <c r="K523" s="21">
        <f t="shared" si="84"/>
        <v>1</v>
      </c>
      <c r="L523" s="634"/>
      <c r="M523" s="21">
        <f t="shared" si="85"/>
        <v>1</v>
      </c>
      <c r="N523" s="634"/>
      <c r="O523" s="21">
        <f t="shared" si="86"/>
        <v>1</v>
      </c>
      <c r="P523" s="634"/>
      <c r="Q523" s="21">
        <f t="shared" si="87"/>
        <v>1</v>
      </c>
      <c r="R523" s="21">
        <f t="shared" si="88"/>
        <v>0</v>
      </c>
      <c r="S523" s="308">
        <f t="shared" si="89"/>
        <v>0</v>
      </c>
    </row>
    <row r="524" spans="1:19">
      <c r="A524" s="142"/>
      <c r="B524" s="52"/>
      <c r="C524" s="21">
        <f t="shared" si="80"/>
        <v>1</v>
      </c>
      <c r="D524" s="634"/>
      <c r="E524" s="21">
        <f t="shared" si="81"/>
        <v>0.01</v>
      </c>
      <c r="F524" s="634"/>
      <c r="G524" s="21">
        <f t="shared" si="82"/>
        <v>0.04</v>
      </c>
      <c r="H524" s="634"/>
      <c r="I524" s="21">
        <f t="shared" si="83"/>
        <v>0.06</v>
      </c>
      <c r="J524" s="634"/>
      <c r="K524" s="21">
        <f t="shared" si="84"/>
        <v>1</v>
      </c>
      <c r="L524" s="634"/>
      <c r="M524" s="21">
        <f t="shared" si="85"/>
        <v>1</v>
      </c>
      <c r="N524" s="634"/>
      <c r="O524" s="21">
        <f t="shared" si="86"/>
        <v>1</v>
      </c>
      <c r="P524" s="634"/>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1261</v>
      </c>
      <c r="B1" s="645"/>
      <c r="C1" s="1618" t="s">
        <v>673</v>
      </c>
      <c r="D1" s="645"/>
      <c r="E1" s="645"/>
      <c r="F1" s="1619" t="s">
        <v>1262</v>
      </c>
      <c r="G1" s="1451" t="s">
        <v>3592</v>
      </c>
      <c r="H1" s="1619" t="str">
        <f>IF(G1="现房","——","估价对象范围")</f>
        <v>——</v>
      </c>
      <c r="I1" s="1620" t="s">
        <v>3593</v>
      </c>
    </row>
    <row r="2" spans="1:12" ht="21.75" customHeight="1" thickBot="1">
      <c r="A2" s="3290" t="str">
        <f>项目基本情况!S2</f>
        <v>北京市房地产</v>
      </c>
      <c r="B2" s="3291"/>
      <c r="C2" s="3291"/>
      <c r="D2" s="3291"/>
      <c r="E2" s="3291"/>
      <c r="F2" s="3291"/>
      <c r="G2" s="3291"/>
      <c r="H2" s="3291"/>
      <c r="I2" s="3292"/>
    </row>
    <row r="3" spans="1:12" ht="12.75">
      <c r="A3" s="3294" t="s">
        <v>1263</v>
      </c>
      <c r="B3" s="3295"/>
      <c r="C3" s="3295"/>
      <c r="D3" s="3295"/>
      <c r="E3" s="3295"/>
      <c r="F3" s="3295"/>
      <c r="G3" s="3295"/>
      <c r="H3" s="3295"/>
      <c r="I3" s="3295"/>
    </row>
    <row r="4" spans="1:12" ht="14.25">
      <c r="A4" s="1622" t="s">
        <v>1264</v>
      </c>
      <c r="B4" s="1623" t="s">
        <v>1265</v>
      </c>
      <c r="C4" s="1624" t="s">
        <v>3626</v>
      </c>
      <c r="D4" s="1624" t="s">
        <v>3587</v>
      </c>
      <c r="E4" s="3296" t="s">
        <v>1266</v>
      </c>
      <c r="F4" s="3297"/>
      <c r="G4" s="3297"/>
      <c r="H4" s="3297"/>
      <c r="I4" s="3298"/>
      <c r="K4" s="138" t="str">
        <f>IF(ISNUMBER(FIND("比较法",结果表商业!C4)),"比较法",IF(ISNUMBER(FIND("成本法",结果表商业!C4)),"成本法",IF(ISNUMBER(FIND("假设开发法",结果表商业!C4)),"假设开发法",IF(ISNUMBER(FIND("收益法",结果表商业!C4)),"收益法","基准地价系数修正法"))))</f>
        <v>比较法</v>
      </c>
      <c r="L4" s="138"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70" t="s">
        <v>1267</v>
      </c>
      <c r="B5" s="3257">
        <v>25</v>
      </c>
      <c r="C5" s="3273"/>
      <c r="D5" s="3293"/>
      <c r="E5" s="123" t="s">
        <v>1268</v>
      </c>
      <c r="F5" s="1625"/>
      <c r="G5" s="1625"/>
      <c r="H5" s="1625"/>
      <c r="I5" s="1279"/>
    </row>
    <row r="6" spans="1:12" ht="12.75">
      <c r="A6" s="3270"/>
      <c r="B6" s="3257"/>
      <c r="C6" s="3274"/>
      <c r="D6" s="3293"/>
      <c r="E6" s="123" t="s">
        <v>1269</v>
      </c>
      <c r="F6" s="1625"/>
      <c r="G6" s="1625"/>
      <c r="H6" s="1625"/>
      <c r="I6" s="1279"/>
    </row>
    <row r="7" spans="1:12" ht="12.75">
      <c r="A7" s="3270"/>
      <c r="B7" s="3257"/>
      <c r="C7" s="3275"/>
      <c r="D7" s="3293"/>
      <c r="E7" s="123" t="s">
        <v>1270</v>
      </c>
      <c r="F7" s="1625"/>
      <c r="G7" s="1625"/>
      <c r="H7" s="1625"/>
      <c r="I7" s="1279"/>
    </row>
    <row r="8" spans="1:12" ht="12.75">
      <c r="A8" s="3270" t="s">
        <v>1271</v>
      </c>
      <c r="B8" s="3257">
        <v>15</v>
      </c>
      <c r="C8" s="3273"/>
      <c r="D8" s="3293"/>
      <c r="E8" s="123" t="s">
        <v>1272</v>
      </c>
      <c r="F8" s="1625"/>
      <c r="G8" s="1625"/>
      <c r="H8" s="1625"/>
      <c r="I8" s="1279"/>
    </row>
    <row r="9" spans="1:12" ht="12.75">
      <c r="A9" s="3270"/>
      <c r="B9" s="3257"/>
      <c r="C9" s="3275"/>
      <c r="D9" s="3293"/>
      <c r="E9" s="123" t="s">
        <v>1273</v>
      </c>
      <c r="F9" s="1625"/>
      <c r="G9" s="1625"/>
      <c r="H9" s="1625"/>
      <c r="I9" s="1279"/>
    </row>
    <row r="10" spans="1:12" ht="12.75">
      <c r="A10" s="3270" t="s">
        <v>1274</v>
      </c>
      <c r="B10" s="3257">
        <v>15</v>
      </c>
      <c r="C10" s="3273"/>
      <c r="D10" s="3293"/>
      <c r="E10" s="123" t="s">
        <v>1275</v>
      </c>
      <c r="F10" s="1625"/>
      <c r="G10" s="1625"/>
      <c r="H10" s="1625"/>
      <c r="I10" s="1279"/>
    </row>
    <row r="11" spans="1:12" ht="12.75">
      <c r="A11" s="3270"/>
      <c r="B11" s="3257"/>
      <c r="C11" s="3275"/>
      <c r="D11" s="3293"/>
      <c r="E11" s="123" t="s">
        <v>1276</v>
      </c>
      <c r="F11" s="1625"/>
      <c r="G11" s="1625"/>
      <c r="H11" s="1625"/>
      <c r="I11" s="1279"/>
    </row>
    <row r="12" spans="1:12" ht="12.75">
      <c r="A12" s="3270" t="s">
        <v>1277</v>
      </c>
      <c r="B12" s="3257">
        <v>15</v>
      </c>
      <c r="C12" s="3273"/>
      <c r="D12" s="3293"/>
      <c r="E12" s="123" t="s">
        <v>1278</v>
      </c>
      <c r="F12" s="1625"/>
      <c r="G12" s="1625"/>
      <c r="H12" s="1625"/>
      <c r="I12" s="1279"/>
    </row>
    <row r="13" spans="1:12" ht="12.75">
      <c r="A13" s="3270"/>
      <c r="B13" s="3257"/>
      <c r="C13" s="3275"/>
      <c r="D13" s="3293"/>
      <c r="E13" s="123" t="s">
        <v>1279</v>
      </c>
      <c r="F13" s="1625"/>
      <c r="G13" s="1625"/>
      <c r="H13" s="1625"/>
      <c r="I13" s="1279"/>
    </row>
    <row r="14" spans="1:12" ht="12.75">
      <c r="A14" s="3270" t="s">
        <v>1280</v>
      </c>
      <c r="B14" s="3257">
        <v>30</v>
      </c>
      <c r="C14" s="3273">
        <v>6</v>
      </c>
      <c r="D14" s="3293">
        <v>4</v>
      </c>
      <c r="E14" s="123" t="s">
        <v>1281</v>
      </c>
      <c r="F14" s="1625"/>
      <c r="G14" s="1625"/>
      <c r="H14" s="1625"/>
      <c r="I14" s="1279"/>
    </row>
    <row r="15" spans="1:12" ht="12.75">
      <c r="A15" s="3270"/>
      <c r="B15" s="3257"/>
      <c r="C15" s="3274"/>
      <c r="D15" s="3293"/>
      <c r="E15" s="123" t="s">
        <v>1282</v>
      </c>
      <c r="F15" s="1625"/>
      <c r="G15" s="1625"/>
      <c r="H15" s="1625"/>
      <c r="I15" s="1279"/>
    </row>
    <row r="16" spans="1:12" ht="12.75">
      <c r="A16" s="3270"/>
      <c r="B16" s="3257"/>
      <c r="C16" s="3275"/>
      <c r="D16" s="3293"/>
      <c r="E16" s="123" t="s">
        <v>1283</v>
      </c>
      <c r="F16" s="1625"/>
      <c r="G16" s="1625"/>
      <c r="H16" s="1625"/>
      <c r="I16" s="1279"/>
    </row>
    <row r="17" spans="1:36" ht="15">
      <c r="A17" s="1626" t="s">
        <v>1284</v>
      </c>
      <c r="B17" s="54"/>
      <c r="C17" s="124">
        <f>SUM(C5:C16)</f>
        <v>6</v>
      </c>
      <c r="D17" s="124">
        <f>SUM(D5:D16)</f>
        <v>4</v>
      </c>
      <c r="E17" s="121"/>
      <c r="F17" s="121"/>
      <c r="G17" s="121"/>
      <c r="H17" s="121"/>
      <c r="I17" s="121"/>
      <c r="K17" s="294"/>
      <c r="L17" s="294" t="s">
        <v>1285</v>
      </c>
      <c r="M17" s="294" t="s">
        <v>1286</v>
      </c>
    </row>
    <row r="18" spans="1:36" ht="31.9" customHeight="1" thickBot="1">
      <c r="A18" s="1627" t="s">
        <v>1287</v>
      </c>
      <c r="B18" s="1540"/>
      <c r="C18" s="125">
        <f>ROUND(C17/SUM(C17:D17),2)</f>
        <v>0.6</v>
      </c>
      <c r="D18" s="125">
        <f>1-C18</f>
        <v>0.4</v>
      </c>
      <c r="E18" s="3280" t="s">
        <v>2126</v>
      </c>
      <c r="F18" s="3281"/>
      <c r="G18" s="3281"/>
      <c r="H18" s="3281"/>
      <c r="I18" s="3281"/>
      <c r="K18" s="294" t="s">
        <v>1288</v>
      </c>
      <c r="L18" s="294">
        <f>IF(C1="",'数据-汇总表'!E3,SUMIF(项目类型,C1,'数据-汇总表'!E17:E26)+SUMIF(项目类型,C1,'数据-汇总表'!I17:I26))</f>
        <v>282.85000000000002</v>
      </c>
      <c r="M18" s="294">
        <f>IF(C1="",'数据-汇总表'!E3,SUMIF(项目类型,C1,'数据-汇总表'!E17:E26))</f>
        <v>282.85000000000002</v>
      </c>
    </row>
    <row r="19" spans="1:36" ht="15">
      <c r="A19" s="1628" t="s">
        <v>1289</v>
      </c>
      <c r="B19" s="1629" t="s">
        <v>1290</v>
      </c>
      <c r="C19" s="126">
        <f ca="1">SUMIF(INDIRECT("'"&amp;C4&amp;"'"&amp;"!A:A"),结果表商业!B19,INDIRECT("'"&amp;C4&amp;"'"&amp;"!B:B"))</f>
        <v>2631.8344000000002</v>
      </c>
      <c r="D19" s="127">
        <f ca="1">SUMIF(INDIRECT("'"&amp;D4&amp;"'"&amp;"!A:A"),结果表商业!B19,INDIRECT("'"&amp;D4&amp;"'"&amp;"!B:B"))</f>
        <v>1688.8629000000001</v>
      </c>
      <c r="E19" s="1628" t="s">
        <v>1291</v>
      </c>
      <c r="F19" s="1629" t="s">
        <v>1290</v>
      </c>
      <c r="G19" s="128">
        <f ca="1">ROUND(C19*$C$18+D19*$D$18,0)</f>
        <v>2255</v>
      </c>
      <c r="H19" s="1630" t="s">
        <v>1292</v>
      </c>
      <c r="I19" s="121"/>
      <c r="K19" s="294" t="s">
        <v>1293</v>
      </c>
      <c r="L19" s="294">
        <f>IF(C1="",'数据-汇总表'!D3,SUMIF(项目类型,C1,'数据-汇总表'!D17:D26)+SUMIF(项目类型,C1,'数据-汇总表'!H17:H27))</f>
        <v>1727.44</v>
      </c>
      <c r="M19" s="294">
        <f>IF(C1="",'数据-汇总表'!D3,SUMIF(项目类型,C1,'数据-汇总表'!D17:D26))</f>
        <v>1727.44</v>
      </c>
    </row>
    <row r="20" spans="1:36" ht="15">
      <c r="A20" s="1631"/>
      <c r="B20" s="43" t="s">
        <v>1294</v>
      </c>
      <c r="C20" s="129">
        <f ca="1">SUMIF(INDIRECT("'"&amp;C4&amp;"'"&amp;"!A:A"),结果表商业!B20,INDIRECT("'"&amp;C4&amp;"'"&amp;"!B:B"))</f>
        <v>93047</v>
      </c>
      <c r="D20" s="130">
        <f ca="1">SUMIF(INDIRECT("'"&amp;D4&amp;"'"&amp;"!A:A"),结果表商业!B20,INDIRECT("'"&amp;D4&amp;"'"&amp;"!B:B"))</f>
        <v>59709</v>
      </c>
      <c r="E20" s="1631"/>
      <c r="F20" s="43" t="s">
        <v>1294</v>
      </c>
      <c r="G20" s="131">
        <f ca="1">ROUND(C20*$C$18+D20*$D$18,0)</f>
        <v>79712</v>
      </c>
      <c r="H20" s="759" t="s">
        <v>1295</v>
      </c>
      <c r="I20" s="121"/>
    </row>
    <row r="21" spans="1:36" ht="15" customHeight="1" thickBot="1">
      <c r="A21" s="449"/>
      <c r="B21" s="93" t="s">
        <v>1296</v>
      </c>
      <c r="C21" s="677">
        <f ca="1">ROUND(C19*10000/L19,0)</f>
        <v>15235</v>
      </c>
      <c r="D21" s="678">
        <f ca="1">ROUND(D19*10000/L19,0)</f>
        <v>9777</v>
      </c>
      <c r="E21" s="449"/>
      <c r="F21" s="93" t="s">
        <v>1296</v>
      </c>
      <c r="G21" s="132">
        <f ca="1">ROUND(G19*10000/L19,0)</f>
        <v>13054</v>
      </c>
      <c r="H21" s="1632" t="s">
        <v>1295</v>
      </c>
      <c r="I21" s="121"/>
    </row>
    <row r="22" spans="1:36" ht="15.75" thickBot="1">
      <c r="A22" s="1562" t="s">
        <v>1297</v>
      </c>
      <c r="B22" s="1633"/>
      <c r="C22" s="1634"/>
      <c r="D22" s="679">
        <f ca="1">IF(C19&lt;D19,D19/C19-1,C19/D19-1)</f>
        <v>0.55834698008938455</v>
      </c>
      <c r="E22" s="121"/>
      <c r="F22" s="121"/>
      <c r="G22" s="121"/>
      <c r="H22" s="121"/>
      <c r="I22" s="121"/>
      <c r="K22" s="738">
        <v>103175</v>
      </c>
    </row>
    <row r="23" spans="1:36" ht="13.5" thickBot="1">
      <c r="A23" s="645"/>
      <c r="B23" s="645"/>
      <c r="C23" s="645"/>
      <c r="D23" s="645"/>
      <c r="E23" s="121"/>
      <c r="F23" s="121"/>
      <c r="G23" s="121"/>
      <c r="H23" s="121"/>
      <c r="I23" s="121"/>
    </row>
    <row r="24" spans="1:36" ht="14.25">
      <c r="A24" s="3264" t="s">
        <v>1298</v>
      </c>
      <c r="B24" s="1629" t="s">
        <v>1290</v>
      </c>
      <c r="C24" s="128">
        <f>IF(B30=0,0,D30)</f>
        <v>0</v>
      </c>
      <c r="D24" s="1635"/>
      <c r="E24" s="121"/>
      <c r="F24" s="121"/>
      <c r="G24" s="121"/>
      <c r="H24" s="121"/>
      <c r="I24" s="121"/>
    </row>
    <row r="25" spans="1:36" ht="14.25">
      <c r="A25" s="3265"/>
      <c r="B25" s="43" t="s">
        <v>1294</v>
      </c>
      <c r="C25" s="133">
        <f>IF(B30=0,0,C30)</f>
        <v>0</v>
      </c>
      <c r="D25" s="1636"/>
      <c r="E25" s="121"/>
      <c r="F25" s="121"/>
      <c r="G25" s="121"/>
      <c r="H25" s="121"/>
      <c r="I25" s="121"/>
    </row>
    <row r="26" spans="1:36" ht="13.5" customHeight="1">
      <c r="A26" s="1637" t="s">
        <v>1299</v>
      </c>
      <c r="B26" s="134" t="s">
        <v>1300</v>
      </c>
      <c r="C26" s="134" t="s">
        <v>1301</v>
      </c>
      <c r="D26" s="135" t="s">
        <v>1302</v>
      </c>
      <c r="E26" s="121"/>
      <c r="F26" s="121"/>
      <c r="G26" s="121"/>
      <c r="H26" s="121"/>
      <c r="I26" s="121"/>
    </row>
    <row r="27" spans="1:36" ht="14.25">
      <c r="A27" s="1637"/>
      <c r="B27" s="134">
        <v>0</v>
      </c>
      <c r="C27" s="134">
        <v>0</v>
      </c>
      <c r="D27" s="135">
        <f>ROUND(C27*B27/10000,0)</f>
        <v>0</v>
      </c>
      <c r="E27" s="121"/>
      <c r="F27" s="121"/>
      <c r="G27" s="121"/>
      <c r="H27" s="121"/>
      <c r="I27" s="121"/>
      <c r="K27" s="683">
        <v>48662</v>
      </c>
    </row>
    <row r="28" spans="1:36" ht="14.25">
      <c r="A28" s="1637"/>
      <c r="B28" s="134"/>
      <c r="C28" s="134"/>
      <c r="D28" s="135"/>
      <c r="E28" s="121"/>
      <c r="F28" s="121"/>
      <c r="G28" s="121"/>
      <c r="H28" s="121"/>
      <c r="I28" s="121"/>
      <c r="K28" s="683">
        <v>53742</v>
      </c>
      <c r="L28" s="683">
        <f>(K27-K28)/K28</f>
        <v>-9.4525696847902949E-2</v>
      </c>
    </row>
    <row r="29" spans="1:36" ht="14.25">
      <c r="A29" s="1637"/>
      <c r="B29" s="134"/>
      <c r="C29" s="134"/>
      <c r="D29" s="135"/>
      <c r="E29" s="121"/>
      <c r="F29" s="121"/>
      <c r="G29" s="121"/>
      <c r="H29" s="121"/>
      <c r="I29" s="121"/>
    </row>
    <row r="30" spans="1:36" ht="15" thickBot="1">
      <c r="A30" s="134" t="s">
        <v>1303</v>
      </c>
      <c r="B30" s="134"/>
      <c r="C30" s="134"/>
      <c r="D30" s="134"/>
      <c r="E30" s="2125" t="s">
        <v>2127</v>
      </c>
      <c r="F30" s="121"/>
      <c r="G30" s="121"/>
      <c r="H30" s="121"/>
      <c r="I30" s="121"/>
    </row>
    <row r="31" spans="1:36" s="2131" customFormat="1" ht="26.45" customHeight="1" thickTop="1" thickBot="1">
      <c r="A31" s="2126"/>
      <c r="B31" s="2127"/>
      <c r="C31" s="2127"/>
      <c r="D31" s="2127"/>
      <c r="E31" s="2127"/>
      <c r="F31" s="2127"/>
      <c r="G31" s="2127"/>
      <c r="H31" s="2127"/>
      <c r="I31" s="2128" t="s">
        <v>2128</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1304</v>
      </c>
      <c r="B32" s="1533"/>
      <c r="C32" s="136">
        <f ca="1">IF(D32="总价",G19-C24,G20-C25)</f>
        <v>79712</v>
      </c>
      <c r="D32" s="1639"/>
      <c r="E32" s="121"/>
      <c r="F32" s="121"/>
      <c r="G32" s="121"/>
      <c r="H32" s="121"/>
      <c r="I32" s="121"/>
    </row>
    <row r="33" spans="1:15" ht="15">
      <c r="A33" s="739" t="s">
        <v>1305</v>
      </c>
      <c r="B33" s="123"/>
      <c r="C33" s="1640" t="s">
        <v>3608</v>
      </c>
      <c r="D33" s="1641"/>
      <c r="E33" s="1642" t="s">
        <v>1306</v>
      </c>
      <c r="F33" s="1643" t="str">
        <f>IF(D32="楼面单价","取值（单价）","取值（总价）")</f>
        <v>取值（总价）</v>
      </c>
      <c r="G33" s="121"/>
      <c r="H33" s="121"/>
      <c r="I33" s="121"/>
    </row>
    <row r="34" spans="1:15" ht="15">
      <c r="A34" s="1644"/>
      <c r="B34" s="1645" t="s">
        <v>1307</v>
      </c>
      <c r="C34" s="140"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2"/>
      <c r="G34" s="121"/>
      <c r="H34" s="121"/>
      <c r="I34" s="121"/>
    </row>
    <row r="35" spans="1:15" ht="15.75" thickBot="1">
      <c r="A35" s="1647"/>
      <c r="B35" s="1648" t="s">
        <v>1309</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1310</v>
      </c>
      <c r="F35" s="146"/>
      <c r="G35" s="121"/>
      <c r="H35" s="121"/>
      <c r="I35" s="121"/>
    </row>
    <row r="36" spans="1:15" ht="15.75" thickBot="1">
      <c r="A36" s="3284" t="s">
        <v>1311</v>
      </c>
      <c r="B36" s="1650" t="s">
        <v>1312</v>
      </c>
      <c r="C36" s="137"/>
      <c r="D36" s="1651"/>
      <c r="E36" s="1565"/>
      <c r="F36" s="1652"/>
      <c r="G36" s="121"/>
      <c r="H36" s="121"/>
      <c r="I36" s="121"/>
    </row>
    <row r="37" spans="1:15" ht="15.75" thickBot="1">
      <c r="A37" s="3285"/>
      <c r="B37" s="1553" t="s">
        <v>1313</v>
      </c>
      <c r="C37" s="139"/>
      <c r="D37" s="1070"/>
      <c r="E37" s="1070"/>
      <c r="F37" s="1652"/>
      <c r="G37" s="121"/>
      <c r="H37" s="121"/>
      <c r="I37" s="121"/>
    </row>
    <row r="38" spans="1:15" ht="15.75" thickBot="1">
      <c r="A38" s="3286"/>
      <c r="B38" s="1653" t="s">
        <v>1314</v>
      </c>
      <c r="C38" s="640"/>
      <c r="D38" s="1654" t="s">
        <v>1315</v>
      </c>
      <c r="E38" s="1070"/>
      <c r="F38" s="1652"/>
      <c r="G38" s="121"/>
      <c r="H38" s="121"/>
      <c r="I38" s="121"/>
    </row>
    <row r="39" spans="1:15" ht="15">
      <c r="A39" s="1631" t="s">
        <v>1316</v>
      </c>
      <c r="B39" s="1655" t="s">
        <v>1317</v>
      </c>
      <c r="C39" s="1656" t="s">
        <v>1301</v>
      </c>
      <c r="D39" s="1656" t="s">
        <v>1319</v>
      </c>
      <c r="E39" s="1657" t="s">
        <v>1302</v>
      </c>
      <c r="F39" s="1652"/>
      <c r="G39" s="121"/>
      <c r="H39" s="121"/>
      <c r="I39" s="121"/>
    </row>
    <row r="40" spans="1:15" ht="14.25">
      <c r="A40" s="1658" t="s">
        <v>1321</v>
      </c>
      <c r="B40" s="141"/>
      <c r="C40" s="142"/>
      <c r="D40" s="142"/>
      <c r="E40" s="143"/>
      <c r="F40" s="1652"/>
      <c r="G40" s="121"/>
      <c r="H40" s="121"/>
      <c r="I40" s="121"/>
    </row>
    <row r="41" spans="1:15" ht="14.25">
      <c r="A41" s="1658" t="s">
        <v>1322</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1323</v>
      </c>
      <c r="B44" s="1662"/>
      <c r="C44" s="1662"/>
      <c r="D44" s="1663"/>
      <c r="E44" s="1663"/>
      <c r="F44" s="1664"/>
      <c r="G44" s="1664"/>
      <c r="H44" s="1664"/>
      <c r="I44" s="1664"/>
      <c r="J44" s="1665" t="s">
        <v>1324</v>
      </c>
      <c r="K44" s="4"/>
      <c r="L44" s="4"/>
      <c r="M44" s="4"/>
      <c r="N44" s="4"/>
      <c r="O44" s="4"/>
    </row>
    <row r="45" spans="1:15" ht="14.25" customHeight="1" thickBot="1">
      <c r="A45" s="3261" t="s">
        <v>1325</v>
      </c>
      <c r="B45" s="3262"/>
      <c r="C45" s="3263"/>
      <c r="D45" s="147" t="e">
        <f ca="1">ROUND(H101*F45,0)</f>
        <v>#REF!</v>
      </c>
      <c r="E45" s="148" t="s">
        <v>1326</v>
      </c>
      <c r="F45" s="149">
        <v>1</v>
      </c>
      <c r="G45" s="150" t="s">
        <v>1327</v>
      </c>
      <c r="H45" s="121"/>
      <c r="I45" s="121"/>
      <c r="J45" s="3339" t="s">
        <v>1328</v>
      </c>
      <c r="K45" s="3339"/>
      <c r="L45" s="3339"/>
      <c r="M45" s="3339"/>
      <c r="N45" s="3339"/>
      <c r="O45" s="3339"/>
    </row>
    <row r="46" spans="1:15" ht="14.25" customHeight="1">
      <c r="A46" s="3258" t="s">
        <v>1329</v>
      </c>
      <c r="B46" s="3259"/>
      <c r="C46" s="3259"/>
      <c r="D46" s="3259"/>
      <c r="E46" s="3259"/>
      <c r="F46" s="3259"/>
      <c r="G46" s="3260"/>
      <c r="H46" s="1666"/>
      <c r="I46" s="151"/>
      <c r="J46" s="2308">
        <v>1</v>
      </c>
      <c r="K46" s="3320" t="s">
        <v>1330</v>
      </c>
      <c r="L46" s="3320"/>
      <c r="M46" s="3340"/>
      <c r="N46" s="3340"/>
      <c r="O46" s="3340"/>
    </row>
    <row r="47" spans="1:15" ht="12" customHeight="1">
      <c r="A47" s="152" t="s">
        <v>1331</v>
      </c>
      <c r="B47" s="153"/>
      <c r="C47" s="154"/>
      <c r="D47" s="1023" t="s">
        <v>1332</v>
      </c>
      <c r="E47" s="294" t="s">
        <v>1333</v>
      </c>
      <c r="F47" s="155" t="s">
        <v>1334</v>
      </c>
      <c r="G47" s="2331" t="s">
        <v>1335</v>
      </c>
      <c r="H47" s="2332"/>
      <c r="I47" s="151"/>
      <c r="J47" s="2308">
        <v>2</v>
      </c>
      <c r="K47" s="3320" t="s">
        <v>1336</v>
      </c>
      <c r="L47" s="3320"/>
      <c r="M47" s="3341">
        <f>'数据-取费表'!B2</f>
        <v>45065</v>
      </c>
      <c r="N47" s="3341"/>
      <c r="O47" s="3341"/>
    </row>
    <row r="48" spans="1:15" ht="25.5">
      <c r="A48" s="3289" t="s">
        <v>1337</v>
      </c>
      <c r="B48" s="3272"/>
      <c r="C48" s="3272"/>
      <c r="D48" s="12" t="b">
        <f>IF(H48="情况1",0,IF(H48="情况2",D52,IF(H48="情况3",D53,IF(H48="情况4",D54))))</f>
        <v>0</v>
      </c>
      <c r="E48" s="1254" t="str">
        <f>IF(H48="情况4","(销售额-原购置价)×税（费）率","销售额×税（费）率")</f>
        <v>销售额×税（费）率</v>
      </c>
      <c r="F48" s="2333">
        <f>IF(H48="情况1","免征",'数据-取费表'!B41)</f>
        <v>5.6000000000000001E-2</v>
      </c>
      <c r="G48" s="2334" t="s">
        <v>1338</v>
      </c>
      <c r="H48" s="2335"/>
      <c r="I48" s="1666"/>
      <c r="J48" s="2308">
        <v>3</v>
      </c>
      <c r="K48" s="3320" t="s">
        <v>1339</v>
      </c>
      <c r="L48" s="3320"/>
      <c r="M48" s="3342" t="e">
        <f ca="1">H101</f>
        <v>#REF!</v>
      </c>
      <c r="N48" s="3342"/>
      <c r="O48" s="3342"/>
    </row>
    <row r="49" spans="1:35" ht="25.5" customHeight="1">
      <c r="A49" s="2150" t="s">
        <v>1340</v>
      </c>
      <c r="B49" s="3256" t="s">
        <v>1341</v>
      </c>
      <c r="C49" s="3256"/>
      <c r="D49" s="1476">
        <v>0</v>
      </c>
      <c r="E49" s="316" t="s">
        <v>1342</v>
      </c>
      <c r="F49" s="2231" t="s">
        <v>28</v>
      </c>
      <c r="G49" s="3326"/>
      <c r="H49" s="2132" t="s">
        <v>2129</v>
      </c>
      <c r="I49" s="2133"/>
      <c r="J49" s="2308">
        <v>4</v>
      </c>
      <c r="K49" s="3320" t="str">
        <f>IF(项目基本情况!E8="房地产抵押价值","房地产抵押价值","抵押担保权已注销时的房地产抵押价值")</f>
        <v>抵押担保权已注销时的房地产抵押价值</v>
      </c>
      <c r="L49" s="3320"/>
      <c r="M49" s="3342" t="str">
        <f>IF(项目基本情况!E8="房地产抵押价值",H107,H109)</f>
        <v>——</v>
      </c>
      <c r="N49" s="3342"/>
      <c r="O49" s="3342"/>
    </row>
    <row r="50" spans="1:35" ht="25.5" customHeight="1">
      <c r="A50" s="2336"/>
      <c r="B50" s="3256" t="s">
        <v>1343</v>
      </c>
      <c r="C50" s="3256"/>
      <c r="D50" s="2187"/>
      <c r="E50" s="323"/>
      <c r="F50" s="2231"/>
      <c r="G50" s="3327"/>
      <c r="H50" s="2134" t="s">
        <v>2130</v>
      </c>
      <c r="I50" s="2133"/>
      <c r="J50" s="3339" t="s">
        <v>1344</v>
      </c>
      <c r="K50" s="3339"/>
      <c r="L50" s="3339"/>
      <c r="M50" s="3339"/>
      <c r="N50" s="3339"/>
      <c r="O50" s="3339"/>
    </row>
    <row r="51" spans="1:35" ht="20.45" customHeight="1">
      <c r="A51" s="2337"/>
      <c r="B51" s="3256" t="s">
        <v>1345</v>
      </c>
      <c r="C51" s="3256"/>
      <c r="D51" s="1023"/>
      <c r="E51" s="319"/>
      <c r="F51" s="2231"/>
      <c r="G51" s="3328"/>
      <c r="H51" s="2134" t="s">
        <v>2131</v>
      </c>
      <c r="I51" s="2133"/>
      <c r="J51" s="2309" t="s">
        <v>1346</v>
      </c>
      <c r="K51" s="3320" t="s">
        <v>1347</v>
      </c>
      <c r="L51" s="3320"/>
      <c r="M51" s="2309" t="s">
        <v>1348</v>
      </c>
      <c r="N51" s="2309" t="s">
        <v>1349</v>
      </c>
      <c r="O51" s="2309" t="s">
        <v>1350</v>
      </c>
    </row>
    <row r="52" spans="1:35" ht="24" customHeight="1">
      <c r="A52" s="2151" t="s">
        <v>1351</v>
      </c>
      <c r="B52" s="3256" t="s">
        <v>1352</v>
      </c>
      <c r="C52" s="3256"/>
      <c r="D52" s="1023" t="e">
        <f ca="1">ROUND(D45*'数据-取费表'!B41/(1+'数据-取费表'!C42),0)</f>
        <v>#REF!</v>
      </c>
      <c r="E52" s="1254" t="s">
        <v>1353</v>
      </c>
      <c r="F52" s="2338">
        <f>'数据-取费表'!B41</f>
        <v>5.6000000000000001E-2</v>
      </c>
      <c r="G52" s="2339"/>
      <c r="H52" s="2329"/>
      <c r="I52" s="1667"/>
      <c r="J52" s="2308">
        <v>1</v>
      </c>
      <c r="K52" s="3321" t="s">
        <v>1354</v>
      </c>
      <c r="L52" s="3321"/>
      <c r="M52" s="2310" t="b">
        <f>D48</f>
        <v>0</v>
      </c>
      <c r="N52" s="2308" t="str">
        <f>E48</f>
        <v>销售额×税（费）率</v>
      </c>
      <c r="O52" s="2311">
        <f>F48</f>
        <v>5.6000000000000001E-2</v>
      </c>
    </row>
    <row r="53" spans="1:35" ht="12" customHeight="1">
      <c r="A53" s="2151" t="s">
        <v>1355</v>
      </c>
      <c r="B53" s="3282" t="s">
        <v>2282</v>
      </c>
      <c r="C53" s="3283"/>
      <c r="D53" s="1023" t="e">
        <f ca="1">ROUND(D45*'数据-取费表'!B41/(1+'数据-取费表'!C42),0)</f>
        <v>#REF!</v>
      </c>
      <c r="E53" s="1254" t="s">
        <v>1353</v>
      </c>
      <c r="F53" s="2338">
        <f>'数据-取费表'!B41</f>
        <v>5.6000000000000001E-2</v>
      </c>
      <c r="G53" s="2339"/>
      <c r="H53" s="2329"/>
      <c r="I53" s="1667"/>
      <c r="J53" s="2308">
        <v>2</v>
      </c>
      <c r="K53" s="3321" t="s">
        <v>1356</v>
      </c>
      <c r="L53" s="3321"/>
      <c r="M53" s="2310" t="e">
        <f t="shared" ref="M53:O54" ca="1" si="0">D55</f>
        <v>#REF!</v>
      </c>
      <c r="N53" s="2308" t="str">
        <f t="shared" si="0"/>
        <v>销售额×税（费）率</v>
      </c>
      <c r="O53" s="2311" t="str">
        <f t="shared" si="0"/>
        <v>免征</v>
      </c>
    </row>
    <row r="54" spans="1:35" ht="12" customHeight="1">
      <c r="A54" s="2151" t="s">
        <v>1357</v>
      </c>
      <c r="B54" s="3282" t="s">
        <v>2283</v>
      </c>
      <c r="C54" s="3283"/>
      <c r="D54" s="1023" t="e">
        <f ca="1">C68</f>
        <v>#REF!</v>
      </c>
      <c r="E54" s="319" t="s">
        <v>1358</v>
      </c>
      <c r="F54" s="2338">
        <f>'数据-取费表'!B41</f>
        <v>5.6000000000000001E-2</v>
      </c>
      <c r="G54" s="2339"/>
      <c r="H54" s="2340"/>
      <c r="I54" s="1667"/>
      <c r="J54" s="2308">
        <v>3</v>
      </c>
      <c r="K54" s="3321" t="s">
        <v>1359</v>
      </c>
      <c r="L54" s="3321"/>
      <c r="M54" s="2310" t="e">
        <f t="shared" ca="1" si="0"/>
        <v>#REF!</v>
      </c>
      <c r="N54" s="2308" t="str">
        <f t="shared" si="0"/>
        <v>增值额×税（费）率</v>
      </c>
      <c r="O54" s="2312" t="str">
        <f t="shared" si="0"/>
        <v>免征</v>
      </c>
    </row>
    <row r="55" spans="1:35" ht="24" customHeight="1">
      <c r="A55" s="3271" t="s">
        <v>1360</v>
      </c>
      <c r="B55" s="3272"/>
      <c r="C55" s="3272"/>
      <c r="D55" s="12" t="e">
        <f ca="1">IF(H55="个人住宅",0,ROUND(D45*I55,0))</f>
        <v>#REF!</v>
      </c>
      <c r="E55" s="1254" t="s">
        <v>1361</v>
      </c>
      <c r="F55" s="2338" t="str">
        <f>IF(H55="正常",I55,"免征")</f>
        <v>免征</v>
      </c>
      <c r="G55" s="2339"/>
      <c r="H55" s="2335"/>
      <c r="I55" s="157">
        <f>'数据-取费表'!B49</f>
        <v>5.0000000000000001E-4</v>
      </c>
      <c r="J55" s="2308">
        <f>IF(H59="非个人房产","",4)</f>
        <v>4</v>
      </c>
      <c r="K55" s="3321" t="str">
        <f>IF(H59="非个人房产","——","个人所得税")</f>
        <v>个人所得税</v>
      </c>
      <c r="L55" s="3321"/>
      <c r="M55" s="2313" t="e">
        <f ca="1">D59</f>
        <v>#REF!</v>
      </c>
      <c r="N55" s="1881" t="str">
        <f>E59</f>
        <v>差额计税</v>
      </c>
      <c r="O55" s="2314">
        <f>F59</f>
        <v>0.01</v>
      </c>
    </row>
    <row r="56" spans="1:35" ht="24.75">
      <c r="A56" s="3271" t="s">
        <v>1362</v>
      </c>
      <c r="B56" s="3272"/>
      <c r="C56" s="3272"/>
      <c r="D56" s="12" t="e">
        <f ca="1">IF(H56="个人住宅",D57,D58)</f>
        <v>#REF!</v>
      </c>
      <c r="E56" s="1254" t="s">
        <v>1363</v>
      </c>
      <c r="F56" s="2338" t="str">
        <f>IF(H56="正常",F58,"免征")</f>
        <v>免征</v>
      </c>
      <c r="G56" s="2341" t="s">
        <v>1364</v>
      </c>
      <c r="H56" s="2342"/>
      <c r="I56" s="1668"/>
      <c r="J56" s="2308" t="str">
        <f>IF(项目基本情况!K6="上海银行",IF(J55="",4,J55+1),"")</f>
        <v/>
      </c>
      <c r="K56" s="3344" t="str">
        <f>IF(项目基本情况!K6="上海银行","其他处置费用","")</f>
        <v/>
      </c>
      <c r="L56" s="3345"/>
      <c r="M56" s="2310" t="str">
        <f>IF(项目基本情况!K6="上海银行",M69,"")</f>
        <v/>
      </c>
      <c r="N56" s="3344" t="str">
        <f>IF(项目基本情况!K6="上海银行","包含处置中涉及的律师、诉讼、拍卖、评估等费用","")</f>
        <v/>
      </c>
      <c r="O56" s="3347"/>
    </row>
    <row r="57" spans="1:35" ht="12.75">
      <c r="A57" s="2151" t="s">
        <v>1340</v>
      </c>
      <c r="B57" s="3282" t="s">
        <v>1365</v>
      </c>
      <c r="C57" s="3283"/>
      <c r="D57" s="1476">
        <v>0</v>
      </c>
      <c r="E57" s="316" t="s">
        <v>1342</v>
      </c>
      <c r="F57" s="294"/>
      <c r="G57" s="2339"/>
      <c r="H57" s="2343"/>
      <c r="I57" s="1668"/>
      <c r="J57" s="3321">
        <f>IF(AND(J55="",J56=""),4,IF(项目基本情况!K6="上海银行",结果表商业!J56+1,结果表商业!J55+1))</f>
        <v>5</v>
      </c>
      <c r="K57" s="3321" t="s">
        <v>1366</v>
      </c>
      <c r="L57" s="2315" t="s">
        <v>1367</v>
      </c>
      <c r="M57" s="2316"/>
      <c r="N57" s="2317">
        <f ca="1">SUMIF(M52:M56,"&lt;9e307")</f>
        <v>0</v>
      </c>
      <c r="O57" s="2318"/>
      <c r="P57" s="2463" t="e">
        <f ca="1">N57/M49</f>
        <v>#VALUE!</v>
      </c>
    </row>
    <row r="58" spans="1:35" ht="24.75">
      <c r="A58" s="2151" t="s">
        <v>1351</v>
      </c>
      <c r="B58" s="3282" t="s">
        <v>1368</v>
      </c>
      <c r="C58" s="3256"/>
      <c r="D58" s="12" t="e">
        <f ca="1">IF(H58="转让取得",C81,C97)</f>
        <v>#REF!</v>
      </c>
      <c r="E58" s="1254" t="s">
        <v>1363</v>
      </c>
      <c r="F58" s="294" t="s">
        <v>28</v>
      </c>
      <c r="G58" s="2339"/>
      <c r="H58" s="2342"/>
      <c r="I58" s="1668"/>
      <c r="J58" s="3321"/>
      <c r="K58" s="3321"/>
      <c r="L58" s="2315" t="s">
        <v>1369</v>
      </c>
      <c r="M58" s="2319"/>
      <c r="N58" s="2320" t="str">
        <f ca="1">NUMBERSTRING(INT(N57*10000),2)&amp;"元整"</f>
        <v>零元整</v>
      </c>
      <c r="O58" s="2321"/>
    </row>
    <row r="59" spans="1:35" ht="24.75" thickBot="1">
      <c r="A59" s="3324" t="s">
        <v>1370</v>
      </c>
      <c r="B59" s="3325"/>
      <c r="C59" s="3325"/>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1364</v>
      </c>
      <c r="H59" s="2136"/>
      <c r="I59" s="2135" t="s">
        <v>2132</v>
      </c>
      <c r="J59" s="3322">
        <f>J57+1</f>
        <v>6</v>
      </c>
      <c r="K59" s="3321" t="s">
        <v>1371</v>
      </c>
      <c r="L59" s="2308" t="s">
        <v>1367</v>
      </c>
      <c r="M59" s="2322"/>
      <c r="N59" s="2323" t="e">
        <f ca="1">M49-N57</f>
        <v>#VALUE!</v>
      </c>
      <c r="O59" s="2324"/>
    </row>
    <row r="60" spans="1:35" ht="12" customHeight="1">
      <c r="A60" s="1669"/>
      <c r="B60" s="645"/>
      <c r="C60" s="645"/>
      <c r="D60" s="645"/>
      <c r="E60" s="1464"/>
      <c r="F60" s="1668"/>
      <c r="G60" s="1668"/>
      <c r="H60" s="151"/>
      <c r="I60" s="121"/>
      <c r="J60" s="3323"/>
      <c r="K60" s="3321"/>
      <c r="L60" s="2315" t="s">
        <v>1369</v>
      </c>
      <c r="M60" s="2319"/>
      <c r="N60" s="2320" t="e">
        <f ca="1">NUMBERSTRING(INT(N59*10000),2)&amp;"元整"</f>
        <v>#VALUE!</v>
      </c>
      <c r="O60" s="2321"/>
    </row>
    <row r="61" spans="1:35" ht="13.5" thickBot="1">
      <c r="A61" s="3269" t="s">
        <v>1372</v>
      </c>
      <c r="B61" s="3269"/>
      <c r="C61" s="3269"/>
      <c r="D61" s="3269"/>
      <c r="E61" s="3269"/>
      <c r="F61" s="1668"/>
      <c r="G61" s="1668"/>
      <c r="H61" s="151"/>
      <c r="I61" s="121"/>
      <c r="J61" s="2308">
        <f>J59+1</f>
        <v>7</v>
      </c>
      <c r="K61" s="3321" t="s">
        <v>1373</v>
      </c>
      <c r="L61" s="3321"/>
      <c r="M61" s="2325"/>
      <c r="N61" s="2326" t="e">
        <f ca="1">ROUND(N59*10000/'数据-汇总表'!E3,0)</f>
        <v>#VALUE!</v>
      </c>
      <c r="O61" s="2327"/>
    </row>
    <row r="62" spans="1:35" ht="12.75">
      <c r="A62" s="3287" t="s">
        <v>1374</v>
      </c>
      <c r="B62" s="3288"/>
      <c r="C62" s="1863"/>
      <c r="D62" s="1863" t="s">
        <v>1375</v>
      </c>
      <c r="E62" s="158" t="s">
        <v>1376</v>
      </c>
      <c r="F62" s="1668"/>
      <c r="G62" s="1668"/>
      <c r="H62" s="151"/>
      <c r="I62" s="121"/>
    </row>
    <row r="63" spans="1:35" ht="12.75">
      <c r="A63" s="165" t="s">
        <v>330</v>
      </c>
      <c r="B63" s="159" t="s">
        <v>1377</v>
      </c>
      <c r="C63" s="2348" t="e">
        <f ca="1">ROUND((C64+C65)/(1+'数据-取费表'!C42),0)</f>
        <v>#REF!</v>
      </c>
      <c r="D63" s="159"/>
      <c r="E63" s="160"/>
      <c r="F63" s="1668"/>
      <c r="G63" s="1668"/>
      <c r="H63" s="151"/>
      <c r="I63" s="121"/>
      <c r="J63" s="3346" t="s">
        <v>1378</v>
      </c>
      <c r="K63" s="1244" t="s">
        <v>1379</v>
      </c>
      <c r="L63" s="1244" t="e">
        <f>IF(M49&gt;10000,M49*0.5%,IF(AND(M49&gt;1000,M49&lt;=10000),M49*1%,IF(AND(M49&gt;100,M49&lt;=1000),M49*3%,IF(AND(M49&gt;10,M49&lt;=100),M49*5%,M49*8%))))</f>
        <v>#VALUE!</v>
      </c>
      <c r="M63" s="294" t="e">
        <f>ROUND(L63,1)</f>
        <v>#VALUE!</v>
      </c>
      <c r="N63" s="2328"/>
      <c r="Z63" s="1621"/>
      <c r="AI63" s="1559"/>
    </row>
    <row r="64" spans="1:35" ht="14.25" customHeight="1">
      <c r="A64" s="161" t="s">
        <v>325</v>
      </c>
      <c r="B64" s="162" t="s">
        <v>1380</v>
      </c>
      <c r="C64" s="2349" t="e">
        <f ca="1">D45</f>
        <v>#REF!</v>
      </c>
      <c r="D64" s="162" t="s">
        <v>26</v>
      </c>
      <c r="E64" s="164"/>
      <c r="F64" s="1668"/>
      <c r="G64" s="1668"/>
      <c r="H64" s="151"/>
      <c r="I64" s="121"/>
      <c r="J64" s="3346"/>
      <c r="K64" s="1244" t="s">
        <v>1381</v>
      </c>
      <c r="L64" s="1244"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9" t="s">
        <v>1382</v>
      </c>
      <c r="Z64" s="1621"/>
      <c r="AI64" s="1559"/>
    </row>
    <row r="65" spans="1:35" ht="14.25" customHeight="1">
      <c r="A65" s="161" t="s">
        <v>326</v>
      </c>
      <c r="B65" s="162" t="s">
        <v>1383</v>
      </c>
      <c r="C65" s="2350"/>
      <c r="D65" s="162"/>
      <c r="E65" s="164"/>
      <c r="F65" s="1668"/>
      <c r="G65" s="1668"/>
      <c r="H65" s="151"/>
      <c r="I65" s="121"/>
      <c r="J65" s="3346"/>
      <c r="K65" s="1244" t="s">
        <v>1384</v>
      </c>
      <c r="L65" s="1244" t="e">
        <f>IF(M49&gt;1000,M49*0.1%,IF(AND(M49&gt;500,M49&lt;=1000),M49*0.5%,IF(AND(M49&gt;50,M49&lt;=500),M49*1%,IF(AND(M49&gt;1,M49&lt;=50),M49*1.5%))))</f>
        <v>#VALUE!</v>
      </c>
      <c r="M65" s="294" t="e">
        <f>ROUND(L65,1)</f>
        <v>#VALUE!</v>
      </c>
      <c r="N65" s="2329" t="s">
        <v>1382</v>
      </c>
      <c r="Z65" s="1621"/>
      <c r="AI65" s="1559"/>
    </row>
    <row r="66" spans="1:35" ht="14.25" customHeight="1">
      <c r="A66" s="165" t="s">
        <v>327</v>
      </c>
      <c r="B66" s="166" t="s">
        <v>1385</v>
      </c>
      <c r="C66" s="2351"/>
      <c r="D66" s="166" t="s">
        <v>26</v>
      </c>
      <c r="E66" s="1249" t="s">
        <v>671</v>
      </c>
      <c r="F66" s="1668"/>
      <c r="G66" s="1668"/>
      <c r="H66" s="151"/>
      <c r="I66" s="121"/>
      <c r="J66" s="3346"/>
      <c r="K66" s="1244" t="s">
        <v>1386</v>
      </c>
      <c r="L66" s="1244" t="e">
        <f>M49*0.5%</f>
        <v>#VALUE!</v>
      </c>
      <c r="M66" s="294" t="e">
        <f>IF(L66&gt;0.5,0.5,ROUND(L66,0))</f>
        <v>#VALUE!</v>
      </c>
      <c r="N66" s="2329" t="s">
        <v>1387</v>
      </c>
      <c r="Z66" s="1621"/>
      <c r="AI66" s="1559"/>
    </row>
    <row r="67" spans="1:35" ht="14.25" customHeight="1">
      <c r="A67" s="165" t="s">
        <v>328</v>
      </c>
      <c r="B67" s="166" t="s">
        <v>1388</v>
      </c>
      <c r="C67" s="2352" t="e">
        <f ca="1">C63-C66</f>
        <v>#REF!</v>
      </c>
      <c r="D67" s="162" t="s">
        <v>26</v>
      </c>
      <c r="E67" s="164"/>
      <c r="F67" s="1668"/>
      <c r="G67" s="1668"/>
      <c r="H67" s="151"/>
      <c r="I67" s="121"/>
      <c r="J67" s="3346"/>
      <c r="K67" s="1244" t="s">
        <v>1389</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1"/>
      <c r="AI67" s="1559"/>
    </row>
    <row r="68" spans="1:35" ht="14.25" customHeight="1" thickBot="1">
      <c r="A68" s="168" t="s">
        <v>329</v>
      </c>
      <c r="B68" s="169" t="s">
        <v>1390</v>
      </c>
      <c r="C68" s="2353" t="e">
        <f ca="1">IF(C67&lt;=0,0,ROUND(C67*D68,0))</f>
        <v>#REF!</v>
      </c>
      <c r="D68" s="2354">
        <f>'数据-取费表'!B41</f>
        <v>5.6000000000000001E-2</v>
      </c>
      <c r="E68" s="170"/>
      <c r="F68" s="1668"/>
      <c r="G68" s="1668"/>
      <c r="H68" s="151"/>
      <c r="I68" s="121"/>
      <c r="J68" s="3346"/>
      <c r="K68" s="1244" t="s">
        <v>1391</v>
      </c>
      <c r="L68" s="1244" t="e">
        <f>IF(M49&gt;10000,M49*0.5%,IF(AND(M49&gt;5000,M49&lt;=10000),M49*1%,IF(AND(M49&gt;1000,M49&lt;=5000),M49*2%,IF(AND(M49&gt;200,M49&lt;=1000),M49*3%,M49*5%))))</f>
        <v>#VALUE!</v>
      </c>
      <c r="M68" s="294" t="e">
        <f>ROUND(L68,1)</f>
        <v>#VALUE!</v>
      </c>
      <c r="N68" s="2328"/>
      <c r="Z68" s="1621"/>
      <c r="AI68" s="1559"/>
    </row>
    <row r="69" spans="1:35" ht="16.5" customHeight="1">
      <c r="A69" s="1670"/>
      <c r="B69" s="1671"/>
      <c r="C69" s="1672"/>
      <c r="D69" s="1673"/>
      <c r="E69" s="1674"/>
      <c r="F69" s="1464"/>
      <c r="G69" s="1464"/>
      <c r="H69" s="1465"/>
      <c r="I69" s="645"/>
      <c r="J69" s="3346"/>
      <c r="K69" s="1244" t="s">
        <v>1392</v>
      </c>
      <c r="L69" s="1244"/>
      <c r="M69" s="294" t="e">
        <f>ROUND(SUM(M63:M68),0)</f>
        <v>#VALUE!</v>
      </c>
      <c r="N69" s="2330" t="e">
        <f>M69/M49</f>
        <v>#VALUE!</v>
      </c>
      <c r="Z69" s="1621"/>
      <c r="AI69" s="1559"/>
    </row>
    <row r="70" spans="1:35" s="641" customFormat="1" ht="15" thickBot="1">
      <c r="A70" s="3308" t="s">
        <v>1393</v>
      </c>
      <c r="B70" s="3309"/>
      <c r="C70" s="3309"/>
      <c r="D70" s="3309"/>
      <c r="E70" s="3309"/>
      <c r="F70" s="3309"/>
      <c r="G70" s="3309"/>
      <c r="H70" s="3309"/>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87" t="s">
        <v>1374</v>
      </c>
      <c r="B71" s="3288"/>
      <c r="C71" s="1863"/>
      <c r="D71" s="1863" t="s">
        <v>1375</v>
      </c>
      <c r="E71" s="171" t="s">
        <v>1376</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1394</v>
      </c>
      <c r="C72" s="2352" t="e">
        <f ca="1">ROUND(D45/(1+'数据-取费表'!C42),0)</f>
        <v>#REF!</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1395</v>
      </c>
      <c r="C73" s="2352" t="e">
        <f ca="1">C74+C78</f>
        <v>#REF!</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1396</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1397</v>
      </c>
      <c r="C75" s="2355"/>
      <c r="D75" s="162" t="s">
        <v>26</v>
      </c>
      <c r="E75" s="176" t="s">
        <v>1398</v>
      </c>
      <c r="F75" s="2356"/>
      <c r="G75" s="176" t="s">
        <v>1399</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1400</v>
      </c>
      <c r="C76" s="162">
        <f>IF(F75="购房发票",ROUND(C75*H75*D76,0),0)</f>
        <v>0</v>
      </c>
      <c r="D76" s="2358">
        <v>0.05</v>
      </c>
      <c r="E76" s="3282" t="s">
        <v>1401</v>
      </c>
      <c r="F76" s="3256"/>
      <c r="G76" s="3256"/>
      <c r="H76" s="3307"/>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1402</v>
      </c>
      <c r="C77" s="162">
        <f>ROUND(IF(G77="个人住宅",0,IF(G77="2016年5月1日前购买",C75*D77,C75*D77/(1+'数据-取费表'!C42))),0)</f>
        <v>0</v>
      </c>
      <c r="D77" s="2359">
        <f>'数据-取费表'!B48+'数据-取费表'!B49</f>
        <v>3.0499999999999999E-2</v>
      </c>
      <c r="E77" s="12" t="s">
        <v>1403</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1404</v>
      </c>
      <c r="C78" s="2360" t="e">
        <f ca="1">ROUND(D45*D78/(1+'数据-取费表'!C42),0)</f>
        <v>#REF!</v>
      </c>
      <c r="D78" s="2361">
        <f>'数据-取费表'!B43</f>
        <v>6.000000000000001E-3</v>
      </c>
      <c r="E78" s="3266" t="s">
        <v>1405</v>
      </c>
      <c r="F78" s="3267"/>
      <c r="G78" s="3267"/>
      <c r="H78" s="3276"/>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1406</v>
      </c>
      <c r="C79" s="2352" t="e">
        <f ca="1">C72-C73</f>
        <v>#REF!</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1407</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1408</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08" t="s">
        <v>1409</v>
      </c>
      <c r="B83" s="3309"/>
      <c r="C83" s="3309"/>
      <c r="D83" s="3309"/>
      <c r="E83" s="3309"/>
      <c r="F83" s="3309"/>
      <c r="G83" s="3309"/>
      <c r="H83" s="3309"/>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87" t="s">
        <v>1374</v>
      </c>
      <c r="B84" s="3288"/>
      <c r="C84" s="1863"/>
      <c r="D84" s="1863" t="s">
        <v>1375</v>
      </c>
      <c r="E84" s="171" t="s">
        <v>1376</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1394</v>
      </c>
      <c r="C85" s="2352" t="e">
        <f ca="1">ROUND(D45/(1+'数据-取费表'!C42),0)</f>
        <v>#REF!</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1395</v>
      </c>
      <c r="C86" s="2352" t="e">
        <f ca="1">IF(H88="仅含出让金",C87+C90+C91+C92+C93+C94,C87+C91+C92+C93+C94)</f>
        <v>#REF!</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1410</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1411</v>
      </c>
      <c r="C88" s="2366"/>
      <c r="D88" s="2361"/>
      <c r="E88" s="185" t="s">
        <v>1412</v>
      </c>
      <c r="F88" s="2146"/>
      <c r="G88" s="186" t="s">
        <v>1413</v>
      </c>
      <c r="H88" s="1682"/>
      <c r="I88" s="1679"/>
      <c r="J88" s="2306"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1402</v>
      </c>
      <c r="C89" s="2360">
        <f>ROUND(C88*D89,0)</f>
        <v>0</v>
      </c>
      <c r="D89" s="2361">
        <f>'数据-取费表'!B48+'数据-取费表'!B49</f>
        <v>3.0499999999999999E-2</v>
      </c>
      <c r="E89" s="185" t="s">
        <v>1414</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1415</v>
      </c>
      <c r="C90" s="2366"/>
      <c r="D90" s="2361"/>
      <c r="E90" s="185" t="str">
        <f>IF(H88="-","土地取得成本中已包含该笔费用"," ")</f>
        <v xml:space="preserve"> </v>
      </c>
      <c r="F90" s="2146"/>
      <c r="G90" s="3348" t="s">
        <v>2124</v>
      </c>
      <c r="H90" s="3349"/>
      <c r="I90" s="1679"/>
      <c r="J90" s="2306"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1416</v>
      </c>
      <c r="B91" s="162" t="s">
        <v>1417</v>
      </c>
      <c r="C91" s="2360">
        <f>IF(H91="——",成本法!C33,I91)</f>
        <v>0</v>
      </c>
      <c r="D91" s="2361"/>
      <c r="E91" s="3266" t="s">
        <v>1418</v>
      </c>
      <c r="F91" s="3267"/>
      <c r="G91" s="3267"/>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1419</v>
      </c>
      <c r="B92" s="162" t="s">
        <v>1420</v>
      </c>
      <c r="C92" s="2360">
        <f>ROUND((C87+C90+C91)*D92,0)</f>
        <v>0</v>
      </c>
      <c r="D92" s="2367"/>
      <c r="E92" s="3266" t="s">
        <v>1421</v>
      </c>
      <c r="F92" s="3267"/>
      <c r="G92" s="3267"/>
      <c r="H92" s="3276"/>
      <c r="I92" s="1679"/>
      <c r="J92" s="2307"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1422</v>
      </c>
      <c r="B93" s="162" t="s">
        <v>1404</v>
      </c>
      <c r="C93" s="2360" t="e">
        <f ca="1">ROUND(D45*D93/(1+'数据-取费表'!C42),0)</f>
        <v>#REF!</v>
      </c>
      <c r="D93" s="2361">
        <f>'数据-取费表'!B43</f>
        <v>6.000000000000001E-3</v>
      </c>
      <c r="E93" s="3266" t="s">
        <v>1405</v>
      </c>
      <c r="F93" s="3267"/>
      <c r="G93" s="3267"/>
      <c r="H93" s="3276"/>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1423</v>
      </c>
      <c r="B94" s="162" t="s">
        <v>1424</v>
      </c>
      <c r="C94" s="2366">
        <f>ROUND((C87+C90+C91)*D94,0)</f>
        <v>0</v>
      </c>
      <c r="D94" s="2361">
        <v>0.2</v>
      </c>
      <c r="E94" s="3277" t="s">
        <v>1425</v>
      </c>
      <c r="F94" s="3278"/>
      <c r="G94" s="3278"/>
      <c r="H94" s="3279"/>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1406</v>
      </c>
      <c r="C95" s="2352" t="e">
        <f ca="1">ROUND(C85-C86,0)</f>
        <v>#REF!</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1407</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1408</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1426</v>
      </c>
      <c r="B99" s="645"/>
      <c r="C99" s="645"/>
      <c r="D99" s="645"/>
      <c r="E99" s="1464"/>
      <c r="F99" s="1464"/>
      <c r="G99" s="1464"/>
      <c r="H99" s="1465"/>
      <c r="I99" s="121"/>
    </row>
    <row r="100" spans="1:35" ht="18.75" customHeight="1">
      <c r="A100" s="3250" t="s">
        <v>1427</v>
      </c>
      <c r="B100" s="3251"/>
      <c r="C100" s="3251"/>
      <c r="D100" s="3268"/>
      <c r="E100" s="3251" t="s">
        <v>1428</v>
      </c>
      <c r="F100" s="3251"/>
      <c r="G100" s="3251"/>
      <c r="H100" s="3268"/>
      <c r="I100" s="121"/>
    </row>
    <row r="101" spans="1:35" ht="18.75" customHeight="1">
      <c r="A101" s="3329" t="s">
        <v>1429</v>
      </c>
      <c r="B101" s="3330"/>
      <c r="C101" s="2369" t="str">
        <f>C4</f>
        <v>比较法-商业</v>
      </c>
      <c r="D101" s="2370" t="str">
        <f>D4</f>
        <v>收益法商业</v>
      </c>
      <c r="E101" s="3343" t="s">
        <v>1430</v>
      </c>
      <c r="F101" s="3300"/>
      <c r="G101" s="1685" t="s">
        <v>1431</v>
      </c>
      <c r="H101" s="2379" t="e">
        <f ca="1">H118</f>
        <v>#REF!</v>
      </c>
      <c r="I101" s="121"/>
    </row>
    <row r="102" spans="1:35" ht="18.75" customHeight="1">
      <c r="A102" s="3302" t="s">
        <v>1432</v>
      </c>
      <c r="B102" s="2368" t="s">
        <v>1431</v>
      </c>
      <c r="C102" s="2369">
        <f ca="1">IF(D32="楼面单价",ROUND(C19,0),C19)</f>
        <v>2631.8344000000002</v>
      </c>
      <c r="D102" s="2370">
        <f ca="1">IF(D32="楼面单价",ROUND(D19,0),D19)</f>
        <v>1688.8629000000001</v>
      </c>
      <c r="E102" s="3343"/>
      <c r="F102" s="3300"/>
      <c r="G102" s="1685" t="s">
        <v>1433</v>
      </c>
      <c r="H102" s="2339" t="e">
        <f ca="1">I118</f>
        <v>#REF!</v>
      </c>
      <c r="I102" s="121"/>
    </row>
    <row r="103" spans="1:35" ht="42.75" customHeight="1">
      <c r="A103" s="3302"/>
      <c r="B103" s="2368" t="s">
        <v>1433</v>
      </c>
      <c r="C103" s="2371">
        <f ca="1">C20</f>
        <v>93047</v>
      </c>
      <c r="D103" s="2372">
        <f ca="1">D20</f>
        <v>59709</v>
      </c>
      <c r="E103" s="3337" t="s">
        <v>1434</v>
      </c>
      <c r="F103" s="3338"/>
      <c r="G103" s="1686" t="s">
        <v>1435</v>
      </c>
      <c r="H103" s="2379">
        <f>IF(D36="正常操作",H104+H105+H106,H105+H106)</f>
        <v>0</v>
      </c>
      <c r="I103" s="121"/>
    </row>
    <row r="104" spans="1:35" ht="18.75" customHeight="1">
      <c r="A104" s="3302" t="s">
        <v>1436</v>
      </c>
      <c r="B104" s="2373" t="s">
        <v>1431</v>
      </c>
      <c r="C104" s="2374" t="e">
        <f ca="1">H118</f>
        <v>#REF!</v>
      </c>
      <c r="D104" s="2375"/>
      <c r="E104" s="1553" t="s">
        <v>1437</v>
      </c>
      <c r="F104" s="1546"/>
      <c r="G104" s="1686" t="s">
        <v>1435</v>
      </c>
      <c r="H104" s="2380">
        <f>IF(D36="同一抵押权人同一抵押物续贷",C36&amp;"（续贷，未扣减，详见特别提示）",C36)</f>
        <v>0</v>
      </c>
      <c r="I104" s="121"/>
    </row>
    <row r="105" spans="1:35" ht="18.75" customHeight="1" thickBot="1">
      <c r="A105" s="3303"/>
      <c r="B105" s="2376" t="s">
        <v>1433</v>
      </c>
      <c r="C105" s="2377" t="e">
        <f ca="1">I118</f>
        <v>#REF!</v>
      </c>
      <c r="D105" s="2378"/>
      <c r="E105" s="1553" t="s">
        <v>1438</v>
      </c>
      <c r="F105" s="1546"/>
      <c r="G105" s="1686" t="s">
        <v>1435</v>
      </c>
      <c r="H105" s="2381">
        <f>C37</f>
        <v>0</v>
      </c>
      <c r="I105" s="121"/>
    </row>
    <row r="106" spans="1:35" ht="18.75" customHeight="1">
      <c r="A106" s="645" t="s">
        <v>1439</v>
      </c>
      <c r="B106" s="645"/>
      <c r="C106" s="645"/>
      <c r="D106" s="645"/>
      <c r="E106" s="1687" t="s">
        <v>1440</v>
      </c>
      <c r="F106" s="1546"/>
      <c r="G106" s="1686" t="s">
        <v>1435</v>
      </c>
      <c r="H106" s="2381">
        <f>C38</f>
        <v>0</v>
      </c>
      <c r="I106" s="121"/>
    </row>
    <row r="107" spans="1:35" ht="18.75" customHeight="1">
      <c r="A107" s="121"/>
      <c r="B107" s="121"/>
      <c r="C107" s="121"/>
      <c r="D107" s="121"/>
      <c r="E107" s="3299" t="str">
        <f>IF(项目基本情况!E8="已注销","——","3.房地产抵押价值")</f>
        <v>3.房地产抵押价值</v>
      </c>
      <c r="F107" s="3300"/>
      <c r="G107" s="1685" t="s">
        <v>1431</v>
      </c>
      <c r="H107" s="2379" t="e">
        <f ca="1">IF(E107="——","——",H101-H103)</f>
        <v>#REF!</v>
      </c>
      <c r="I107" s="121"/>
    </row>
    <row r="108" spans="1:35" ht="18.75" customHeight="1">
      <c r="A108" s="121"/>
      <c r="B108" s="121"/>
      <c r="C108" s="121"/>
      <c r="D108" s="121"/>
      <c r="E108" s="3299"/>
      <c r="F108" s="3300"/>
      <c r="G108" s="1685" t="s">
        <v>1433</v>
      </c>
      <c r="H108" s="2339">
        <f ca="1">IF(H107=H101,H102,ROUND(H107*10000/'数据-汇总表'!E3,0))</f>
        <v>0</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5" t="s">
        <v>1431</v>
      </c>
      <c r="H109" s="2382" t="str">
        <f>IF(E109="——","——",H101-H105-H106)</f>
        <v>——</v>
      </c>
      <c r="I109" s="121"/>
    </row>
    <row r="110" spans="1:35" ht="18.75" customHeight="1">
      <c r="A110" s="121"/>
      <c r="B110" s="121"/>
      <c r="C110" s="121"/>
      <c r="D110" s="121"/>
      <c r="E110" s="3299"/>
      <c r="F110" s="3300"/>
      <c r="G110" s="1685" t="s">
        <v>1433</v>
      </c>
      <c r="H110" s="2339"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5" t="s">
        <v>1431</v>
      </c>
      <c r="H111" s="2379" t="str">
        <f>IF(E111="——","——",N59)</f>
        <v>——</v>
      </c>
      <c r="I111" s="121"/>
    </row>
    <row r="112" spans="1:35" ht="18.75" customHeight="1" thickBot="1">
      <c r="A112" s="121"/>
      <c r="B112" s="121"/>
      <c r="C112" s="121"/>
      <c r="D112" s="121"/>
      <c r="E112" s="3332"/>
      <c r="F112" s="3333"/>
      <c r="G112" s="1688" t="s">
        <v>1433</v>
      </c>
      <c r="H112" s="2383" t="str">
        <f>IF(E111="——","——",N61)</f>
        <v>——</v>
      </c>
      <c r="I112" s="121"/>
    </row>
    <row r="113" spans="1:27" ht="18.75" customHeight="1">
      <c r="A113" s="121"/>
      <c r="B113" s="121"/>
      <c r="C113" s="121"/>
      <c r="D113" s="121"/>
      <c r="E113" s="3304" t="s">
        <v>1439</v>
      </c>
      <c r="F113" s="3304"/>
      <c r="G113" s="3304"/>
      <c r="H113" s="3304"/>
      <c r="I113" s="121"/>
    </row>
    <row r="114" spans="1:27" ht="3.75" customHeight="1">
      <c r="A114" s="645"/>
      <c r="B114" s="645"/>
      <c r="C114" s="645"/>
      <c r="D114" s="645"/>
      <c r="E114" s="1669"/>
      <c r="F114" s="1669"/>
      <c r="G114" s="1669"/>
      <c r="H114" s="1669"/>
      <c r="I114" s="645"/>
    </row>
    <row r="115" spans="1:27" ht="18.75" customHeight="1">
      <c r="A115" s="3314" t="s">
        <v>1441</v>
      </c>
      <c r="B115" s="3315"/>
      <c r="C115" s="3315"/>
      <c r="D115" s="3315"/>
      <c r="E115" s="3315"/>
      <c r="F115" s="3315"/>
      <c r="G115" s="3315"/>
      <c r="H115" s="3315"/>
      <c r="I115" s="3316"/>
    </row>
    <row r="116" spans="1:27" ht="27" customHeight="1">
      <c r="A116" s="3270" t="s">
        <v>1442</v>
      </c>
      <c r="B116" s="3305" t="s">
        <v>1443</v>
      </c>
      <c r="C116" s="3305" t="s">
        <v>1444</v>
      </c>
      <c r="D116" s="3318" t="s">
        <v>1445</v>
      </c>
      <c r="E116" s="3319"/>
      <c r="F116" s="3313" t="s">
        <v>1446</v>
      </c>
      <c r="G116" s="3313"/>
      <c r="H116" s="3270" t="s">
        <v>1447</v>
      </c>
      <c r="I116" s="3270"/>
    </row>
    <row r="117" spans="1:27" ht="18.75" customHeight="1">
      <c r="A117" s="3270"/>
      <c r="B117" s="3306"/>
      <c r="C117" s="3306"/>
      <c r="D117" s="2148" t="s">
        <v>1448</v>
      </c>
      <c r="E117" s="2148" t="s">
        <v>1449</v>
      </c>
      <c r="F117" s="2148" t="s">
        <v>1448</v>
      </c>
      <c r="G117" s="2148" t="s">
        <v>1450</v>
      </c>
      <c r="H117" s="2148" t="s">
        <v>1448</v>
      </c>
      <c r="I117" s="2148" t="s">
        <v>1450</v>
      </c>
    </row>
    <row r="118" spans="1:27" ht="24.75" customHeight="1">
      <c r="A118" s="2384" t="str">
        <f>项目基本情况!S2</f>
        <v>北京市房地产</v>
      </c>
      <c r="B118" s="2148">
        <f>M18</f>
        <v>282.85000000000002</v>
      </c>
      <c r="C118" s="2148">
        <f>M19</f>
        <v>1727.44</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70" t="s">
        <v>1451</v>
      </c>
      <c r="B119" s="3270"/>
      <c r="C119" s="3270"/>
      <c r="D119" s="3310" t="e">
        <f ca="1">NUMBERSTRING(INT(D118*10000),2)&amp;"元整"</f>
        <v>#REF!</v>
      </c>
      <c r="E119" s="3312"/>
      <c r="F119" s="3310" t="e">
        <f ca="1">NUMBERSTRING(INT(F118*10000),2)&amp;"元整"</f>
        <v>#REF!</v>
      </c>
      <c r="G119" s="3312"/>
      <c r="H119" s="3310" t="e">
        <f ca="1">NUMBERSTRING(INT(H118*10000),2)&amp;"元整"</f>
        <v>#REF!</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0" t="s">
        <v>1451</v>
      </c>
      <c r="B121" s="3311"/>
      <c r="C121" s="3312"/>
      <c r="D121" s="3310" t="str">
        <f>IF(D120=0,"零元整",NUMBERSTRING(INT(D120*10000),2)&amp;"元整")</f>
        <v>零元整</v>
      </c>
      <c r="E121" s="3311"/>
      <c r="F121" s="3311"/>
      <c r="G121" s="3311"/>
      <c r="H121" s="3311"/>
      <c r="I121" s="3312"/>
      <c r="AA121" s="683"/>
    </row>
    <row r="122" spans="1:27" ht="18.75" customHeight="1">
      <c r="A122" s="3301" t="str">
        <f>IF(项目基本情况!B9="房地产市场价值","",MID(E107,3,LEN(E107)-2))</f>
        <v>房地产抵押价值</v>
      </c>
      <c r="B122" s="3301"/>
      <c r="C122" s="3301"/>
      <c r="D122" s="3334" t="e">
        <f ca="1">H107</f>
        <v>#REF!</v>
      </c>
      <c r="E122" s="3335"/>
      <c r="F122" s="3335"/>
      <c r="G122" s="3335"/>
      <c r="H122" s="3335"/>
      <c r="I122" s="3336"/>
      <c r="AA122" s="683"/>
    </row>
    <row r="123" spans="1:27" ht="18.75" customHeight="1">
      <c r="A123" s="3270" t="s">
        <v>1451</v>
      </c>
      <c r="B123" s="3270"/>
      <c r="C123" s="3270"/>
      <c r="D123" s="3310" t="e">
        <f ca="1">NUMBERSTRING(INT(D122*10000),2)&amp;"元整"</f>
        <v>#REF!</v>
      </c>
      <c r="E123" s="3311"/>
      <c r="F123" s="3311"/>
      <c r="G123" s="3311"/>
      <c r="H123" s="3311"/>
      <c r="I123" s="3312"/>
      <c r="AA123" s="683"/>
    </row>
    <row r="124" spans="1:27" ht="18.75" customHeight="1">
      <c r="A124" s="3301" t="str">
        <f>IF(项目基本情况!B9="房地产市场价值","",MID(E109,3,LEN(E109)-2))</f>
        <v/>
      </c>
      <c r="B124" s="3301"/>
      <c r="C124" s="3301"/>
      <c r="D124" s="3334" t="str">
        <f>H109</f>
        <v>——</v>
      </c>
      <c r="E124" s="3335"/>
      <c r="F124" s="3335"/>
      <c r="G124" s="3335"/>
      <c r="H124" s="3335"/>
      <c r="I124" s="3336"/>
      <c r="AA124" s="683"/>
    </row>
    <row r="125" spans="1:27" ht="18.75" customHeight="1">
      <c r="A125" s="3270" t="s">
        <v>1451</v>
      </c>
      <c r="B125" s="3270"/>
      <c r="C125" s="3270"/>
      <c r="D125" s="3310" t="e">
        <f>NUMBERSTRING(INT(D124*10000),2)&amp;"元整"</f>
        <v>#VALUE!</v>
      </c>
      <c r="E125" s="3311"/>
      <c r="F125" s="3311"/>
      <c r="G125" s="3311"/>
      <c r="H125" s="3311"/>
      <c r="I125" s="3312"/>
      <c r="AA125" s="683"/>
    </row>
    <row r="126" spans="1:27" ht="18.75" customHeight="1">
      <c r="A126" s="3301" t="str">
        <f>IF(项目基本情况!B9="房地产市场价值","",MID(E111,3,LEN(E111)-2))</f>
        <v/>
      </c>
      <c r="B126" s="3301"/>
      <c r="C126" s="3301"/>
      <c r="D126" s="3334" t="str">
        <f>H111</f>
        <v>——</v>
      </c>
      <c r="E126" s="3335"/>
      <c r="F126" s="3335"/>
      <c r="G126" s="3335"/>
      <c r="H126" s="3335"/>
      <c r="I126" s="3336"/>
      <c r="AA126" s="683"/>
    </row>
    <row r="127" spans="1:27" ht="18.75" customHeight="1">
      <c r="A127" s="3270" t="s">
        <v>1451</v>
      </c>
      <c r="B127" s="3270"/>
      <c r="C127" s="3270"/>
      <c r="D127" s="3310" t="e">
        <f>NUMBERSTRING(INT(D126*10000),2)&amp;"元整"</f>
        <v>#VALUE!</v>
      </c>
      <c r="E127" s="3311"/>
      <c r="F127" s="3311"/>
      <c r="G127" s="3311"/>
      <c r="H127" s="3311"/>
      <c r="I127" s="3312"/>
      <c r="AA127" s="683"/>
    </row>
    <row r="128" spans="1:27" ht="21.75" customHeight="1">
      <c r="A128" s="3317" t="s">
        <v>1452</v>
      </c>
      <c r="B128" s="3317"/>
      <c r="C128" s="3317"/>
      <c r="D128" s="3317"/>
      <c r="E128" s="3317"/>
      <c r="F128" s="3317"/>
      <c r="G128" s="3317"/>
      <c r="H128" s="3317"/>
      <c r="I128" s="3317"/>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O25" zoomScale="85" zoomScaleNormal="70" zoomScaleSheetLayoutView="85" workbookViewId="0">
      <selection activeCell="R49" sqref="R49:W49"/>
    </sheetView>
  </sheetViews>
  <sheetFormatPr defaultColWidth="9" defaultRowHeight="14.25"/>
  <cols>
    <col min="1" max="1" width="10.5" style="347" customWidth="1"/>
    <col min="2" max="2" width="15.75" style="347" customWidth="1"/>
    <col min="3" max="3" width="20.8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2" t="s">
        <v>1765</v>
      </c>
      <c r="C1" s="1154" t="s">
        <v>1661</v>
      </c>
      <c r="D1" s="1141" t="s">
        <v>673</v>
      </c>
      <c r="E1" s="3123" t="s">
        <v>3517</v>
      </c>
      <c r="F1" s="1733" t="s">
        <v>3518</v>
      </c>
      <c r="G1" s="1151" t="s">
        <v>1766</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1461</v>
      </c>
      <c r="B2" s="1084">
        <f>IF(E1="项目模式",IF(C2="——",ROUND(C49*D3/10000,0),ROUND(C49*D3/10000,0)-D2),IF(E1="单套模式",IF(C2="——",ROUND(C49*D3/10000,4),ROUND(C49*D3/10000,4)-D2)))</f>
        <v>2631.8344000000002</v>
      </c>
      <c r="C2" s="1735" t="s">
        <v>43</v>
      </c>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1463</v>
      </c>
      <c r="B3" s="536">
        <f>IF(C2="——",C49,ROUND(B2*10000/D3,0))</f>
        <v>93047</v>
      </c>
      <c r="C3" s="344" t="s">
        <v>1767</v>
      </c>
      <c r="D3" s="343">
        <f>IF(D1="",'数据-汇总表'!E3,SUMIF('数据-汇总表'!$C19:$C33,D1,'数据-汇总表'!$E19:$E33))</f>
        <v>282.85000000000002</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1768</v>
      </c>
      <c r="B4" s="346"/>
      <c r="C4" s="3376" t="s">
        <v>1769</v>
      </c>
      <c r="D4" s="3377"/>
      <c r="E4" s="3378" t="s">
        <v>1770</v>
      </c>
      <c r="F4" s="3379"/>
      <c r="G4" s="3376" t="s">
        <v>1771</v>
      </c>
      <c r="H4" s="3377"/>
      <c r="I4" s="3376" t="s">
        <v>1772</v>
      </c>
      <c r="J4" s="3377"/>
      <c r="K4" s="537" t="s">
        <v>1773</v>
      </c>
      <c r="L4" s="2485"/>
      <c r="M4" s="2486"/>
      <c r="N4" s="2486"/>
      <c r="O4" s="2486"/>
      <c r="P4" s="3418" t="s">
        <v>1774</v>
      </c>
      <c r="Q4" s="3419"/>
      <c r="R4" s="3422" t="s">
        <v>1770</v>
      </c>
      <c r="S4" s="3423"/>
      <c r="T4" s="3422" t="s">
        <v>1771</v>
      </c>
      <c r="U4" s="3423"/>
      <c r="V4" s="3360" t="s">
        <v>1772</v>
      </c>
      <c r="W4" s="3360"/>
      <c r="X4" s="1263"/>
      <c r="Y4" s="3422" t="s">
        <v>1774</v>
      </c>
      <c r="Z4" s="3423"/>
      <c r="AA4" s="3417" t="s">
        <v>1770</v>
      </c>
      <c r="AB4" s="3360" t="s">
        <v>1771</v>
      </c>
      <c r="AC4" s="3417" t="s">
        <v>1772</v>
      </c>
    </row>
    <row r="5" spans="1:29" ht="15">
      <c r="A5" s="348"/>
      <c r="B5" s="349"/>
      <c r="C5" s="3401" t="s">
        <v>1672</v>
      </c>
      <c r="D5" s="3402"/>
      <c r="E5" s="3395" t="s">
        <v>3632</v>
      </c>
      <c r="F5" s="3396"/>
      <c r="G5" s="3424" t="s">
        <v>3623</v>
      </c>
      <c r="H5" s="3402"/>
      <c r="I5" s="3424" t="s">
        <v>3633</v>
      </c>
      <c r="J5" s="3402"/>
      <c r="K5" s="537"/>
      <c r="L5" s="2485"/>
      <c r="M5" s="2486"/>
      <c r="N5" s="2486"/>
      <c r="O5" s="2486"/>
      <c r="P5" s="3420"/>
      <c r="Q5" s="3383"/>
      <c r="R5" s="3388"/>
      <c r="S5" s="3389"/>
      <c r="T5" s="3388"/>
      <c r="U5" s="3389"/>
      <c r="V5" s="3360"/>
      <c r="W5" s="3360"/>
      <c r="X5" s="1263"/>
      <c r="Y5" s="3388"/>
      <c r="Z5" s="3389"/>
      <c r="AA5" s="3406"/>
      <c r="AB5" s="3360"/>
      <c r="AC5" s="3406"/>
    </row>
    <row r="6" spans="1:29" ht="15.75" thickBot="1">
      <c r="A6" s="350"/>
      <c r="B6" s="351"/>
      <c r="C6" s="3393" t="s">
        <v>1676</v>
      </c>
      <c r="D6" s="3394"/>
      <c r="E6" s="3403" t="s">
        <v>1676</v>
      </c>
      <c r="F6" s="3404"/>
      <c r="G6" s="3393" t="s">
        <v>1676</v>
      </c>
      <c r="H6" s="3394"/>
      <c r="I6" s="3393" t="s">
        <v>1676</v>
      </c>
      <c r="J6" s="3394"/>
      <c r="K6" s="537" t="s">
        <v>1677</v>
      </c>
      <c r="L6" s="2485"/>
      <c r="M6" s="2486"/>
      <c r="N6" s="2486"/>
      <c r="O6" s="2486"/>
      <c r="P6" s="3421"/>
      <c r="Q6" s="3385"/>
      <c r="R6" s="3388"/>
      <c r="S6" s="3389"/>
      <c r="T6" s="3390"/>
      <c r="U6" s="3391"/>
      <c r="V6" s="3360"/>
      <c r="W6" s="3360"/>
      <c r="X6" s="1263"/>
      <c r="Y6" s="3390"/>
      <c r="Z6" s="3391"/>
      <c r="AA6" s="3407"/>
      <c r="AB6" s="3360"/>
      <c r="AC6" s="3407"/>
    </row>
    <row r="7" spans="1:29" s="102" customFormat="1" ht="15.75" thickBot="1">
      <c r="A7" s="352" t="s">
        <v>1678</v>
      </c>
      <c r="B7" s="353"/>
      <c r="C7" s="354">
        <f>'数据-取费表'!B2</f>
        <v>45065</v>
      </c>
      <c r="D7" s="355">
        <v>100</v>
      </c>
      <c r="E7" s="356">
        <v>45047</v>
      </c>
      <c r="F7" s="357">
        <f>SUMIF(58:58,YEAR(E7)&amp;"-"&amp;MONTH(E7),59:59)</f>
        <v>100</v>
      </c>
      <c r="G7" s="356">
        <v>45047</v>
      </c>
      <c r="H7" s="355">
        <f>SUMIF(58:58,YEAR(G7)&amp;"-"&amp;MONTH(G7),59:59)</f>
        <v>100</v>
      </c>
      <c r="I7" s="356">
        <v>45047</v>
      </c>
      <c r="J7" s="355">
        <f>SUMIF(58:58,YEAR(I7)&amp;"-"&amp;MONTH(I7),59:59)</f>
        <v>100</v>
      </c>
      <c r="K7" s="38"/>
      <c r="L7" s="2487"/>
      <c r="M7" s="2438"/>
      <c r="N7" s="2438"/>
      <c r="O7" s="2438"/>
      <c r="P7" s="3399" t="s">
        <v>1679</v>
      </c>
      <c r="Q7" s="3400"/>
      <c r="R7" s="663" t="s">
        <v>14</v>
      </c>
      <c r="S7" s="664">
        <f t="shared" ref="S7:S15" si="0">F7</f>
        <v>100</v>
      </c>
      <c r="T7" s="663" t="s">
        <v>14</v>
      </c>
      <c r="U7" s="664">
        <f t="shared" ref="U7:U15" si="1">H7</f>
        <v>100</v>
      </c>
      <c r="V7" s="663" t="s">
        <v>14</v>
      </c>
      <c r="W7" s="664">
        <f t="shared" ref="W7:W15" si="2">J7</f>
        <v>100</v>
      </c>
      <c r="X7" s="665"/>
      <c r="Y7" s="3399" t="s">
        <v>1679</v>
      </c>
      <c r="Z7" s="3398"/>
      <c r="AA7" s="50">
        <f>D7/F7</f>
        <v>1</v>
      </c>
      <c r="AB7" s="50">
        <f>D7/H7</f>
        <v>1</v>
      </c>
      <c r="AC7" s="50">
        <f>D7/J7</f>
        <v>1</v>
      </c>
    </row>
    <row r="8" spans="1:29" s="102" customFormat="1" ht="15.75" thickBot="1">
      <c r="A8" s="352" t="s">
        <v>1680</v>
      </c>
      <c r="B8" s="353"/>
      <c r="C8" s="358" t="s">
        <v>3514</v>
      </c>
      <c r="D8" s="355">
        <v>100</v>
      </c>
      <c r="E8" s="358" t="s">
        <v>3515</v>
      </c>
      <c r="F8" s="357">
        <f>SUMIF(61:61,E8,62:62)-SUMIF(61:61,C8,62:62)+100</f>
        <v>101</v>
      </c>
      <c r="G8" s="358" t="s">
        <v>3515</v>
      </c>
      <c r="H8" s="355">
        <f>SUMIF(61:61,G8,62:62)-SUMIF(61:61,C8,62:62)+100</f>
        <v>101</v>
      </c>
      <c r="I8" s="358" t="s">
        <v>3515</v>
      </c>
      <c r="J8" s="355">
        <f>SUMIF(61:61,I8,62:62)-SUMIF(61:61,C8,62:62)+100</f>
        <v>101</v>
      </c>
      <c r="K8" s="38"/>
      <c r="L8" s="2487"/>
      <c r="M8" s="2438"/>
      <c r="N8" s="2438"/>
      <c r="O8" s="2438"/>
      <c r="P8" s="3399" t="s">
        <v>1682</v>
      </c>
      <c r="Q8" s="3398"/>
      <c r="R8" s="663" t="s">
        <v>14</v>
      </c>
      <c r="S8" s="664">
        <f t="shared" si="0"/>
        <v>101</v>
      </c>
      <c r="T8" s="663" t="s">
        <v>14</v>
      </c>
      <c r="U8" s="664">
        <f t="shared" si="1"/>
        <v>101</v>
      </c>
      <c r="V8" s="663" t="s">
        <v>14</v>
      </c>
      <c r="W8" s="664">
        <f t="shared" si="2"/>
        <v>101</v>
      </c>
      <c r="X8" s="665"/>
      <c r="Y8" s="3399" t="s">
        <v>1682</v>
      </c>
      <c r="Z8" s="3398"/>
      <c r="AA8" s="50">
        <f t="shared" ref="AA8:AA46" si="3">D8/F8</f>
        <v>0.99009900990099009</v>
      </c>
      <c r="AB8" s="50">
        <f t="shared" ref="AB8:AB46" si="4">D8/H8</f>
        <v>0.99009900990099009</v>
      </c>
      <c r="AC8" s="50">
        <f t="shared" ref="AC8:AC46" si="5">D8/J8</f>
        <v>0.99009900990099009</v>
      </c>
    </row>
    <row r="9" spans="1:29" s="102" customFormat="1">
      <c r="A9" s="359" t="s">
        <v>1683</v>
      </c>
      <c r="B9" s="60" t="s">
        <v>1684</v>
      </c>
      <c r="C9" s="3145" t="s">
        <v>3611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8"/>
      <c r="N9" s="2438"/>
      <c r="O9" s="2438"/>
      <c r="P9" s="3358" t="s">
        <v>1685</v>
      </c>
      <c r="Q9" s="530" t="str">
        <f t="shared" ref="Q9:Q15" si="6">B9</f>
        <v>用途</v>
      </c>
      <c r="R9" s="663" t="s">
        <v>14</v>
      </c>
      <c r="S9" s="664">
        <f t="shared" si="0"/>
        <v>100</v>
      </c>
      <c r="T9" s="663" t="s">
        <v>14</v>
      </c>
      <c r="U9" s="664">
        <f t="shared" si="1"/>
        <v>100</v>
      </c>
      <c r="V9" s="663" t="s">
        <v>14</v>
      </c>
      <c r="W9" s="664">
        <f t="shared" si="2"/>
        <v>100</v>
      </c>
      <c r="X9" s="665"/>
      <c r="Y9" s="3257" t="s">
        <v>1686</v>
      </c>
      <c r="Z9" s="50" t="str">
        <f t="shared" ref="Z9:Z15" si="7">Q9</f>
        <v>用途</v>
      </c>
      <c r="AA9" s="50">
        <f t="shared" si="3"/>
        <v>1</v>
      </c>
      <c r="AB9" s="50">
        <f t="shared" si="4"/>
        <v>1</v>
      </c>
      <c r="AC9" s="50">
        <f t="shared" si="5"/>
        <v>1</v>
      </c>
    </row>
    <row r="10" spans="1:29" s="366" customFormat="1" ht="27">
      <c r="A10" s="363"/>
      <c r="B10" s="364" t="s">
        <v>1687</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58"/>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58"/>
      <c r="Q11" s="530" t="str">
        <f t="shared" si="6"/>
        <v>容积率</v>
      </c>
      <c r="R11" s="663" t="s">
        <v>14</v>
      </c>
      <c r="S11" s="664">
        <f t="shared" si="0"/>
        <v>100</v>
      </c>
      <c r="T11" s="663" t="s">
        <v>14</v>
      </c>
      <c r="U11" s="664">
        <f t="shared" si="1"/>
        <v>100</v>
      </c>
      <c r="V11" s="663" t="s">
        <v>14</v>
      </c>
      <c r="W11" s="664">
        <f t="shared" si="2"/>
        <v>100</v>
      </c>
      <c r="X11" s="665"/>
      <c r="Y11" s="325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58"/>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58"/>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58"/>
      <c r="Q14" s="530">
        <f t="shared" si="6"/>
        <v>111</v>
      </c>
      <c r="R14" s="663" t="s">
        <v>14</v>
      </c>
      <c r="S14" s="664">
        <f t="shared" si="0"/>
        <v>100</v>
      </c>
      <c r="T14" s="663" t="s">
        <v>14</v>
      </c>
      <c r="U14" s="664">
        <f t="shared" si="1"/>
        <v>100</v>
      </c>
      <c r="V14" s="663" t="s">
        <v>14</v>
      </c>
      <c r="W14" s="664">
        <f t="shared" si="2"/>
        <v>100</v>
      </c>
      <c r="X14" s="665"/>
      <c r="Y14" s="3257"/>
      <c r="Z14" s="50">
        <f t="shared" si="7"/>
        <v>111</v>
      </c>
      <c r="AA14" s="50">
        <f t="shared" si="3"/>
        <v>1</v>
      </c>
      <c r="AB14" s="50">
        <f t="shared" si="4"/>
        <v>1</v>
      </c>
      <c r="AC14" s="50">
        <f t="shared" si="5"/>
        <v>1</v>
      </c>
    </row>
    <row r="15" spans="1:29" ht="71.25">
      <c r="A15" s="379" t="s">
        <v>1689</v>
      </c>
      <c r="B15" s="58" t="s">
        <v>1776</v>
      </c>
      <c r="C15" s="1748" t="str">
        <f>估价对象房地状况!C4</f>
        <v>估价对象位于西直门商圈，周边商业氛围成熟，有凯德MALL、华联购物中心等，人流量较大，商业繁华度较好</v>
      </c>
      <c r="D15" s="380">
        <v>100</v>
      </c>
      <c r="E15" s="381"/>
      <c r="F15" s="382">
        <f>SUMIF(76:76,E16,77:77)-SUMIF(76:76,C16,77:77)+100</f>
        <v>100</v>
      </c>
      <c r="G15" s="383"/>
      <c r="H15" s="380">
        <f>SUMIF(76:76,G16,77:77)-SUMIF(76:76,C16,77:77)+100</f>
        <v>100</v>
      </c>
      <c r="I15" s="381"/>
      <c r="J15" s="380">
        <f>SUMIF(76:76,I16,77:77)-SUMIF(76:76,C16,77:77)+100</f>
        <v>98</v>
      </c>
      <c r="K15" s="540">
        <v>2</v>
      </c>
      <c r="L15" s="2491"/>
      <c r="M15" s="2486"/>
      <c r="N15" s="2486"/>
      <c r="O15" s="2486"/>
      <c r="P15" s="3364" t="s">
        <v>1690</v>
      </c>
      <c r="Q15" s="1261" t="str">
        <f t="shared" si="6"/>
        <v>商业繁华度</v>
      </c>
      <c r="R15" s="666" t="s">
        <v>14</v>
      </c>
      <c r="S15" s="667">
        <f t="shared" si="0"/>
        <v>100</v>
      </c>
      <c r="T15" s="666" t="s">
        <v>14</v>
      </c>
      <c r="U15" s="667">
        <f t="shared" si="1"/>
        <v>100</v>
      </c>
      <c r="V15" s="666" t="s">
        <v>14</v>
      </c>
      <c r="W15" s="667">
        <f t="shared" si="2"/>
        <v>98</v>
      </c>
      <c r="X15" s="1263"/>
      <c r="Y15" s="3366" t="s">
        <v>1690</v>
      </c>
      <c r="Z15" s="1262" t="str">
        <f t="shared" si="7"/>
        <v>商业繁华度</v>
      </c>
      <c r="AA15" s="1262">
        <f t="shared" si="3"/>
        <v>1</v>
      </c>
      <c r="AB15" s="1262">
        <f t="shared" si="4"/>
        <v>1</v>
      </c>
      <c r="AC15" s="1262">
        <f t="shared" si="5"/>
        <v>1.0204081632653061</v>
      </c>
    </row>
    <row r="16" spans="1:29" ht="15">
      <c r="A16" s="367"/>
      <c r="B16" s="385"/>
      <c r="C16" s="386" t="s">
        <v>3520</v>
      </c>
      <c r="D16" s="387"/>
      <c r="E16" s="386" t="s">
        <v>3520</v>
      </c>
      <c r="F16" s="388"/>
      <c r="G16" s="386" t="s">
        <v>3520</v>
      </c>
      <c r="H16" s="389"/>
      <c r="I16" s="386" t="s">
        <v>3565</v>
      </c>
      <c r="J16" s="387"/>
      <c r="K16" s="541"/>
      <c r="L16" s="2491"/>
      <c r="M16" s="2486"/>
      <c r="N16" s="2486"/>
      <c r="O16" s="2486"/>
      <c r="P16" s="3365"/>
      <c r="Q16" s="1261"/>
      <c r="R16" s="666"/>
      <c r="S16" s="667"/>
      <c r="T16" s="666"/>
      <c r="U16" s="667"/>
      <c r="V16" s="666"/>
      <c r="W16" s="667"/>
      <c r="X16" s="1263"/>
      <c r="Y16" s="3367"/>
      <c r="Z16" s="1262"/>
      <c r="AA16" s="1262">
        <v>1</v>
      </c>
      <c r="AB16" s="1262">
        <v>1</v>
      </c>
      <c r="AC16" s="1262">
        <v>1</v>
      </c>
    </row>
    <row r="17" spans="1:29" ht="99.75">
      <c r="A17" s="367"/>
      <c r="B17" s="390" t="s">
        <v>1258</v>
      </c>
      <c r="C17" s="1752" t="str">
        <f>估价对象房地状况!C6</f>
        <v>估价对象周边道路状况较好、有7、16、105等公交线路及地铁2、4号线经过，公共交通通达情况较好、停车便捷程度一般，综合评价交通便捷度较好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65"/>
      <c r="Q17" s="1261" t="str">
        <f>B17</f>
        <v>交通便捷度</v>
      </c>
      <c r="R17" s="666" t="s">
        <v>14</v>
      </c>
      <c r="S17" s="667">
        <f>F17</f>
        <v>100</v>
      </c>
      <c r="T17" s="666" t="s">
        <v>14</v>
      </c>
      <c r="U17" s="667">
        <f>H17</f>
        <v>100</v>
      </c>
      <c r="V17" s="666" t="s">
        <v>14</v>
      </c>
      <c r="W17" s="667">
        <f>J17</f>
        <v>100</v>
      </c>
      <c r="X17" s="1263"/>
      <c r="Y17" s="3367"/>
      <c r="Z17" s="1262" t="str">
        <f>Q17</f>
        <v>交通便捷度</v>
      </c>
      <c r="AA17" s="1262">
        <f t="shared" si="3"/>
        <v>1</v>
      </c>
      <c r="AB17" s="1262">
        <f t="shared" si="4"/>
        <v>1</v>
      </c>
      <c r="AC17" s="1262">
        <f t="shared" si="5"/>
        <v>1</v>
      </c>
    </row>
    <row r="18" spans="1:29" ht="15">
      <c r="A18" s="367"/>
      <c r="B18" s="395"/>
      <c r="C18" s="1753" t="s">
        <v>3520</v>
      </c>
      <c r="D18" s="389"/>
      <c r="E18" s="1753" t="s">
        <v>3520</v>
      </c>
      <c r="F18" s="392"/>
      <c r="G18" s="1753" t="s">
        <v>3520</v>
      </c>
      <c r="H18" s="387"/>
      <c r="I18" s="1753" t="s">
        <v>3520</v>
      </c>
      <c r="J18" s="387"/>
      <c r="K18" s="541"/>
      <c r="L18" s="2491"/>
      <c r="M18" s="2486"/>
      <c r="N18" s="2486"/>
      <c r="O18" s="2486"/>
      <c r="P18" s="3365"/>
      <c r="Q18" s="1261"/>
      <c r="R18" s="666"/>
      <c r="S18" s="667"/>
      <c r="T18" s="666"/>
      <c r="U18" s="667"/>
      <c r="V18" s="666"/>
      <c r="W18" s="667"/>
      <c r="X18" s="1263"/>
      <c r="Y18" s="3367"/>
      <c r="Z18" s="1262"/>
      <c r="AA18" s="1262">
        <v>1</v>
      </c>
      <c r="AB18" s="1262">
        <v>1</v>
      </c>
      <c r="AC18" s="1262">
        <v>1</v>
      </c>
    </row>
    <row r="19" spans="1:29" ht="28.5">
      <c r="A19" s="367"/>
      <c r="B19" s="390" t="s">
        <v>1777</v>
      </c>
      <c r="C19" s="1752"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65"/>
      <c r="Q19" s="1261" t="str">
        <f>B19</f>
        <v>公共配套设施</v>
      </c>
      <c r="R19" s="666" t="s">
        <v>14</v>
      </c>
      <c r="S19" s="667">
        <f>F19</f>
        <v>100</v>
      </c>
      <c r="T19" s="666" t="s">
        <v>14</v>
      </c>
      <c r="U19" s="667">
        <f>H19</f>
        <v>100</v>
      </c>
      <c r="V19" s="666" t="s">
        <v>14</v>
      </c>
      <c r="W19" s="667">
        <f>J19</f>
        <v>100</v>
      </c>
      <c r="X19" s="1263"/>
      <c r="Y19" s="3367"/>
      <c r="Z19" s="1262" t="str">
        <f>Q19</f>
        <v>公共配套设施</v>
      </c>
      <c r="AA19" s="1262">
        <f t="shared" si="3"/>
        <v>1</v>
      </c>
      <c r="AB19" s="1262">
        <f t="shared" si="4"/>
        <v>1</v>
      </c>
      <c r="AC19" s="1262">
        <f t="shared" si="5"/>
        <v>1</v>
      </c>
    </row>
    <row r="20" spans="1:29" ht="15">
      <c r="A20" s="367"/>
      <c r="B20" s="395"/>
      <c r="C20" s="386" t="s">
        <v>3520</v>
      </c>
      <c r="D20" s="387"/>
      <c r="E20" s="386" t="s">
        <v>3520</v>
      </c>
      <c r="F20" s="388"/>
      <c r="G20" s="386" t="s">
        <v>3520</v>
      </c>
      <c r="H20" s="387"/>
      <c r="I20" s="386" t="s">
        <v>3520</v>
      </c>
      <c r="J20" s="387"/>
      <c r="K20" s="541"/>
      <c r="L20" s="2491"/>
      <c r="M20" s="2486"/>
      <c r="N20" s="2486"/>
      <c r="O20" s="2486"/>
      <c r="P20" s="3365"/>
      <c r="Q20" s="1261"/>
      <c r="R20" s="666"/>
      <c r="S20" s="667"/>
      <c r="T20" s="666"/>
      <c r="U20" s="667"/>
      <c r="V20" s="666"/>
      <c r="W20" s="667"/>
      <c r="X20" s="1263"/>
      <c r="Y20" s="3367"/>
      <c r="Z20" s="1262"/>
      <c r="AA20" s="1262">
        <v>1</v>
      </c>
      <c r="AB20" s="1262">
        <v>1</v>
      </c>
      <c r="AC20" s="1262">
        <v>1</v>
      </c>
    </row>
    <row r="21" spans="1:29" ht="28.5">
      <c r="A21" s="367"/>
      <c r="B21" s="585" t="s">
        <v>1778</v>
      </c>
      <c r="C21" s="1752"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65"/>
      <c r="Q21" s="1261" t="str">
        <f>B21</f>
        <v>基础设施水平</v>
      </c>
      <c r="R21" s="666" t="s">
        <v>14</v>
      </c>
      <c r="S21" s="667">
        <f>F21</f>
        <v>100</v>
      </c>
      <c r="T21" s="666" t="s">
        <v>14</v>
      </c>
      <c r="U21" s="667">
        <f>H21</f>
        <v>100</v>
      </c>
      <c r="V21" s="666" t="s">
        <v>14</v>
      </c>
      <c r="W21" s="667">
        <f>J21</f>
        <v>100</v>
      </c>
      <c r="X21" s="1263"/>
      <c r="Y21" s="3367"/>
      <c r="Z21" s="1262" t="str">
        <f>Q21</f>
        <v>基础设施水平</v>
      </c>
      <c r="AA21" s="1262">
        <f>D21/F21</f>
        <v>1</v>
      </c>
      <c r="AB21" s="1262">
        <f>D21/H21</f>
        <v>1</v>
      </c>
      <c r="AC21" s="1262">
        <f>D21/J21</f>
        <v>1</v>
      </c>
    </row>
    <row r="22" spans="1:29" ht="15">
      <c r="A22" s="367"/>
      <c r="B22" s="585"/>
      <c r="C22" s="1753" t="s">
        <v>3521</v>
      </c>
      <c r="D22" s="387"/>
      <c r="E22" s="1753" t="s">
        <v>3521</v>
      </c>
      <c r="F22" s="388"/>
      <c r="G22" s="1753" t="s">
        <v>3521</v>
      </c>
      <c r="H22" s="387"/>
      <c r="I22" s="1753" t="s">
        <v>3521</v>
      </c>
      <c r="J22" s="387"/>
      <c r="K22" s="1063"/>
      <c r="L22" s="2491"/>
      <c r="M22" s="2486"/>
      <c r="N22" s="2486"/>
      <c r="O22" s="2486"/>
      <c r="P22" s="3365"/>
      <c r="Q22" s="1261"/>
      <c r="R22" s="666"/>
      <c r="S22" s="667"/>
      <c r="T22" s="666"/>
      <c r="U22" s="667"/>
      <c r="V22" s="666"/>
      <c r="W22" s="667"/>
      <c r="X22" s="1263"/>
      <c r="Y22" s="3367"/>
      <c r="Z22" s="1262"/>
      <c r="AA22" s="1262">
        <v>1</v>
      </c>
      <c r="AB22" s="1262">
        <v>1</v>
      </c>
      <c r="AC22" s="1262">
        <v>1</v>
      </c>
    </row>
    <row r="23" spans="1:29" ht="72.75" customHeight="1">
      <c r="A23" s="367"/>
      <c r="B23" s="390" t="s">
        <v>1260</v>
      </c>
      <c r="C23" s="1804" t="str">
        <f>估价对象房地状况!C9</f>
        <v>区域自然环境：北京动物园、官园公园；人文环境：北京天文馆、北京建筑大学；综合评价环境状况较好</v>
      </c>
      <c r="D23" s="389">
        <v>100</v>
      </c>
      <c r="E23" s="391"/>
      <c r="F23" s="392">
        <f>SUMIF(84:84,E24,85:85)-SUMIF(84:84,C24,85:85)+100</f>
        <v>100</v>
      </c>
      <c r="G23" s="393"/>
      <c r="H23" s="389">
        <f>SUMIF(84:84,G24,85:85)-SUMIF(84:84,C24,85:85)+100</f>
        <v>100</v>
      </c>
      <c r="I23" s="391"/>
      <c r="J23" s="389">
        <f>SUMIF(84:84,I24,85:85)-SUMIF(84:84,C24,85:85)+100</f>
        <v>100</v>
      </c>
      <c r="K23" s="540">
        <v>3</v>
      </c>
      <c r="L23" s="2491"/>
      <c r="M23" s="2486"/>
      <c r="N23" s="2486"/>
      <c r="O23" s="2486"/>
      <c r="P23" s="3365"/>
      <c r="Q23" s="1261" t="str">
        <f>B23</f>
        <v>自然及人文环境</v>
      </c>
      <c r="R23" s="666" t="s">
        <v>14</v>
      </c>
      <c r="S23" s="667">
        <f>F23</f>
        <v>100</v>
      </c>
      <c r="T23" s="666" t="s">
        <v>14</v>
      </c>
      <c r="U23" s="667">
        <f>H23</f>
        <v>100</v>
      </c>
      <c r="V23" s="666" t="s">
        <v>14</v>
      </c>
      <c r="W23" s="667">
        <f>J23</f>
        <v>100</v>
      </c>
      <c r="X23" s="1263"/>
      <c r="Y23" s="3367"/>
      <c r="Z23" s="1262" t="str">
        <f>Q23</f>
        <v>自然及人文环境</v>
      </c>
      <c r="AA23" s="1262">
        <f t="shared" si="3"/>
        <v>1</v>
      </c>
      <c r="AB23" s="1262">
        <f t="shared" si="4"/>
        <v>1</v>
      </c>
      <c r="AC23" s="1262">
        <f t="shared" si="5"/>
        <v>1</v>
      </c>
    </row>
    <row r="24" spans="1:29" ht="15">
      <c r="A24" s="367"/>
      <c r="B24" s="395"/>
      <c r="C24" s="386" t="s">
        <v>3520</v>
      </c>
      <c r="D24" s="387"/>
      <c r="E24" s="386" t="s">
        <v>3520</v>
      </c>
      <c r="F24" s="388"/>
      <c r="G24" s="386" t="s">
        <v>3520</v>
      </c>
      <c r="H24" s="387"/>
      <c r="I24" s="386" t="s">
        <v>3520</v>
      </c>
      <c r="J24" s="387"/>
      <c r="K24" s="541"/>
      <c r="L24" s="2491"/>
      <c r="M24" s="2486"/>
      <c r="N24" s="2486"/>
      <c r="O24" s="2486"/>
      <c r="P24" s="3365"/>
      <c r="Q24" s="1261"/>
      <c r="R24" s="666"/>
      <c r="S24" s="667"/>
      <c r="T24" s="666"/>
      <c r="U24" s="667"/>
      <c r="V24" s="666"/>
      <c r="W24" s="667"/>
      <c r="X24" s="1263"/>
      <c r="Y24" s="3367"/>
      <c r="Z24" s="1262"/>
      <c r="AA24" s="1262">
        <v>1</v>
      </c>
      <c r="AB24" s="1262">
        <v>1</v>
      </c>
      <c r="AC24" s="1262">
        <v>1</v>
      </c>
    </row>
    <row r="25" spans="1:29" ht="15">
      <c r="A25" s="367"/>
      <c r="B25" s="364" t="s">
        <v>1779</v>
      </c>
      <c r="C25" s="542" t="s">
        <v>3612</v>
      </c>
      <c r="D25" s="374">
        <v>100</v>
      </c>
      <c r="E25" s="542" t="s">
        <v>3612</v>
      </c>
      <c r="F25" s="400">
        <f>SUMIF(86:86,E25,87:87)-SUMIF(86:86,C25,87:87)+100</f>
        <v>100</v>
      </c>
      <c r="G25" s="542" t="s">
        <v>3612</v>
      </c>
      <c r="H25" s="374">
        <f>SUMIF(86:86,G25,87:87)-SUMIF(86:86,C25,87:87)+100</f>
        <v>100</v>
      </c>
      <c r="I25" s="542" t="s">
        <v>3612</v>
      </c>
      <c r="J25" s="374">
        <f>SUMIF(86:86,I25,87:87)-SUMIF(86:86,C25,87:87)+100</f>
        <v>100</v>
      </c>
      <c r="K25" s="538">
        <v>3</v>
      </c>
      <c r="L25" s="2491"/>
      <c r="M25" s="2486"/>
      <c r="N25" s="2486"/>
      <c r="O25" s="2486"/>
      <c r="P25" s="3365"/>
      <c r="Q25" s="1261" t="str">
        <f t="shared" ref="Q25:Q46" si="8">B25</f>
        <v>临街状况</v>
      </c>
      <c r="R25" s="666" t="s">
        <v>14</v>
      </c>
      <c r="S25" s="667">
        <f>F25</f>
        <v>100</v>
      </c>
      <c r="T25" s="666" t="s">
        <v>14</v>
      </c>
      <c r="U25" s="667">
        <f>H25</f>
        <v>100</v>
      </c>
      <c r="V25" s="666" t="s">
        <v>14</v>
      </c>
      <c r="W25" s="667">
        <f>J25</f>
        <v>100</v>
      </c>
      <c r="X25" s="1263"/>
      <c r="Y25" s="3367"/>
      <c r="Z25" s="1262" t="str">
        <f>Q25</f>
        <v>临街状况</v>
      </c>
      <c r="AA25" s="1262">
        <f t="shared" si="3"/>
        <v>1</v>
      </c>
      <c r="AB25" s="1262">
        <f t="shared" si="4"/>
        <v>1</v>
      </c>
      <c r="AC25" s="1262">
        <f t="shared" si="5"/>
        <v>1</v>
      </c>
    </row>
    <row r="26" spans="1:29" ht="15">
      <c r="A26" s="367"/>
      <c r="B26" s="1065" t="s">
        <v>1780</v>
      </c>
      <c r="C26" s="3159" t="s">
        <v>3625</v>
      </c>
      <c r="D26" s="374">
        <v>100</v>
      </c>
      <c r="E26" s="3159" t="s">
        <v>3625</v>
      </c>
      <c r="F26" s="400">
        <f>SUMIF(88:88,E26,89:89)-SUMIF(88:88,C26,89:89)+100</f>
        <v>100</v>
      </c>
      <c r="G26" s="3159" t="s">
        <v>3625</v>
      </c>
      <c r="H26" s="374">
        <f>SUMIF(88:88,G26,89:89)-SUMIF(88:88,C26,89:89)+100</f>
        <v>100</v>
      </c>
      <c r="I26" s="3159" t="s">
        <v>3625</v>
      </c>
      <c r="J26" s="374">
        <f>SUMIF(88:88,I26,89:89)-SUMIF(88:88,C26,89:89)+100</f>
        <v>100</v>
      </c>
      <c r="K26" s="539"/>
      <c r="L26" s="2491"/>
      <c r="M26" s="2486"/>
      <c r="N26" s="2486"/>
      <c r="O26" s="2486"/>
      <c r="P26" s="3365"/>
      <c r="Q26" s="1261" t="str">
        <f t="shared" si="8"/>
        <v>平面位置/可视性</v>
      </c>
      <c r="R26" s="666" t="s">
        <v>14</v>
      </c>
      <c r="S26" s="667">
        <f>F26</f>
        <v>100</v>
      </c>
      <c r="T26" s="666" t="s">
        <v>14</v>
      </c>
      <c r="U26" s="667">
        <f>H26</f>
        <v>100</v>
      </c>
      <c r="V26" s="666" t="s">
        <v>14</v>
      </c>
      <c r="W26" s="667">
        <f>J26</f>
        <v>100</v>
      </c>
      <c r="X26" s="1263"/>
      <c r="Y26" s="3367"/>
      <c r="Z26" s="1262" t="str">
        <f>Q26</f>
        <v>平面位置/可视性</v>
      </c>
      <c r="AA26" s="1262">
        <f t="shared" si="3"/>
        <v>1</v>
      </c>
      <c r="AB26" s="1262">
        <f t="shared" si="4"/>
        <v>1</v>
      </c>
      <c r="AC26" s="1262">
        <f t="shared" si="5"/>
        <v>1</v>
      </c>
    </row>
    <row r="27" spans="1:29" s="102" customFormat="1" ht="15">
      <c r="A27" s="370"/>
      <c r="B27" s="390" t="s">
        <v>1781</v>
      </c>
      <c r="C27" s="1805" t="s">
        <v>3565</v>
      </c>
      <c r="D27" s="401">
        <v>100</v>
      </c>
      <c r="E27" s="1805" t="s">
        <v>3620</v>
      </c>
      <c r="F27" s="395">
        <f>SUMIF(90:90,E27,91:91)-SUMIF(90:90,C27,91:91)+100</f>
        <v>105</v>
      </c>
      <c r="G27" s="1805" t="s">
        <v>3565</v>
      </c>
      <c r="H27" s="401">
        <f>SUMIF(90:90,G27,91:91)-SUMIF(90:90,C27,91:91)+100</f>
        <v>100</v>
      </c>
      <c r="I27" s="1805" t="s">
        <v>3620</v>
      </c>
      <c r="J27" s="401">
        <f>SUMIF(90:90,I27,91:91)-SUMIF(90:90,C27,91:91)+100</f>
        <v>105</v>
      </c>
      <c r="K27" s="538">
        <v>5</v>
      </c>
      <c r="L27" s="2487"/>
      <c r="M27" s="2438"/>
      <c r="N27" s="2438"/>
      <c r="O27" s="2438"/>
      <c r="P27" s="3365"/>
      <c r="Q27" s="530" t="str">
        <f t="shared" si="8"/>
        <v>人流量</v>
      </c>
      <c r="R27" s="663" t="s">
        <v>14</v>
      </c>
      <c r="S27" s="664">
        <f>F27</f>
        <v>105</v>
      </c>
      <c r="T27" s="663" t="s">
        <v>14</v>
      </c>
      <c r="U27" s="664">
        <f>H27</f>
        <v>100</v>
      </c>
      <c r="V27" s="663" t="s">
        <v>14</v>
      </c>
      <c r="W27" s="664">
        <f>J27</f>
        <v>105</v>
      </c>
      <c r="X27" s="665"/>
      <c r="Y27" s="3367"/>
      <c r="Z27" s="50" t="str">
        <f>Q27</f>
        <v>人流量</v>
      </c>
      <c r="AA27" s="1262">
        <f>D27/F27</f>
        <v>0.95238095238095233</v>
      </c>
      <c r="AB27" s="1262">
        <f>D27/H27</f>
        <v>1</v>
      </c>
      <c r="AC27" s="1262">
        <f>D27/J27</f>
        <v>0.95238095238095233</v>
      </c>
    </row>
    <row r="28" spans="1:29" ht="15">
      <c r="A28" s="367"/>
      <c r="B28" s="364" t="s">
        <v>1782</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1"/>
      <c r="M28" s="2486"/>
      <c r="N28" s="2486"/>
      <c r="O28" s="2486"/>
      <c r="P28" s="3365"/>
      <c r="Q28" s="1261" t="str">
        <f t="shared" si="8"/>
        <v>楼层</v>
      </c>
      <c r="R28" s="666" t="s">
        <v>14</v>
      </c>
      <c r="S28" s="667">
        <f t="shared" ref="S28:S46" si="9">F28</f>
        <v>100</v>
      </c>
      <c r="T28" s="666" t="s">
        <v>14</v>
      </c>
      <c r="U28" s="667">
        <f t="shared" ref="U28:U46" si="10">H28</f>
        <v>100</v>
      </c>
      <c r="V28" s="666" t="s">
        <v>14</v>
      </c>
      <c r="W28" s="667">
        <f t="shared" ref="W28:W46" si="11">J28</f>
        <v>100</v>
      </c>
      <c r="X28" s="1263"/>
      <c r="Y28" s="3367"/>
      <c r="Z28" s="1262" t="str">
        <f t="shared" ref="Z28:Z46" si="12">Q28</f>
        <v>楼层</v>
      </c>
      <c r="AA28" s="1262">
        <f t="shared" si="3"/>
        <v>1</v>
      </c>
      <c r="AB28" s="1262">
        <f t="shared" si="4"/>
        <v>1</v>
      </c>
      <c r="AC28" s="1262">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65"/>
      <c r="Q29" s="1261">
        <f t="shared" si="8"/>
        <v>111</v>
      </c>
      <c r="R29" s="666" t="s">
        <v>14</v>
      </c>
      <c r="S29" s="667">
        <f t="shared" si="9"/>
        <v>100</v>
      </c>
      <c r="T29" s="666" t="s">
        <v>14</v>
      </c>
      <c r="U29" s="667">
        <f t="shared" si="10"/>
        <v>100</v>
      </c>
      <c r="V29" s="666" t="s">
        <v>14</v>
      </c>
      <c r="W29" s="667">
        <f t="shared" si="11"/>
        <v>100</v>
      </c>
      <c r="X29" s="1263"/>
      <c r="Y29" s="3367"/>
      <c r="Z29" s="1262">
        <f t="shared" si="12"/>
        <v>111</v>
      </c>
      <c r="AA29" s="1262">
        <f t="shared" si="3"/>
        <v>1</v>
      </c>
      <c r="AB29" s="1262">
        <f t="shared" si="4"/>
        <v>1</v>
      </c>
      <c r="AC29" s="1262">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5"/>
      <c r="Q30" s="1261">
        <f t="shared" si="8"/>
        <v>111</v>
      </c>
      <c r="R30" s="666" t="s">
        <v>14</v>
      </c>
      <c r="S30" s="667">
        <f t="shared" si="9"/>
        <v>100</v>
      </c>
      <c r="T30" s="666" t="s">
        <v>14</v>
      </c>
      <c r="U30" s="667">
        <f t="shared" si="10"/>
        <v>100</v>
      </c>
      <c r="V30" s="666" t="s">
        <v>14</v>
      </c>
      <c r="W30" s="667">
        <f t="shared" si="11"/>
        <v>100</v>
      </c>
      <c r="X30" s="1263"/>
      <c r="Y30" s="3367"/>
      <c r="Z30" s="1262">
        <f t="shared" si="12"/>
        <v>111</v>
      </c>
      <c r="AA30" s="1262">
        <f t="shared" si="3"/>
        <v>1</v>
      </c>
      <c r="AB30" s="1262">
        <f t="shared" si="4"/>
        <v>1</v>
      </c>
      <c r="AC30" s="1262">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5"/>
      <c r="Q31" s="1261">
        <f t="shared" si="8"/>
        <v>111</v>
      </c>
      <c r="R31" s="666" t="s">
        <v>14</v>
      </c>
      <c r="S31" s="667">
        <f t="shared" si="9"/>
        <v>100</v>
      </c>
      <c r="T31" s="666" t="s">
        <v>14</v>
      </c>
      <c r="U31" s="667">
        <f t="shared" si="10"/>
        <v>100</v>
      </c>
      <c r="V31" s="666" t="s">
        <v>14</v>
      </c>
      <c r="W31" s="667">
        <f t="shared" si="11"/>
        <v>100</v>
      </c>
      <c r="X31" s="1263"/>
      <c r="Y31" s="3367"/>
      <c r="Z31" s="1262">
        <f t="shared" si="12"/>
        <v>111</v>
      </c>
      <c r="AA31" s="1262">
        <f t="shared" si="3"/>
        <v>1</v>
      </c>
      <c r="AB31" s="1262">
        <f t="shared" si="4"/>
        <v>1</v>
      </c>
      <c r="AC31" s="1262">
        <f t="shared" si="5"/>
        <v>1</v>
      </c>
    </row>
    <row r="32" spans="1:29" ht="15">
      <c r="A32" s="379" t="s">
        <v>1693</v>
      </c>
      <c r="B32" s="60" t="s">
        <v>1783</v>
      </c>
      <c r="C32" s="1762" t="s">
        <v>3621</v>
      </c>
      <c r="D32" s="405">
        <v>100</v>
      </c>
      <c r="E32" s="1762" t="s">
        <v>3621</v>
      </c>
      <c r="F32" s="400">
        <f>SUMIF(100:100,E32,101:101)-SUMIF(100:100,C32,101:101)+100</f>
        <v>100</v>
      </c>
      <c r="G32" s="1762" t="s">
        <v>3621</v>
      </c>
      <c r="H32" s="374">
        <f>SUMIF(100:100,G32,101:101)-SUMIF(100:100,C32,101:101)+100</f>
        <v>100</v>
      </c>
      <c r="I32" s="1762" t="s">
        <v>3621</v>
      </c>
      <c r="J32" s="405">
        <f>SUMIF(100:100,I32,101:101)-SUMIF(100:100,C32,101:101)+100</f>
        <v>100</v>
      </c>
      <c r="K32" s="538">
        <v>3</v>
      </c>
      <c r="L32" s="2491"/>
      <c r="M32" s="2486"/>
      <c r="N32" s="2486"/>
      <c r="O32" s="2486"/>
      <c r="P32" s="3368" t="s">
        <v>1695</v>
      </c>
      <c r="Q32" s="1261" t="str">
        <f t="shared" si="8"/>
        <v>商业类型</v>
      </c>
      <c r="R32" s="666" t="s">
        <v>14</v>
      </c>
      <c r="S32" s="667">
        <f t="shared" si="9"/>
        <v>100</v>
      </c>
      <c r="T32" s="666" t="s">
        <v>14</v>
      </c>
      <c r="U32" s="667">
        <f t="shared" si="10"/>
        <v>100</v>
      </c>
      <c r="V32" s="666" t="s">
        <v>14</v>
      </c>
      <c r="W32" s="667">
        <f t="shared" si="11"/>
        <v>100</v>
      </c>
      <c r="X32" s="1263"/>
      <c r="Y32" s="3371" t="s">
        <v>1695</v>
      </c>
      <c r="Z32" s="1262" t="str">
        <f t="shared" si="12"/>
        <v>商业类型</v>
      </c>
      <c r="AA32" s="1262">
        <f t="shared" si="3"/>
        <v>1</v>
      </c>
      <c r="AB32" s="1262">
        <f t="shared" si="4"/>
        <v>1</v>
      </c>
      <c r="AC32" s="1262">
        <f t="shared" si="5"/>
        <v>1</v>
      </c>
    </row>
    <row r="33" spans="1:29" s="408" customFormat="1" ht="15">
      <c r="A33" s="406"/>
      <c r="B33" s="364" t="s">
        <v>1696</v>
      </c>
      <c r="C33" s="407">
        <f>'数据-汇总表'!F20</f>
        <v>282.85000000000002</v>
      </c>
      <c r="D33" s="119">
        <v>100</v>
      </c>
      <c r="E33" s="407">
        <v>322.18</v>
      </c>
      <c r="F33" s="364">
        <f>LOOKUP(E33,103:103,104:104)-LOOKUP(C33,103:103,104:104)+100</f>
        <v>99</v>
      </c>
      <c r="G33" s="407">
        <v>66.87</v>
      </c>
      <c r="H33" s="119">
        <f>LOOKUP(G33,103:103,104:104)-LOOKUP(C33,103:103,104:104)+100</f>
        <v>102</v>
      </c>
      <c r="I33" s="407">
        <v>240.26</v>
      </c>
      <c r="J33" s="119">
        <f>LOOKUP(I33,103:103,104:104)-LOOKUP(C33,103:103,104:104)+100</f>
        <v>100</v>
      </c>
      <c r="K33" s="539"/>
      <c r="L33" s="2490"/>
      <c r="M33" s="2492"/>
      <c r="N33" s="2492"/>
      <c r="O33" s="2492"/>
      <c r="P33" s="3369"/>
      <c r="Q33" s="531" t="str">
        <f t="shared" si="8"/>
        <v>项目建筑规模</v>
      </c>
      <c r="R33" s="668" t="s">
        <v>14</v>
      </c>
      <c r="S33" s="669">
        <f t="shared" si="9"/>
        <v>99</v>
      </c>
      <c r="T33" s="668" t="s">
        <v>14</v>
      </c>
      <c r="U33" s="669">
        <f t="shared" si="10"/>
        <v>102</v>
      </c>
      <c r="V33" s="668" t="s">
        <v>14</v>
      </c>
      <c r="W33" s="669">
        <f t="shared" si="11"/>
        <v>100</v>
      </c>
      <c r="X33" s="670"/>
      <c r="Y33" s="3371"/>
      <c r="Z33" s="671" t="str">
        <f t="shared" si="12"/>
        <v>项目建筑规模</v>
      </c>
      <c r="AA33" s="1262">
        <f t="shared" si="3"/>
        <v>1.0101010101010102</v>
      </c>
      <c r="AB33" s="1262">
        <f t="shared" si="4"/>
        <v>0.98039215686274506</v>
      </c>
      <c r="AC33" s="1262">
        <f t="shared" si="5"/>
        <v>1</v>
      </c>
    </row>
    <row r="34" spans="1:29" ht="15">
      <c r="A34" s="409"/>
      <c r="B34" s="364" t="s">
        <v>1697</v>
      </c>
      <c r="C34" s="399" t="s">
        <v>3574</v>
      </c>
      <c r="D34" s="374">
        <v>100</v>
      </c>
      <c r="E34" s="399" t="s">
        <v>3574</v>
      </c>
      <c r="F34" s="400">
        <f>SUMIF(105:105,E34,106:106)-SUMIF(105:105,C34,106:106)+100</f>
        <v>100</v>
      </c>
      <c r="G34" s="399" t="s">
        <v>3574</v>
      </c>
      <c r="H34" s="374">
        <f>SUMIF(105:105,G34,106:106)-SUMIF(105:105,C34,106:106)+100</f>
        <v>100</v>
      </c>
      <c r="I34" s="399" t="s">
        <v>3574</v>
      </c>
      <c r="J34" s="374">
        <f>SUMIF(105:105,I34,106:106)-SUMIF(105:105,C34,106:106)+100</f>
        <v>100</v>
      </c>
      <c r="K34" s="538">
        <v>2</v>
      </c>
      <c r="L34" s="2491"/>
      <c r="M34" s="2486"/>
      <c r="N34" s="2486"/>
      <c r="O34" s="2486"/>
      <c r="P34" s="3369"/>
      <c r="Q34" s="1261" t="str">
        <f t="shared" si="8"/>
        <v>建筑结构</v>
      </c>
      <c r="R34" s="666" t="s">
        <v>14</v>
      </c>
      <c r="S34" s="667">
        <f t="shared" si="9"/>
        <v>100</v>
      </c>
      <c r="T34" s="666" t="s">
        <v>14</v>
      </c>
      <c r="U34" s="667">
        <f t="shared" si="10"/>
        <v>100</v>
      </c>
      <c r="V34" s="666" t="s">
        <v>14</v>
      </c>
      <c r="W34" s="667">
        <f t="shared" si="11"/>
        <v>100</v>
      </c>
      <c r="X34" s="1263"/>
      <c r="Y34" s="3371"/>
      <c r="Z34" s="1262" t="str">
        <f t="shared" si="12"/>
        <v>建筑结构</v>
      </c>
      <c r="AA34" s="1262">
        <f t="shared" si="3"/>
        <v>1</v>
      </c>
      <c r="AB34" s="1262">
        <f t="shared" si="4"/>
        <v>1</v>
      </c>
      <c r="AC34" s="1262">
        <f t="shared" si="5"/>
        <v>1</v>
      </c>
    </row>
    <row r="35" spans="1:29" ht="15">
      <c r="A35" s="409"/>
      <c r="B35" s="364" t="s">
        <v>1784</v>
      </c>
      <c r="C35" s="1758" t="s">
        <v>3575</v>
      </c>
      <c r="D35" s="374">
        <v>100</v>
      </c>
      <c r="E35" s="1758" t="s">
        <v>3575</v>
      </c>
      <c r="F35" s="400">
        <f>SUMIF(107:107,E35,108:108)-SUMIF(107:107,C35,108:108)+100</f>
        <v>100</v>
      </c>
      <c r="G35" s="1758" t="s">
        <v>3575</v>
      </c>
      <c r="H35" s="374">
        <f>SUMIF(107:107,G35,108:108)-SUMIF(107:107,C35,108:108)+100</f>
        <v>100</v>
      </c>
      <c r="I35" s="1758" t="s">
        <v>3575</v>
      </c>
      <c r="J35" s="374">
        <f>SUMIF(107:107,I35,108:108)-SUMIF(107:107,C35,108:108)+100</f>
        <v>100</v>
      </c>
      <c r="K35" s="538">
        <v>2</v>
      </c>
      <c r="L35" s="2491"/>
      <c r="M35" s="2486"/>
      <c r="N35" s="2486"/>
      <c r="O35" s="2486"/>
      <c r="P35" s="3369"/>
      <c r="Q35" s="1261" t="str">
        <f t="shared" si="8"/>
        <v>公共部分装修</v>
      </c>
      <c r="R35" s="666" t="s">
        <v>14</v>
      </c>
      <c r="S35" s="667">
        <f t="shared" si="9"/>
        <v>100</v>
      </c>
      <c r="T35" s="666" t="s">
        <v>14</v>
      </c>
      <c r="U35" s="667">
        <f t="shared" si="10"/>
        <v>100</v>
      </c>
      <c r="V35" s="666" t="s">
        <v>14</v>
      </c>
      <c r="W35" s="667">
        <f t="shared" si="11"/>
        <v>100</v>
      </c>
      <c r="X35" s="1263"/>
      <c r="Y35" s="3371"/>
      <c r="Z35" s="1262" t="str">
        <f t="shared" si="12"/>
        <v>公共部分装修</v>
      </c>
      <c r="AA35" s="1262">
        <f t="shared" si="3"/>
        <v>1</v>
      </c>
      <c r="AB35" s="1262">
        <f t="shared" si="4"/>
        <v>1</v>
      </c>
      <c r="AC35" s="1262">
        <f t="shared" si="5"/>
        <v>1</v>
      </c>
    </row>
    <row r="36" spans="1:29" ht="15">
      <c r="A36" s="409"/>
      <c r="B36" s="364" t="s">
        <v>1785</v>
      </c>
      <c r="C36" s="411">
        <f>'比较法-办公'!C37</f>
        <v>0.82</v>
      </c>
      <c r="D36" s="374">
        <v>100</v>
      </c>
      <c r="E36" s="411">
        <f>C36</f>
        <v>0.82</v>
      </c>
      <c r="F36" s="400">
        <f>LOOKUP(E36,110:110,111:111)-LOOKUP(C36,110:110,111:111)+100</f>
        <v>100</v>
      </c>
      <c r="G36" s="411">
        <f>E36</f>
        <v>0.82</v>
      </c>
      <c r="H36" s="400">
        <f>LOOKUP(G36,110:110,111:111)-LOOKUP(C36,110:110,111:111)+100</f>
        <v>100</v>
      </c>
      <c r="I36" s="411">
        <f>G36</f>
        <v>0.82</v>
      </c>
      <c r="J36" s="374">
        <f>LOOKUP(I36,110:110,111:111)-LOOKUP(C36,110:110,111:111)+100</f>
        <v>100</v>
      </c>
      <c r="K36" s="538">
        <v>1</v>
      </c>
      <c r="L36" s="2491"/>
      <c r="M36" s="2486"/>
      <c r="N36" s="2486"/>
      <c r="O36" s="2486"/>
      <c r="P36" s="3369"/>
      <c r="Q36" s="1261" t="str">
        <f t="shared" si="8"/>
        <v>成新度</v>
      </c>
      <c r="R36" s="666" t="s">
        <v>14</v>
      </c>
      <c r="S36" s="667">
        <f t="shared" si="9"/>
        <v>100</v>
      </c>
      <c r="T36" s="666" t="s">
        <v>14</v>
      </c>
      <c r="U36" s="667">
        <f t="shared" si="10"/>
        <v>100</v>
      </c>
      <c r="V36" s="666" t="s">
        <v>14</v>
      </c>
      <c r="W36" s="667">
        <f t="shared" si="11"/>
        <v>100</v>
      </c>
      <c r="X36" s="1263"/>
      <c r="Y36" s="3371"/>
      <c r="Z36" s="1262" t="str">
        <f t="shared" si="12"/>
        <v>成新度</v>
      </c>
      <c r="AA36" s="1262">
        <f t="shared" si="3"/>
        <v>1</v>
      </c>
      <c r="AB36" s="1262">
        <f t="shared" si="4"/>
        <v>1</v>
      </c>
      <c r="AC36" s="1262">
        <f t="shared" si="5"/>
        <v>1</v>
      </c>
    </row>
    <row r="37" spans="1:29" s="102" customFormat="1" ht="15">
      <c r="A37" s="410"/>
      <c r="B37" s="364" t="s">
        <v>1786</v>
      </c>
      <c r="C37" s="399" t="s">
        <v>3622</v>
      </c>
      <c r="D37" s="119">
        <v>100</v>
      </c>
      <c r="E37" s="399" t="s">
        <v>3622</v>
      </c>
      <c r="F37" s="400">
        <f>SUMIF(112:112,E37,113:113)-SUMIF(112:112,C37,113:113)+100</f>
        <v>100</v>
      </c>
      <c r="G37" s="399" t="s">
        <v>3622</v>
      </c>
      <c r="H37" s="374">
        <f>SUMIF(112:112,G37,113:113)-SUMIF(112:112,C37,113:113)+100</f>
        <v>100</v>
      </c>
      <c r="I37" s="399" t="s">
        <v>3622</v>
      </c>
      <c r="J37" s="374">
        <f>SUMIF(112:112,I37,113:113)-SUMIF(112:112,C37,113:113)+100</f>
        <v>100</v>
      </c>
      <c r="K37" s="538">
        <v>1</v>
      </c>
      <c r="L37" s="2487"/>
      <c r="M37" s="2438"/>
      <c r="N37" s="2438"/>
      <c r="O37" s="2438"/>
      <c r="P37" s="3369"/>
      <c r="Q37" s="530" t="str">
        <f t="shared" si="8"/>
        <v>市政基础设施</v>
      </c>
      <c r="R37" s="663" t="s">
        <v>14</v>
      </c>
      <c r="S37" s="664">
        <f t="shared" si="9"/>
        <v>100</v>
      </c>
      <c r="T37" s="663" t="s">
        <v>14</v>
      </c>
      <c r="U37" s="664">
        <f t="shared" si="10"/>
        <v>100</v>
      </c>
      <c r="V37" s="663" t="s">
        <v>14</v>
      </c>
      <c r="W37" s="664">
        <f t="shared" si="11"/>
        <v>100</v>
      </c>
      <c r="X37" s="665"/>
      <c r="Y37" s="3371"/>
      <c r="Z37" s="50" t="str">
        <f t="shared" si="12"/>
        <v>市政基础设施</v>
      </c>
      <c r="AA37" s="50">
        <f t="shared" si="3"/>
        <v>1</v>
      </c>
      <c r="AB37" s="50">
        <f t="shared" si="4"/>
        <v>1</v>
      </c>
      <c r="AC37" s="50">
        <f t="shared" si="5"/>
        <v>1</v>
      </c>
    </row>
    <row r="38" spans="1:29" ht="15">
      <c r="A38" s="409"/>
      <c r="B38" s="364" t="s">
        <v>1787</v>
      </c>
      <c r="C38" s="1758" t="s">
        <v>3553</v>
      </c>
      <c r="D38" s="374">
        <v>100</v>
      </c>
      <c r="E38" s="1758" t="s">
        <v>3553</v>
      </c>
      <c r="F38" s="400">
        <f>SUMIF(114:114,E38,115:115)-SUMIF(114:114,C38,115:115)+100</f>
        <v>100</v>
      </c>
      <c r="G38" s="1758" t="s">
        <v>3555</v>
      </c>
      <c r="H38" s="374">
        <f>SUMIF(114:114,G38,115:115)-SUMIF(114:114,C38,115:115)+100</f>
        <v>95</v>
      </c>
      <c r="I38" s="1758" t="s">
        <v>3553</v>
      </c>
      <c r="J38" s="374">
        <f>SUMIF(114:114,I38,115:115)-SUMIF(114:114,C38,115:115)+100</f>
        <v>100</v>
      </c>
      <c r="K38" s="538">
        <v>5</v>
      </c>
      <c r="L38" s="2491"/>
      <c r="M38" s="2486"/>
      <c r="N38" s="2486"/>
      <c r="O38" s="2486"/>
      <c r="P38" s="3369" t="s">
        <v>1695</v>
      </c>
      <c r="Q38" s="1261" t="str">
        <f t="shared" si="8"/>
        <v>业态</v>
      </c>
      <c r="R38" s="666" t="s">
        <v>14</v>
      </c>
      <c r="S38" s="667">
        <f t="shared" si="9"/>
        <v>100</v>
      </c>
      <c r="T38" s="666" t="s">
        <v>14</v>
      </c>
      <c r="U38" s="667">
        <f t="shared" si="10"/>
        <v>95</v>
      </c>
      <c r="V38" s="666" t="s">
        <v>14</v>
      </c>
      <c r="W38" s="667">
        <f t="shared" si="11"/>
        <v>100</v>
      </c>
      <c r="X38" s="1263"/>
      <c r="Y38" s="3371" t="s">
        <v>1695</v>
      </c>
      <c r="Z38" s="1262" t="str">
        <f t="shared" si="12"/>
        <v>业态</v>
      </c>
      <c r="AA38" s="1262">
        <f t="shared" si="3"/>
        <v>1</v>
      </c>
      <c r="AB38" s="1262">
        <f t="shared" si="4"/>
        <v>1.0526315789473684</v>
      </c>
      <c r="AC38" s="1262">
        <f t="shared" si="5"/>
        <v>1</v>
      </c>
    </row>
    <row r="39" spans="1:29" ht="15">
      <c r="A39" s="409"/>
      <c r="B39" s="364" t="s">
        <v>1788</v>
      </c>
      <c r="C39" s="1758" t="s">
        <v>3551</v>
      </c>
      <c r="D39" s="374">
        <v>100</v>
      </c>
      <c r="E39" s="3158" t="s">
        <v>3624</v>
      </c>
      <c r="F39" s="400">
        <f>SUMIF(116:116,E39,117:117)-SUMIF(116:116,C39,117:117)+100</f>
        <v>97</v>
      </c>
      <c r="G39" s="3158" t="s">
        <v>3624</v>
      </c>
      <c r="H39" s="374">
        <f>SUMIF(116:116,G39,117:117)-SUMIF(116:116,C39,117:117)+100</f>
        <v>97</v>
      </c>
      <c r="I39" s="3158" t="s">
        <v>3624</v>
      </c>
      <c r="J39" s="374">
        <f>SUMIF(116:116,I39,117:117)-SUMIF(116:116,C39,117:117)+100</f>
        <v>97</v>
      </c>
      <c r="K39" s="538">
        <v>3</v>
      </c>
      <c r="L39" s="2491"/>
      <c r="M39" s="2486"/>
      <c r="N39" s="2486"/>
      <c r="O39" s="2486"/>
      <c r="P39" s="3369"/>
      <c r="Q39" s="1261" t="str">
        <f t="shared" si="8"/>
        <v>层高</v>
      </c>
      <c r="R39" s="666" t="s">
        <v>14</v>
      </c>
      <c r="S39" s="667">
        <f t="shared" si="9"/>
        <v>97</v>
      </c>
      <c r="T39" s="666" t="s">
        <v>14</v>
      </c>
      <c r="U39" s="667">
        <f t="shared" si="10"/>
        <v>97</v>
      </c>
      <c r="V39" s="666" t="s">
        <v>14</v>
      </c>
      <c r="W39" s="667">
        <f t="shared" si="11"/>
        <v>97</v>
      </c>
      <c r="X39" s="1263"/>
      <c r="Y39" s="3371"/>
      <c r="Z39" s="1262" t="str">
        <f t="shared" si="12"/>
        <v>层高</v>
      </c>
      <c r="AA39" s="1262">
        <f t="shared" si="3"/>
        <v>1.0309278350515463</v>
      </c>
      <c r="AB39" s="1262">
        <f t="shared" si="4"/>
        <v>1.0309278350515463</v>
      </c>
      <c r="AC39" s="1262">
        <f t="shared" si="5"/>
        <v>1.0309278350515463</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69"/>
      <c r="Q40" s="1261" t="str">
        <f t="shared" si="8"/>
        <v>单套建筑面积</v>
      </c>
      <c r="R40" s="666" t="s">
        <v>14</v>
      </c>
      <c r="S40" s="667">
        <f t="shared" si="9"/>
        <v>100</v>
      </c>
      <c r="T40" s="666" t="s">
        <v>14</v>
      </c>
      <c r="U40" s="667">
        <f t="shared" si="10"/>
        <v>100</v>
      </c>
      <c r="V40" s="666" t="s">
        <v>14</v>
      </c>
      <c r="W40" s="667">
        <f t="shared" si="11"/>
        <v>100</v>
      </c>
      <c r="X40" s="1263"/>
      <c r="Y40" s="3371"/>
      <c r="Z40" s="1262" t="str">
        <f t="shared" si="12"/>
        <v>单套建筑面积</v>
      </c>
      <c r="AA40" s="1262">
        <f t="shared" si="3"/>
        <v>1</v>
      </c>
      <c r="AB40" s="1262">
        <f t="shared" si="4"/>
        <v>1</v>
      </c>
      <c r="AC40" s="1262">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9"/>
      <c r="Q41" s="531" t="str">
        <f t="shared" si="8"/>
        <v>进深比</v>
      </c>
      <c r="R41" s="668" t="s">
        <v>14</v>
      </c>
      <c r="S41" s="669">
        <f t="shared" si="9"/>
        <v>100</v>
      </c>
      <c r="T41" s="668" t="s">
        <v>14</v>
      </c>
      <c r="U41" s="669">
        <f t="shared" si="10"/>
        <v>100</v>
      </c>
      <c r="V41" s="668" t="s">
        <v>14</v>
      </c>
      <c r="W41" s="669">
        <f t="shared" si="11"/>
        <v>100</v>
      </c>
      <c r="X41" s="670"/>
      <c r="Y41" s="3371"/>
      <c r="Z41" s="671" t="str">
        <f t="shared" si="12"/>
        <v>进深比</v>
      </c>
      <c r="AA41" s="1262">
        <f t="shared" si="3"/>
        <v>1</v>
      </c>
      <c r="AB41" s="1262">
        <f t="shared" si="4"/>
        <v>1</v>
      </c>
      <c r="AC41" s="1262">
        <f t="shared" si="5"/>
        <v>1</v>
      </c>
    </row>
    <row r="42" spans="1:29" ht="15">
      <c r="A42" s="409"/>
      <c r="B42" s="364" t="s">
        <v>1791</v>
      </c>
      <c r="C42" s="1758" t="s">
        <v>3575</v>
      </c>
      <c r="D42" s="374">
        <v>100</v>
      </c>
      <c r="E42" s="1758" t="s">
        <v>3575</v>
      </c>
      <c r="F42" s="400">
        <f>SUMIF(122:122,E42,123:123)-SUMIF(122:122,C42,123:123)+100</f>
        <v>100</v>
      </c>
      <c r="G42" s="1758" t="s">
        <v>3575</v>
      </c>
      <c r="H42" s="374">
        <f>SUMIF(122:122,G42,123:123)-SUMIF(122:122,C42,123:123)+100</f>
        <v>100</v>
      </c>
      <c r="I42" s="1758" t="s">
        <v>3575</v>
      </c>
      <c r="J42" s="374">
        <f>SUMIF(122:122,I42,123:123)-SUMIF(122:122,C42,123:123)+100</f>
        <v>100</v>
      </c>
      <c r="K42" s="538">
        <v>1</v>
      </c>
      <c r="L42" s="2491"/>
      <c r="M42" s="2486"/>
      <c r="N42" s="2486"/>
      <c r="O42" s="2486"/>
      <c r="P42" s="3369"/>
      <c r="Q42" s="1261" t="str">
        <f t="shared" si="8"/>
        <v>内部装修</v>
      </c>
      <c r="R42" s="666" t="s">
        <v>14</v>
      </c>
      <c r="S42" s="667">
        <f t="shared" si="9"/>
        <v>100</v>
      </c>
      <c r="T42" s="666" t="s">
        <v>14</v>
      </c>
      <c r="U42" s="667">
        <f t="shared" si="10"/>
        <v>100</v>
      </c>
      <c r="V42" s="666" t="s">
        <v>14</v>
      </c>
      <c r="W42" s="667">
        <f t="shared" si="11"/>
        <v>100</v>
      </c>
      <c r="X42" s="1263"/>
      <c r="Y42" s="3371"/>
      <c r="Z42" s="1262" t="str">
        <f t="shared" si="12"/>
        <v>内部装修</v>
      </c>
      <c r="AA42" s="1262">
        <f t="shared" si="3"/>
        <v>1</v>
      </c>
      <c r="AB42" s="1262">
        <f t="shared" si="4"/>
        <v>1</v>
      </c>
      <c r="AC42" s="1262">
        <f t="shared" si="5"/>
        <v>1</v>
      </c>
    </row>
    <row r="43" spans="1:29" ht="15">
      <c r="A43" s="409"/>
      <c r="B43" s="364" t="s">
        <v>1706</v>
      </c>
      <c r="C43" s="1758" t="s">
        <v>3520</v>
      </c>
      <c r="D43" s="374">
        <v>100</v>
      </c>
      <c r="E43" s="1758" t="s">
        <v>3520</v>
      </c>
      <c r="F43" s="400">
        <f>SUMIF(124:124,E43,125:125)-SUMIF(124:124,C43,125:125)+100</f>
        <v>100</v>
      </c>
      <c r="G43" s="1758" t="s">
        <v>3520</v>
      </c>
      <c r="H43" s="374">
        <f>SUMIF(124:124,G43,125:125)-SUMIF(124:124,C43,125:125)+100</f>
        <v>100</v>
      </c>
      <c r="I43" s="1758" t="s">
        <v>3520</v>
      </c>
      <c r="J43" s="374">
        <f>SUMIF(124:124,I43,125:125)-SUMIF(124:124,C43,125:125)+100</f>
        <v>100</v>
      </c>
      <c r="K43" s="538">
        <v>2</v>
      </c>
      <c r="L43" s="2491"/>
      <c r="M43" s="2486"/>
      <c r="N43" s="2486"/>
      <c r="O43" s="2486"/>
      <c r="P43" s="3369"/>
      <c r="Q43" s="1261" t="str">
        <f t="shared" si="8"/>
        <v>内部装修维护情况</v>
      </c>
      <c r="R43" s="666" t="s">
        <v>14</v>
      </c>
      <c r="S43" s="667">
        <f t="shared" si="9"/>
        <v>100</v>
      </c>
      <c r="T43" s="666" t="s">
        <v>14</v>
      </c>
      <c r="U43" s="667">
        <f t="shared" si="10"/>
        <v>100</v>
      </c>
      <c r="V43" s="666" t="s">
        <v>14</v>
      </c>
      <c r="W43" s="667">
        <f t="shared" si="11"/>
        <v>100</v>
      </c>
      <c r="X43" s="1263"/>
      <c r="Y43" s="3371"/>
      <c r="Z43" s="1262" t="str">
        <f t="shared" si="12"/>
        <v>内部装修维护情况</v>
      </c>
      <c r="AA43" s="1262">
        <f t="shared" si="3"/>
        <v>1</v>
      </c>
      <c r="AB43" s="1262">
        <f t="shared" si="4"/>
        <v>1</v>
      </c>
      <c r="AC43" s="1262">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69"/>
      <c r="Q44" s="530">
        <f t="shared" si="8"/>
        <v>111</v>
      </c>
      <c r="R44" s="663" t="s">
        <v>14</v>
      </c>
      <c r="S44" s="664">
        <f t="shared" si="9"/>
        <v>100</v>
      </c>
      <c r="T44" s="663" t="s">
        <v>14</v>
      </c>
      <c r="U44" s="664">
        <f t="shared" si="10"/>
        <v>100</v>
      </c>
      <c r="V44" s="663" t="s">
        <v>14</v>
      </c>
      <c r="W44" s="664">
        <f t="shared" si="11"/>
        <v>100</v>
      </c>
      <c r="X44" s="665"/>
      <c r="Y44" s="3371"/>
      <c r="Z44" s="50">
        <f t="shared" si="12"/>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9"/>
      <c r="Q45" s="1261">
        <f t="shared" si="8"/>
        <v>111</v>
      </c>
      <c r="R45" s="666" t="s">
        <v>14</v>
      </c>
      <c r="S45" s="667">
        <f t="shared" si="9"/>
        <v>100</v>
      </c>
      <c r="T45" s="666" t="s">
        <v>14</v>
      </c>
      <c r="U45" s="667">
        <f t="shared" si="10"/>
        <v>100</v>
      </c>
      <c r="V45" s="666" t="s">
        <v>14</v>
      </c>
      <c r="W45" s="667">
        <f t="shared" si="11"/>
        <v>100</v>
      </c>
      <c r="X45" s="1263"/>
      <c r="Y45" s="3371"/>
      <c r="Z45" s="1262">
        <f t="shared" si="12"/>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0"/>
      <c r="Q46" s="1261">
        <f t="shared" si="8"/>
        <v>111</v>
      </c>
      <c r="R46" s="666" t="s">
        <v>14</v>
      </c>
      <c r="S46" s="667">
        <f t="shared" si="9"/>
        <v>100</v>
      </c>
      <c r="T46" s="666" t="s">
        <v>14</v>
      </c>
      <c r="U46" s="667">
        <f t="shared" si="10"/>
        <v>100</v>
      </c>
      <c r="V46" s="666" t="s">
        <v>14</v>
      </c>
      <c r="W46" s="667">
        <f t="shared" si="11"/>
        <v>100</v>
      </c>
      <c r="X46" s="1263"/>
      <c r="Y46" s="3372"/>
      <c r="Z46" s="1262">
        <f t="shared" si="12"/>
        <v>111</v>
      </c>
      <c r="AA46" s="1262">
        <f t="shared" si="3"/>
        <v>1</v>
      </c>
      <c r="AB46" s="1262">
        <f t="shared" si="4"/>
        <v>1</v>
      </c>
      <c r="AC46" s="1262">
        <f t="shared" si="5"/>
        <v>1</v>
      </c>
    </row>
    <row r="47" spans="1:29" ht="15">
      <c r="A47" s="416" t="s">
        <v>1707</v>
      </c>
      <c r="B47" s="417"/>
      <c r="C47" s="1080" t="s">
        <v>0</v>
      </c>
      <c r="D47" s="418"/>
      <c r="E47" s="419">
        <v>99945</v>
      </c>
      <c r="F47" s="420"/>
      <c r="G47" s="421">
        <v>77763</v>
      </c>
      <c r="H47" s="422"/>
      <c r="I47" s="419">
        <v>99892</v>
      </c>
      <c r="J47" s="422"/>
      <c r="K47" s="673"/>
      <c r="L47" s="2493"/>
      <c r="M47" s="2486"/>
      <c r="N47" s="2486"/>
      <c r="O47" s="2486"/>
      <c r="P47" s="3359" t="str">
        <f>A47</f>
        <v>成交单价（元/平方米）</v>
      </c>
      <c r="Q47" s="3359"/>
      <c r="R47" s="3360">
        <f>E47</f>
        <v>99945</v>
      </c>
      <c r="S47" s="3360"/>
      <c r="T47" s="3360">
        <f>G47</f>
        <v>77763</v>
      </c>
      <c r="U47" s="3360"/>
      <c r="V47" s="3360">
        <f>I47</f>
        <v>99892</v>
      </c>
      <c r="W47" s="3360"/>
      <c r="X47" s="385"/>
      <c r="Y47" s="672"/>
      <c r="Z47" s="385"/>
      <c r="AA47" s="385"/>
      <c r="AB47" s="385"/>
      <c r="AC47" s="385"/>
    </row>
    <row r="48" spans="1:29" ht="15.75" thickBot="1">
      <c r="A48" s="423" t="s">
        <v>1792</v>
      </c>
      <c r="B48" s="424"/>
      <c r="C48" s="1081">
        <f>R49</f>
        <v>93047</v>
      </c>
      <c r="D48" s="2139" t="s">
        <v>2133</v>
      </c>
      <c r="E48" s="1082">
        <f>R48</f>
        <v>98139</v>
      </c>
      <c r="F48" s="2140"/>
      <c r="G48" s="1081">
        <f>T48</f>
        <v>81914</v>
      </c>
      <c r="H48" s="2140"/>
      <c r="I48" s="1082">
        <f>V48</f>
        <v>99088</v>
      </c>
      <c r="J48" s="2140"/>
      <c r="K48" s="2142">
        <f>F48+H48+J48</f>
        <v>0</v>
      </c>
      <c r="L48" s="2493"/>
      <c r="M48" s="2486"/>
      <c r="N48" s="2486"/>
      <c r="O48" s="2486"/>
      <c r="P48" s="3359" t="str">
        <f>A48</f>
        <v>比较价值（元/平方米）</v>
      </c>
      <c r="Q48" s="3359"/>
      <c r="R48" s="3360">
        <f>IF(F1="售价",ROUND(PRODUCT(R47,AA7:AA46),0),ROUND(PRODUCT(R47,AA7:AA46),1))</f>
        <v>98139</v>
      </c>
      <c r="S48" s="3360"/>
      <c r="T48" s="3360">
        <f>IF(F1="售价",ROUND(PRODUCT(T47,AB7:AB46),0),ROUND(PRODUCT(T47,AB7:AB46),1))</f>
        <v>81914</v>
      </c>
      <c r="U48" s="3360"/>
      <c r="V48" s="3360">
        <f>IF(F1="售价",ROUND(PRODUCT(V47,AC7:AC46),0),ROUND(PRODUCT(V47,AC7:AC46),1))</f>
        <v>99088</v>
      </c>
      <c r="W48" s="3360"/>
      <c r="X48" s="385"/>
      <c r="Y48" s="385"/>
      <c r="Z48" s="385"/>
      <c r="AA48" s="385"/>
      <c r="AB48" s="385"/>
      <c r="AC48" s="385"/>
    </row>
    <row r="49" spans="1:29" ht="15.75" thickBot="1">
      <c r="A49" s="427" t="s">
        <v>1793</v>
      </c>
      <c r="B49" s="428"/>
      <c r="C49" s="351">
        <f>R49</f>
        <v>93047</v>
      </c>
      <c r="D49" s="351"/>
      <c r="E49" s="351"/>
      <c r="F49" s="351"/>
      <c r="G49" s="351"/>
      <c r="H49" s="351"/>
      <c r="I49" s="351"/>
      <c r="J49" s="351"/>
      <c r="K49" s="674"/>
      <c r="L49" s="2493"/>
      <c r="M49" s="2486"/>
      <c r="N49" s="2486"/>
      <c r="O49" s="2486"/>
      <c r="P49" s="3414" t="str">
        <f>A49</f>
        <v>估价对象XX用房的比较价值（楼面单价，元/平方米）</v>
      </c>
      <c r="Q49" s="3415"/>
      <c r="R49" s="3416">
        <f>IF(F1="售价",ROUND(IF(D48="简单平均",AVERAGE(R48:V48),R48*F48+T48*H48+V48*J48),0),ROUND(IF(D48="简单平均",AVERAGE(R48:V48),R48*F48+T48*H48+V48*J48),1))</f>
        <v>93047</v>
      </c>
      <c r="S49" s="3416"/>
      <c r="T49" s="3416"/>
      <c r="U49" s="3416"/>
      <c r="V49" s="3416"/>
      <c r="W49" s="341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1794</v>
      </c>
      <c r="D52" s="433"/>
      <c r="E52" s="434">
        <f>IF(E47&lt;E48,E48/E47-1,E47/E48-1)</f>
        <v>1.8402469966068535E-2</v>
      </c>
      <c r="F52" s="435" t="str">
        <f>IF(OR(E52&gt;=0.3,E52&lt;=-0.3),"超过30%","")</f>
        <v/>
      </c>
      <c r="G52" s="434">
        <f>IF(G47&lt;G48,G48/G47-1,G47/G48-1)</f>
        <v>5.3380142227023031E-2</v>
      </c>
      <c r="H52" s="435" t="str">
        <f>IF(OR(G52&gt;=0.3,G52&lt;=-0.3),"超过30%","")</f>
        <v/>
      </c>
      <c r="I52" s="434">
        <f>IF(I47&lt;I48,I48/I47-1,I47/I48-1)</f>
        <v>8.1139996770547285E-3</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1795</v>
      </c>
      <c r="D53" s="436"/>
      <c r="E53" s="434">
        <f>IF(E48&lt;G48,G48/E48-1,E48/G48-1)</f>
        <v>0.19807358937422181</v>
      </c>
      <c r="F53" s="435" t="str">
        <f>IF(OR(E53&gt;=0.2,E53&lt;=-0.2),"超过20%","")</f>
        <v/>
      </c>
      <c r="G53" s="434">
        <f>IF(G48&lt;I48,I48/G48-1,G48/I48-1)</f>
        <v>0.20965891056473862</v>
      </c>
      <c r="H53" s="435" t="str">
        <f>IF(OR(G53&gt;=0.2,G53&lt;=-0.2),"超过20%","")</f>
        <v>超过20%</v>
      </c>
      <c r="I53" s="434">
        <f>IF(I48&lt;E48,E48/I48-1,I48/E48-1)</f>
        <v>9.6699579168322281E-3</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1796</v>
      </c>
      <c r="D54" s="436"/>
      <c r="E54" s="434">
        <f>IF(E47&lt;G47,G47/E47-1,E47/G47-1)</f>
        <v>0.28525134061185908</v>
      </c>
      <c r="F54" s="435" t="str">
        <f>IF(OR(E54&gt;=0.3,E54&lt;=-0.3),"超过30%","")</f>
        <v/>
      </c>
      <c r="G54" s="434">
        <f>IF(G47&lt;I47,I47/G47-1,G47/I47-1)</f>
        <v>0.2845697825443978</v>
      </c>
      <c r="H54" s="435" t="str">
        <f>IF(OR(G54&gt;=0.3,G54&lt;=-0.3),"超过30%","")</f>
        <v/>
      </c>
      <c r="I54" s="434">
        <f>IF(I47&lt;E47,E47/I47-1,I47/E47-1)</f>
        <v>5.3057301886028085E-4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1797</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1678</v>
      </c>
      <c r="B58" s="441"/>
      <c r="C58" s="1102" t="str">
        <f>YEAR(C7)&amp;"-"&amp;MONTH(C7)</f>
        <v>2023-5</v>
      </c>
      <c r="D58" s="1103">
        <f>EDATE(C58,-1)</f>
        <v>45017</v>
      </c>
      <c r="E58" s="1103">
        <f t="shared" ref="E58:N58" si="13">EDATE(D58,-1)</f>
        <v>44986</v>
      </c>
      <c r="F58" s="1103">
        <f t="shared" si="13"/>
        <v>44958</v>
      </c>
      <c r="G58" s="1103">
        <f t="shared" si="13"/>
        <v>44927</v>
      </c>
      <c r="H58" s="1103">
        <f t="shared" si="13"/>
        <v>44896</v>
      </c>
      <c r="I58" s="1103">
        <f t="shared" si="13"/>
        <v>44866</v>
      </c>
      <c r="J58" s="1103">
        <f t="shared" si="13"/>
        <v>44835</v>
      </c>
      <c r="K58" s="1103">
        <f t="shared" si="13"/>
        <v>44805</v>
      </c>
      <c r="L58" s="1103">
        <f t="shared" si="13"/>
        <v>44774</v>
      </c>
      <c r="M58" s="1103">
        <f t="shared" si="13"/>
        <v>44743</v>
      </c>
      <c r="N58" s="1103">
        <f t="shared" si="13"/>
        <v>44713</v>
      </c>
      <c r="O58" s="1103">
        <f>EDATE(N58,-1)</f>
        <v>44682</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1715</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1680</v>
      </c>
      <c r="B61" s="444"/>
      <c r="C61" s="456" t="s">
        <v>1775</v>
      </c>
      <c r="D61" s="3144" t="s">
        <v>3516</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101</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1718</v>
      </c>
      <c r="B63" s="460" t="s">
        <v>1684</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1687</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1688</v>
      </c>
      <c r="C67" s="478" t="str">
        <f>C68&amp;"（含）"&amp;"-"&amp;D68</f>
        <v>0（含）-3</v>
      </c>
      <c r="D67" s="478" t="str">
        <f t="shared" ref="D67:L67" si="14">D68&amp;"（含）"&amp;"-"&amp;E68</f>
        <v>3（含）-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1689</v>
      </c>
      <c r="B76" s="460" t="s">
        <v>1719</v>
      </c>
      <c r="C76" s="504" t="s">
        <v>1720</v>
      </c>
      <c r="D76" s="504" t="s">
        <v>1721</v>
      </c>
      <c r="E76" s="504" t="s">
        <v>1722</v>
      </c>
      <c r="F76" s="504" t="s">
        <v>1723</v>
      </c>
      <c r="G76" s="504" t="s">
        <v>1724</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1725</v>
      </c>
      <c r="C78" s="509" t="s">
        <v>1720</v>
      </c>
      <c r="D78" s="509" t="s">
        <v>1721</v>
      </c>
      <c r="E78" s="509" t="s">
        <v>1722</v>
      </c>
      <c r="F78" s="509" t="s">
        <v>1723</v>
      </c>
      <c r="G78" s="509" t="s">
        <v>1724</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1726</v>
      </c>
      <c r="C80" s="509" t="s">
        <v>1720</v>
      </c>
      <c r="D80" s="509" t="s">
        <v>1721</v>
      </c>
      <c r="E80" s="509" t="s">
        <v>1722</v>
      </c>
      <c r="F80" s="509" t="s">
        <v>1723</v>
      </c>
      <c r="G80" s="509" t="s">
        <v>1724</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1778</v>
      </c>
      <c r="C82" s="580" t="s">
        <v>1798</v>
      </c>
      <c r="D82" s="580" t="s">
        <v>1799</v>
      </c>
      <c r="E82" s="580" t="s">
        <v>1800</v>
      </c>
      <c r="F82" s="580" t="s">
        <v>1801</v>
      </c>
      <c r="G82" s="580" t="s">
        <v>1802</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D83-$K21</f>
        <v>98</v>
      </c>
      <c r="F83" s="475">
        <f>E83-$K21</f>
        <v>97</v>
      </c>
      <c r="G83" s="475">
        <f>F83-$K21</f>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1732</v>
      </c>
      <c r="C84" s="509" t="s">
        <v>1720</v>
      </c>
      <c r="D84" s="509" t="s">
        <v>1721</v>
      </c>
      <c r="E84" s="509" t="s">
        <v>1722</v>
      </c>
      <c r="F84" s="509" t="s">
        <v>1723</v>
      </c>
      <c r="G84" s="509" t="s">
        <v>1724</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97</v>
      </c>
      <c r="E85" s="475">
        <f>D85-$K23</f>
        <v>94</v>
      </c>
      <c r="F85" s="475">
        <f>E85-$K23</f>
        <v>91</v>
      </c>
      <c r="G85" s="475">
        <f>F85-$K23</f>
        <v>88</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1803</v>
      </c>
      <c r="C86" s="3149" t="s">
        <v>3559</v>
      </c>
      <c r="D86" s="3149" t="s">
        <v>3560</v>
      </c>
      <c r="E86" s="3149" t="s">
        <v>3561</v>
      </c>
      <c r="F86" s="3149" t="s">
        <v>3562</v>
      </c>
      <c r="G86" s="3149" t="s">
        <v>3563</v>
      </c>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16">C87-$K25</f>
        <v>97</v>
      </c>
      <c r="E87" s="475">
        <f t="shared" si="16"/>
        <v>94</v>
      </c>
      <c r="F87" s="475">
        <f t="shared" si="16"/>
        <v>91</v>
      </c>
      <c r="G87" s="475">
        <f t="shared" si="16"/>
        <v>88</v>
      </c>
      <c r="H87" s="475">
        <f t="shared" si="16"/>
        <v>85</v>
      </c>
      <c r="I87" s="475">
        <f t="shared" si="16"/>
        <v>82</v>
      </c>
      <c r="J87" s="475">
        <f t="shared" si="16"/>
        <v>79</v>
      </c>
      <c r="K87" s="475">
        <f t="shared" si="16"/>
        <v>76</v>
      </c>
      <c r="L87" s="475">
        <f t="shared" si="16"/>
        <v>73</v>
      </c>
      <c r="M87" s="475">
        <f t="shared" si="16"/>
        <v>70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t="s">
        <v>3564</v>
      </c>
      <c r="D88" s="485" t="s">
        <v>3520</v>
      </c>
      <c r="E88" s="485" t="s">
        <v>3565</v>
      </c>
      <c r="F88" s="1778" t="s">
        <v>3566</v>
      </c>
      <c r="G88" s="485" t="s">
        <v>3567</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C89-3</f>
        <v>97</v>
      </c>
      <c r="E89" s="467">
        <f>D89-3</f>
        <v>94</v>
      </c>
      <c r="F89" s="467">
        <f>E89-3</f>
        <v>91</v>
      </c>
      <c r="G89" s="467">
        <f>F89-3</f>
        <v>88</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149" t="s">
        <v>3568</v>
      </c>
      <c r="D90" s="3149" t="s">
        <v>3569</v>
      </c>
      <c r="E90" s="3149" t="s">
        <v>3570</v>
      </c>
      <c r="F90" s="3149" t="s">
        <v>3571</v>
      </c>
      <c r="G90" s="3149" t="s">
        <v>3572</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95</v>
      </c>
      <c r="E91" s="475">
        <f t="shared" ref="E91:M91" si="17">D91-$K27</f>
        <v>90</v>
      </c>
      <c r="F91" s="475">
        <f t="shared" si="17"/>
        <v>85</v>
      </c>
      <c r="G91" s="475">
        <f t="shared" si="17"/>
        <v>80</v>
      </c>
      <c r="H91" s="475">
        <f t="shared" si="17"/>
        <v>75</v>
      </c>
      <c r="I91" s="475">
        <f t="shared" si="17"/>
        <v>70</v>
      </c>
      <c r="J91" s="475">
        <f t="shared" si="17"/>
        <v>65</v>
      </c>
      <c r="K91" s="475">
        <f t="shared" si="17"/>
        <v>60</v>
      </c>
      <c r="L91" s="475">
        <f t="shared" si="17"/>
        <v>55</v>
      </c>
      <c r="M91" s="475">
        <f t="shared" si="17"/>
        <v>50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v>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1693</v>
      </c>
      <c r="B100" s="460" t="s">
        <v>1804</v>
      </c>
      <c r="C100" s="3148" t="s">
        <v>3558</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18">C101-$K32</f>
        <v>97</v>
      </c>
      <c r="E101" s="475">
        <f t="shared" si="18"/>
        <v>94</v>
      </c>
      <c r="F101" s="475">
        <f t="shared" si="18"/>
        <v>91</v>
      </c>
      <c r="G101" s="475">
        <f t="shared" si="18"/>
        <v>88</v>
      </c>
      <c r="H101" s="475">
        <f t="shared" si="18"/>
        <v>85</v>
      </c>
      <c r="I101" s="475">
        <f t="shared" si="18"/>
        <v>82</v>
      </c>
      <c r="J101" s="475">
        <f t="shared" si="18"/>
        <v>79</v>
      </c>
      <c r="K101" s="475">
        <f t="shared" si="18"/>
        <v>76</v>
      </c>
      <c r="L101" s="475">
        <f t="shared" si="18"/>
        <v>73</v>
      </c>
      <c r="M101" s="476">
        <f t="shared" si="18"/>
        <v>70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1736</v>
      </c>
      <c r="C102" s="509" t="str">
        <f>C103&amp;"(含)"&amp;"-"&amp;D103</f>
        <v>0(含)-100</v>
      </c>
      <c r="D102" s="509" t="str">
        <f t="shared" ref="D102:L102" si="19">D103&amp;"(含)"&amp;"-"&amp;E103</f>
        <v>100(含)-200</v>
      </c>
      <c r="E102" s="509" t="str">
        <f t="shared" si="19"/>
        <v>200(含)-300</v>
      </c>
      <c r="F102" s="509" t="str">
        <f t="shared" si="19"/>
        <v>300(含)-500</v>
      </c>
      <c r="G102" s="509" t="str">
        <f t="shared" si="19"/>
        <v>500(含)-1000</v>
      </c>
      <c r="H102" s="509" t="str">
        <f t="shared" si="19"/>
        <v>1000(含)-</v>
      </c>
      <c r="I102" s="509" t="str">
        <f t="shared" si="19"/>
        <v>(含)-</v>
      </c>
      <c r="J102" s="509" t="str">
        <f t="shared" si="19"/>
        <v>(含)-</v>
      </c>
      <c r="K102" s="509" t="str">
        <f t="shared" si="19"/>
        <v>(含)-</v>
      </c>
      <c r="L102" s="509" t="str">
        <f t="shared" si="19"/>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C104-1</f>
        <v>99</v>
      </c>
      <c r="E104" s="467">
        <f>D104-1</f>
        <v>98</v>
      </c>
      <c r="F104" s="467">
        <f>E104-1</f>
        <v>97</v>
      </c>
      <c r="G104" s="467">
        <f>F104-1</f>
        <v>96</v>
      </c>
      <c r="H104" s="467">
        <f>G104-1</f>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1737</v>
      </c>
      <c r="C105" s="3149" t="s">
        <v>3557</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0">C106-$K34</f>
        <v>98</v>
      </c>
      <c r="E106" s="475">
        <f t="shared" si="20"/>
        <v>96</v>
      </c>
      <c r="F106" s="475">
        <f t="shared" si="20"/>
        <v>94</v>
      </c>
      <c r="G106" s="475">
        <f t="shared" si="20"/>
        <v>92</v>
      </c>
      <c r="H106" s="475">
        <f t="shared" si="20"/>
        <v>90</v>
      </c>
      <c r="I106" s="475">
        <f t="shared" si="20"/>
        <v>88</v>
      </c>
      <c r="J106" s="475">
        <f t="shared" si="20"/>
        <v>86</v>
      </c>
      <c r="K106" s="475">
        <f t="shared" si="20"/>
        <v>84</v>
      </c>
      <c r="L106" s="475">
        <f t="shared" si="20"/>
        <v>82</v>
      </c>
      <c r="M106" s="476">
        <f t="shared" si="20"/>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1739</v>
      </c>
      <c r="C107" s="3147" t="s">
        <v>3538</v>
      </c>
      <c r="D107" s="3147" t="s">
        <v>3539</v>
      </c>
      <c r="E107" s="3147" t="s">
        <v>3540</v>
      </c>
      <c r="F107" s="3150" t="s">
        <v>3541</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1">C108-$K35</f>
        <v>98</v>
      </c>
      <c r="E108" s="475">
        <f t="shared" si="21"/>
        <v>96</v>
      </c>
      <c r="F108" s="475">
        <f t="shared" si="21"/>
        <v>94</v>
      </c>
      <c r="G108" s="475">
        <f t="shared" si="21"/>
        <v>92</v>
      </c>
      <c r="H108" s="475">
        <f t="shared" si="21"/>
        <v>90</v>
      </c>
      <c r="I108" s="475">
        <f t="shared" si="21"/>
        <v>88</v>
      </c>
      <c r="J108" s="475">
        <f t="shared" si="21"/>
        <v>86</v>
      </c>
      <c r="K108" s="475">
        <f t="shared" si="21"/>
        <v>84</v>
      </c>
      <c r="L108" s="475">
        <f t="shared" si="21"/>
        <v>82</v>
      </c>
      <c r="M108" s="476">
        <f t="shared" si="21"/>
        <v>80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2">D111+$K36</f>
        <v>102</v>
      </c>
      <c r="F111" s="475">
        <f t="shared" si="22"/>
        <v>103</v>
      </c>
      <c r="G111" s="475">
        <f t="shared" si="22"/>
        <v>104</v>
      </c>
      <c r="H111" s="475">
        <f t="shared" si="22"/>
        <v>105</v>
      </c>
      <c r="I111" s="475">
        <f t="shared" si="22"/>
        <v>106</v>
      </c>
      <c r="J111" s="475">
        <f t="shared" si="22"/>
        <v>107</v>
      </c>
      <c r="K111" s="475">
        <f t="shared" si="22"/>
        <v>108</v>
      </c>
      <c r="L111" s="475">
        <f t="shared" si="22"/>
        <v>109</v>
      </c>
      <c r="M111" s="475">
        <f t="shared" si="22"/>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1741</v>
      </c>
      <c r="C112" s="3147" t="s">
        <v>3545</v>
      </c>
      <c r="D112" s="3147" t="s">
        <v>3546</v>
      </c>
      <c r="E112" s="3147" t="s">
        <v>3547</v>
      </c>
      <c r="F112" s="3147" t="s">
        <v>3548</v>
      </c>
      <c r="G112" s="3147" t="s">
        <v>3549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3">D113-$K37</f>
        <v>98</v>
      </c>
      <c r="F113" s="475">
        <f t="shared" si="23"/>
        <v>97</v>
      </c>
      <c r="G113" s="475">
        <f t="shared" si="23"/>
        <v>96</v>
      </c>
      <c r="H113" s="475">
        <f t="shared" si="23"/>
        <v>95</v>
      </c>
      <c r="I113" s="475">
        <f t="shared" si="23"/>
        <v>94</v>
      </c>
      <c r="J113" s="475">
        <f t="shared" si="23"/>
        <v>93</v>
      </c>
      <c r="K113" s="475">
        <f t="shared" si="23"/>
        <v>92</v>
      </c>
      <c r="L113" s="475">
        <f t="shared" si="23"/>
        <v>91</v>
      </c>
      <c r="M113" s="475">
        <f t="shared" si="23"/>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1805</v>
      </c>
      <c r="C114" s="3149" t="s">
        <v>3554</v>
      </c>
      <c r="D114" s="3149" t="s">
        <v>3556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4">C115-$K38</f>
        <v>95</v>
      </c>
      <c r="E115" s="475">
        <f t="shared" si="24"/>
        <v>90</v>
      </c>
      <c r="F115" s="475">
        <f t="shared" si="24"/>
        <v>85</v>
      </c>
      <c r="G115" s="475">
        <f t="shared" si="24"/>
        <v>80</v>
      </c>
      <c r="H115" s="475">
        <f t="shared" si="24"/>
        <v>75</v>
      </c>
      <c r="I115" s="475">
        <f t="shared" si="24"/>
        <v>70</v>
      </c>
      <c r="J115" s="475">
        <f t="shared" si="24"/>
        <v>65</v>
      </c>
      <c r="K115" s="475">
        <f t="shared" si="24"/>
        <v>60</v>
      </c>
      <c r="L115" s="475">
        <f t="shared" si="24"/>
        <v>55</v>
      </c>
      <c r="M115" s="476">
        <f t="shared" si="24"/>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1806</v>
      </c>
      <c r="C116" s="3151" t="s">
        <v>3552</v>
      </c>
      <c r="D116" s="3151" t="s">
        <v>3636</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97</v>
      </c>
      <c r="E117" s="475">
        <f>D117-$K39</f>
        <v>94</v>
      </c>
      <c r="F117" s="475">
        <f>E117-$K39</f>
        <v>91</v>
      </c>
      <c r="G117" s="475">
        <f>F117-$K39</f>
        <v>88</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1807</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1808</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1743</v>
      </c>
      <c r="C122" s="3147" t="s">
        <v>3538</v>
      </c>
      <c r="D122" s="3147" t="s">
        <v>3539</v>
      </c>
      <c r="E122" s="3147" t="s">
        <v>3540</v>
      </c>
      <c r="F122" s="3150" t="s">
        <v>3541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26">C123-$K42</f>
        <v>99</v>
      </c>
      <c r="E123" s="475">
        <f t="shared" si="26"/>
        <v>98</v>
      </c>
      <c r="F123" s="475">
        <f t="shared" si="26"/>
        <v>97</v>
      </c>
      <c r="G123" s="475">
        <f t="shared" si="26"/>
        <v>96</v>
      </c>
      <c r="H123" s="475">
        <f t="shared" si="26"/>
        <v>95</v>
      </c>
      <c r="I123" s="475">
        <f t="shared" si="26"/>
        <v>94</v>
      </c>
      <c r="J123" s="475">
        <f t="shared" si="26"/>
        <v>93</v>
      </c>
      <c r="K123" s="475">
        <f t="shared" si="26"/>
        <v>92</v>
      </c>
      <c r="L123" s="475">
        <f t="shared" si="26"/>
        <v>91</v>
      </c>
      <c r="M123" s="476">
        <f t="shared" si="26"/>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估价对象为北京市房地产，为所有。根据《国有土地使用证》[]，估价对象（分摊）出让国有建设用地使用权面积为2389.9平方米，建筑面积为391.32平方米。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估价对象为北京市房地产,属开发建设的，该项目尚在开发建设中。根据《国有土地使用证》[]，估价对象（分摊）出让国有建设用地使用权面积为2389.9平方米，规划建筑面积为391.32平方米。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2023年5月19日（评估专业人员实地查勘之日）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本次评估采用的主估价方法为比较法和收益法。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2429</v>
      </c>
      <c r="B1" s="2582"/>
      <c r="C1" s="2594"/>
      <c r="D1" s="2594"/>
      <c r="E1" s="2583"/>
      <c r="F1" s="2584"/>
      <c r="G1" s="2585"/>
      <c r="J1" s="2588" t="s">
        <v>2308</v>
      </c>
      <c r="K1" s="2589"/>
      <c r="L1" s="2589"/>
      <c r="M1" s="2589"/>
      <c r="N1" s="2589"/>
      <c r="O1" s="2589"/>
      <c r="P1" s="2589"/>
      <c r="Q1" s="2589"/>
      <c r="R1" s="2590"/>
      <c r="S1" s="2591"/>
      <c r="T1" s="2591"/>
      <c r="U1" s="2591"/>
    </row>
    <row r="2" spans="1:22" s="2603" customFormat="1" ht="13.15" customHeight="1">
      <c r="A2" s="1291" t="s">
        <v>2309</v>
      </c>
      <c r="B2" s="2593" t="e">
        <f>IF(D2="——",C40,C40+E2)</f>
        <v>#DIV/0!</v>
      </c>
      <c r="C2" s="2594" t="s">
        <v>2310</v>
      </c>
      <c r="D2" s="3137" t="s">
        <v>3355</v>
      </c>
      <c r="E2" s="3138"/>
      <c r="F2" s="2596"/>
      <c r="G2" s="2597"/>
      <c r="H2" s="2598"/>
      <c r="I2" s="2599"/>
      <c r="J2" s="3431" t="s">
        <v>2311</v>
      </c>
      <c r="K2" s="3432"/>
      <c r="L2" s="2600" t="s">
        <v>2312</v>
      </c>
      <c r="M2" s="2600" t="s">
        <v>2313</v>
      </c>
      <c r="N2" s="2600" t="s">
        <v>2314</v>
      </c>
      <c r="O2" s="2600" t="s">
        <v>2315</v>
      </c>
      <c r="P2" s="2600" t="s">
        <v>2316</v>
      </c>
      <c r="Q2" s="2601" t="s">
        <v>2317</v>
      </c>
      <c r="R2" s="2602" t="s">
        <v>2318</v>
      </c>
      <c r="S2" s="2591"/>
      <c r="T2" s="2591"/>
      <c r="U2" s="2591"/>
      <c r="V2" s="2599"/>
    </row>
    <row r="3" spans="1:22" s="2603" customFormat="1" ht="13.15" customHeight="1">
      <c r="A3" s="2604" t="s">
        <v>2319</v>
      </c>
      <c r="B3" s="2605" t="e">
        <f>ROUND(B2*10000/B4,0)</f>
        <v>#DIV/0!</v>
      </c>
      <c r="C3" s="2594" t="s">
        <v>2320</v>
      </c>
      <c r="D3" s="2594"/>
      <c r="E3" s="2595"/>
      <c r="F3" s="2596"/>
      <c r="G3" s="2597"/>
      <c r="H3" s="2598"/>
      <c r="I3" s="2599"/>
      <c r="J3" s="3433" t="s">
        <v>2321</v>
      </c>
      <c r="K3" s="3434"/>
      <c r="L3" s="2606"/>
      <c r="M3" s="2606"/>
      <c r="N3" s="2606"/>
      <c r="O3" s="2606"/>
      <c r="P3" s="2606"/>
      <c r="Q3" s="2607"/>
      <c r="R3" s="2608">
        <f>SUM(L3:Q3)</f>
        <v>0</v>
      </c>
      <c r="S3" s="2591"/>
      <c r="T3" s="2591"/>
      <c r="U3" s="2591"/>
      <c r="V3" s="2599"/>
    </row>
    <row r="4" spans="1:22" s="2603" customFormat="1" ht="13.15" customHeight="1">
      <c r="A4" s="2609" t="s">
        <v>2322</v>
      </c>
      <c r="B4" s="2610"/>
      <c r="C4" s="2594"/>
      <c r="D4" s="2594"/>
      <c r="E4" s="2595"/>
      <c r="F4" s="2596"/>
      <c r="G4" s="2597"/>
      <c r="H4" s="2598"/>
      <c r="I4" s="2599"/>
      <c r="J4" s="3433" t="s">
        <v>2323</v>
      </c>
      <c r="K4" s="3434"/>
      <c r="L4" s="2611"/>
      <c r="M4" s="2611"/>
      <c r="N4" s="2611"/>
      <c r="O4" s="2611"/>
      <c r="P4" s="2611"/>
      <c r="Q4" s="2612"/>
      <c r="R4" s="2613">
        <f>SUM(L4:Q4)</f>
        <v>0</v>
      </c>
      <c r="S4" s="2591"/>
      <c r="T4" s="2591"/>
      <c r="U4" s="2591"/>
      <c r="V4" s="2599"/>
    </row>
    <row r="5" spans="1:22" s="2603" customFormat="1" ht="13.15" customHeight="1" thickBot="1">
      <c r="A5" s="2614" t="s">
        <v>2324</v>
      </c>
      <c r="B5" s="2615"/>
      <c r="C5" s="2594"/>
      <c r="D5" s="2616"/>
      <c r="E5" s="2596"/>
      <c r="F5" s="2596"/>
      <c r="G5" s="2597"/>
      <c r="H5" s="2598"/>
      <c r="I5" s="2599"/>
      <c r="J5" s="2617" t="s">
        <v>2325</v>
      </c>
      <c r="K5" s="2618"/>
      <c r="L5" s="2618"/>
      <c r="M5" s="2619"/>
      <c r="N5" s="2619"/>
      <c r="O5" s="2619"/>
      <c r="P5" s="2619"/>
      <c r="Q5" s="2619"/>
      <c r="R5" s="2602">
        <f>SUM(R14,R19,R24,R25,R27,R28)</f>
        <v>0</v>
      </c>
      <c r="S5" s="2591"/>
      <c r="T5" s="2591" t="s">
        <v>2326</v>
      </c>
      <c r="U5" s="2591" t="e">
        <f>ROUND(R5*10000/365/R3,1)</f>
        <v>#DIV/0!</v>
      </c>
      <c r="V5" s="2599"/>
    </row>
    <row r="6" spans="1:22" s="2603" customFormat="1" ht="13.15" customHeight="1" thickBot="1">
      <c r="A6" s="3439" t="s">
        <v>2327</v>
      </c>
      <c r="B6" s="3440"/>
      <c r="C6" s="3441"/>
      <c r="D6" s="2620"/>
      <c r="E6" s="2621"/>
      <c r="F6" s="2622"/>
      <c r="G6" s="2623"/>
      <c r="H6" s="2598"/>
      <c r="I6" s="2599"/>
      <c r="J6" s="3425">
        <v>1</v>
      </c>
      <c r="K6" s="3426" t="s">
        <v>2328</v>
      </c>
      <c r="L6" s="2624" t="s">
        <v>2329</v>
      </c>
      <c r="M6" s="2625" t="s">
        <v>2330</v>
      </c>
      <c r="N6" s="2625" t="s">
        <v>2331</v>
      </c>
      <c r="O6" s="2625" t="s">
        <v>2332</v>
      </c>
      <c r="P6" s="2625" t="s">
        <v>2333</v>
      </c>
      <c r="Q6" s="2625" t="s">
        <v>2334</v>
      </c>
      <c r="R6" s="2608" t="s">
        <v>2335</v>
      </c>
      <c r="S6" s="2591"/>
      <c r="T6" s="2591" t="s">
        <v>2336</v>
      </c>
      <c r="U6" s="2591"/>
      <c r="V6" s="2599"/>
    </row>
    <row r="7" spans="1:22" s="2603" customFormat="1" ht="13.15" customHeight="1">
      <c r="A7" s="2626" t="s">
        <v>2337</v>
      </c>
      <c r="B7" s="2627"/>
      <c r="C7" s="2628"/>
      <c r="D7" s="2629">
        <f>SUM(D9,D10,D11,D17,0)</f>
        <v>0</v>
      </c>
      <c r="E7" s="2630" t="e">
        <f>E9+E10+E11+E17</f>
        <v>#DIV/0!</v>
      </c>
      <c r="F7" s="2631"/>
      <c r="G7" s="2632"/>
      <c r="H7" s="2598"/>
      <c r="I7" s="2599"/>
      <c r="J7" s="3425"/>
      <c r="K7" s="3427"/>
      <c r="L7" s="2633" t="s">
        <v>2338</v>
      </c>
      <c r="M7" s="2634"/>
      <c r="N7" s="2610"/>
      <c r="O7" s="2635"/>
      <c r="P7" s="2635"/>
      <c r="Q7" s="2636">
        <v>365</v>
      </c>
      <c r="R7" s="2637">
        <f>ROUND(M7*N7*O7*P7*Q7/10000,0)</f>
        <v>0</v>
      </c>
      <c r="S7" s="2591"/>
      <c r="T7" s="2591" t="s">
        <v>2339</v>
      </c>
      <c r="U7" s="2591"/>
      <c r="V7" s="2599"/>
    </row>
    <row r="8" spans="1:22" s="2603" customFormat="1" ht="13.15" customHeight="1">
      <c r="A8" s="2638" t="s">
        <v>2340</v>
      </c>
      <c r="B8" s="3442" t="s">
        <v>2341</v>
      </c>
      <c r="C8" s="3443"/>
      <c r="D8" s="2639" t="s">
        <v>2342</v>
      </c>
      <c r="E8" s="2640" t="s">
        <v>2343</v>
      </c>
      <c r="F8" s="2641" t="s">
        <v>2344</v>
      </c>
      <c r="G8" s="2642"/>
      <c r="H8" s="2598"/>
      <c r="I8" s="2599"/>
      <c r="J8" s="3425"/>
      <c r="K8" s="3427"/>
      <c r="L8" s="2633" t="s">
        <v>2345</v>
      </c>
      <c r="M8" s="2634"/>
      <c r="N8" s="2610"/>
      <c r="O8" s="2635"/>
      <c r="P8" s="2635"/>
      <c r="Q8" s="2636">
        <v>365</v>
      </c>
      <c r="R8" s="2637">
        <f t="shared" ref="R8:R13" si="0">ROUND(M8*N8*O8*P8*Q8/10000,0)</f>
        <v>0</v>
      </c>
      <c r="S8" s="2591"/>
      <c r="T8" s="2591" t="s">
        <v>2346</v>
      </c>
      <c r="U8" s="2591"/>
      <c r="V8" s="2599"/>
    </row>
    <row r="9" spans="1:22" s="2603" customFormat="1" ht="13.15" customHeight="1">
      <c r="A9" s="2638">
        <v>1</v>
      </c>
      <c r="B9" s="3442" t="s">
        <v>2347</v>
      </c>
      <c r="C9" s="3443"/>
      <c r="D9" s="2639">
        <f>ROUND(D6*E9,0)</f>
        <v>0</v>
      </c>
      <c r="E9" s="2643"/>
      <c r="F9" s="2644" t="s">
        <v>2348</v>
      </c>
      <c r="G9" s="2623"/>
      <c r="H9" s="2598"/>
      <c r="I9" s="2599"/>
      <c r="J9" s="3425"/>
      <c r="K9" s="3427"/>
      <c r="L9" s="2633" t="s">
        <v>2349</v>
      </c>
      <c r="M9" s="2634"/>
      <c r="N9" s="2610"/>
      <c r="O9" s="2635"/>
      <c r="P9" s="2635"/>
      <c r="Q9" s="2636">
        <v>365</v>
      </c>
      <c r="R9" s="2637">
        <f t="shared" si="0"/>
        <v>0</v>
      </c>
      <c r="S9" s="2591"/>
      <c r="T9" s="2591"/>
      <c r="U9" s="2591"/>
      <c r="V9" s="2599"/>
    </row>
    <row r="10" spans="1:22" s="2603" customFormat="1" ht="13.15" customHeight="1">
      <c r="A10" s="2638">
        <v>2</v>
      </c>
      <c r="B10" s="3442" t="s">
        <v>2350</v>
      </c>
      <c r="C10" s="3443"/>
      <c r="D10" s="2639">
        <f>ROUND(D6*E10,0)</f>
        <v>0</v>
      </c>
      <c r="E10" s="2643"/>
      <c r="F10" s="2644" t="s">
        <v>2351</v>
      </c>
      <c r="G10" s="2623"/>
      <c r="H10" s="2598"/>
      <c r="I10" s="2599"/>
      <c r="J10" s="3425"/>
      <c r="K10" s="3427"/>
      <c r="L10" s="2633" t="s">
        <v>2352</v>
      </c>
      <c r="M10" s="2634"/>
      <c r="N10" s="2610"/>
      <c r="O10" s="2635"/>
      <c r="P10" s="2635"/>
      <c r="Q10" s="2636">
        <v>365</v>
      </c>
      <c r="R10" s="2637">
        <f t="shared" si="0"/>
        <v>0</v>
      </c>
      <c r="S10" s="2591"/>
      <c r="T10" s="2591"/>
      <c r="U10" s="2591"/>
      <c r="V10" s="2599"/>
    </row>
    <row r="11" spans="1:22" s="2603" customFormat="1" ht="13.15" customHeight="1">
      <c r="A11" s="2638">
        <v>3</v>
      </c>
      <c r="B11" s="3442" t="s">
        <v>2353</v>
      </c>
      <c r="C11" s="3443"/>
      <c r="D11" s="2639">
        <f>D12+D14+D15+D16</f>
        <v>0</v>
      </c>
      <c r="E11" s="2645" t="e">
        <f>D11/D6</f>
        <v>#DIV/0!</v>
      </c>
      <c r="F11" s="2641"/>
      <c r="G11" s="2642"/>
      <c r="H11" s="2598"/>
      <c r="I11" s="2599"/>
      <c r="J11" s="3425"/>
      <c r="K11" s="3427"/>
      <c r="L11" s="2633" t="s">
        <v>2354</v>
      </c>
      <c r="M11" s="2634"/>
      <c r="N11" s="2610"/>
      <c r="O11" s="2635"/>
      <c r="P11" s="2635"/>
      <c r="Q11" s="2636">
        <v>365</v>
      </c>
      <c r="R11" s="2637">
        <f t="shared" si="0"/>
        <v>0</v>
      </c>
      <c r="S11" s="2591"/>
      <c r="T11" s="2591"/>
      <c r="U11" s="2591"/>
      <c r="V11" s="2599"/>
    </row>
    <row r="12" spans="1:22" s="2603" customFormat="1" ht="13.15" customHeight="1">
      <c r="A12" s="2646" t="s">
        <v>2355</v>
      </c>
      <c r="B12" s="3435" t="s">
        <v>2356</v>
      </c>
      <c r="C12" s="3436"/>
      <c r="D12" s="2647">
        <f>ROUND(D13*1.2%*(1-30%),0)</f>
        <v>0</v>
      </c>
      <c r="E12" s="2648">
        <v>1.2E-2</v>
      </c>
      <c r="F12" s="2641" t="s">
        <v>2357</v>
      </c>
      <c r="G12" s="2642"/>
      <c r="H12" s="2598"/>
      <c r="I12" s="2599"/>
      <c r="J12" s="3425"/>
      <c r="K12" s="3427"/>
      <c r="L12" s="2633" t="s">
        <v>2358</v>
      </c>
      <c r="M12" s="2634"/>
      <c r="N12" s="2610"/>
      <c r="O12" s="2635"/>
      <c r="P12" s="2635"/>
      <c r="Q12" s="2636">
        <v>365</v>
      </c>
      <c r="R12" s="2637">
        <f t="shared" si="0"/>
        <v>0</v>
      </c>
      <c r="S12" s="2591"/>
      <c r="T12" s="2591"/>
      <c r="U12" s="2591"/>
      <c r="V12" s="2599"/>
    </row>
    <row r="13" spans="1:22" s="2603" customFormat="1" ht="13.15" customHeight="1">
      <c r="A13" s="2646"/>
      <c r="B13" s="2649"/>
      <c r="C13" s="2650" t="s">
        <v>2359</v>
      </c>
      <c r="D13" s="2651"/>
      <c r="E13" s="2652"/>
      <c r="F13" s="2641"/>
      <c r="G13" s="2642"/>
      <c r="H13" s="2598"/>
      <c r="I13" s="2599"/>
      <c r="J13" s="3425"/>
      <c r="K13" s="3427"/>
      <c r="L13" s="2633" t="s">
        <v>2360</v>
      </c>
      <c r="M13" s="2634"/>
      <c r="N13" s="2610"/>
      <c r="O13" s="2635"/>
      <c r="P13" s="2635"/>
      <c r="Q13" s="2636">
        <v>365</v>
      </c>
      <c r="R13" s="2637">
        <f t="shared" si="0"/>
        <v>0</v>
      </c>
      <c r="S13" s="2591"/>
      <c r="T13" s="2591"/>
      <c r="U13" s="2591"/>
      <c r="V13" s="2599"/>
    </row>
    <row r="14" spans="1:22" s="2603" customFormat="1" ht="13.15" customHeight="1">
      <c r="A14" s="2646" t="s">
        <v>2361</v>
      </c>
      <c r="B14" s="3435" t="s">
        <v>2362</v>
      </c>
      <c r="C14" s="3436"/>
      <c r="D14" s="2647">
        <f>ROUND(E14*B5/10000,0)</f>
        <v>0</v>
      </c>
      <c r="E14" s="2636"/>
      <c r="F14" s="2641" t="s">
        <v>2363</v>
      </c>
      <c r="G14" s="2642"/>
      <c r="H14" s="2598"/>
      <c r="I14" s="2599"/>
      <c r="J14" s="3425"/>
      <c r="K14" s="3428"/>
      <c r="L14" s="2653" t="s">
        <v>2364</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2365</v>
      </c>
      <c r="B15" s="3435" t="s">
        <v>2366</v>
      </c>
      <c r="C15" s="3436"/>
      <c r="D15" s="2647">
        <f>ROUND(D6*E15,0)</f>
        <v>0</v>
      </c>
      <c r="E15" s="2648">
        <v>5.5E-2</v>
      </c>
      <c r="F15" s="2641" t="s">
        <v>2367</v>
      </c>
      <c r="G15" s="2623"/>
      <c r="H15" s="2598"/>
      <c r="I15" s="2599"/>
      <c r="J15" s="3425">
        <v>2</v>
      </c>
      <c r="K15" s="3426" t="s">
        <v>2368</v>
      </c>
      <c r="L15" s="2633" t="s">
        <v>2369</v>
      </c>
      <c r="M15" s="2634" t="s">
        <v>2370</v>
      </c>
      <c r="N15" s="2634" t="s">
        <v>2371</v>
      </c>
      <c r="O15" s="2635" t="s">
        <v>2372</v>
      </c>
      <c r="P15" s="2635" t="s">
        <v>2334</v>
      </c>
      <c r="Q15" s="2610" t="s">
        <v>2373</v>
      </c>
      <c r="R15" s="2657" t="s">
        <v>2335</v>
      </c>
      <c r="S15" s="2591"/>
      <c r="T15" s="2591"/>
      <c r="U15" s="2591"/>
      <c r="V15" s="2599"/>
    </row>
    <row r="16" spans="1:22" s="2603" customFormat="1" ht="13.15" customHeight="1">
      <c r="A16" s="2646" t="s">
        <v>2374</v>
      </c>
      <c r="B16" s="3435" t="s">
        <v>2375</v>
      </c>
      <c r="C16" s="3436"/>
      <c r="D16" s="2658">
        <f>D6*E16</f>
        <v>0</v>
      </c>
      <c r="E16" s="2659"/>
      <c r="F16" s="2644" t="s">
        <v>2376</v>
      </c>
      <c r="G16" s="2623"/>
      <c r="H16" s="2598"/>
      <c r="I16" s="2599"/>
      <c r="J16" s="3425"/>
      <c r="K16" s="3427"/>
      <c r="L16" s="2633" t="s">
        <v>2377</v>
      </c>
      <c r="M16" s="2634"/>
      <c r="N16" s="2634"/>
      <c r="O16" s="2635"/>
      <c r="P16" s="2636">
        <v>365</v>
      </c>
      <c r="Q16" s="2610"/>
      <c r="R16" s="2657">
        <f>ROUND(M16*N16*O16*P16/10000,0)</f>
        <v>0</v>
      </c>
      <c r="S16" s="2591"/>
      <c r="T16" s="2591"/>
      <c r="U16" s="2591"/>
      <c r="V16" s="2599"/>
    </row>
    <row r="17" spans="1:22" s="2603" customFormat="1" ht="13.15" customHeight="1" thickBot="1">
      <c r="A17" s="2660">
        <v>4</v>
      </c>
      <c r="B17" s="3437" t="s">
        <v>2378</v>
      </c>
      <c r="C17" s="3438"/>
      <c r="D17" s="2661">
        <f>ROUND(D6*E17,0)</f>
        <v>0</v>
      </c>
      <c r="E17" s="2662"/>
      <c r="F17" s="2663" t="s">
        <v>2379</v>
      </c>
      <c r="G17" s="2623"/>
      <c r="H17" s="2598"/>
      <c r="I17" s="2599"/>
      <c r="J17" s="3425"/>
      <c r="K17" s="3427"/>
      <c r="L17" s="2633" t="s">
        <v>2380</v>
      </c>
      <c r="M17" s="2634"/>
      <c r="N17" s="2634"/>
      <c r="O17" s="2635"/>
      <c r="P17" s="2636">
        <v>365</v>
      </c>
      <c r="Q17" s="2610"/>
      <c r="R17" s="2657">
        <f>ROUND(M17*N17*O17*P17/10000,0)</f>
        <v>0</v>
      </c>
      <c r="S17" s="2591"/>
      <c r="T17" s="2591"/>
      <c r="U17" s="2591"/>
      <c r="V17" s="2599"/>
    </row>
    <row r="18" spans="1:22" s="2603" customFormat="1" ht="13.15" customHeight="1" thickBot="1">
      <c r="A18" s="2626" t="s">
        <v>2381</v>
      </c>
      <c r="B18" s="2627"/>
      <c r="C18" s="2627"/>
      <c r="D18" s="2664">
        <f>ROUND(D6*E18,0)</f>
        <v>0</v>
      </c>
      <c r="E18" s="2665"/>
      <c r="F18" s="2666" t="s">
        <v>2382</v>
      </c>
      <c r="G18" s="2623"/>
      <c r="H18" s="2598"/>
      <c r="I18" s="2599"/>
      <c r="J18" s="3425"/>
      <c r="K18" s="3427"/>
      <c r="L18" s="2633" t="s">
        <v>2383</v>
      </c>
      <c r="M18" s="2634"/>
      <c r="N18" s="2634"/>
      <c r="O18" s="2635"/>
      <c r="P18" s="2636">
        <v>365</v>
      </c>
      <c r="Q18" s="2610"/>
      <c r="R18" s="2657">
        <f>ROUND(M18*N18*O18*P18/10000,0)</f>
        <v>0</v>
      </c>
      <c r="S18" s="2591"/>
      <c r="T18" s="2591"/>
      <c r="U18" s="2591"/>
      <c r="V18" s="2599"/>
    </row>
    <row r="19" spans="1:22" s="2603" customFormat="1" ht="13.15" customHeight="1" thickBot="1">
      <c r="A19" s="2667" t="s">
        <v>2384</v>
      </c>
      <c r="B19" s="2621"/>
      <c r="C19" s="2621"/>
      <c r="D19" s="2621"/>
      <c r="E19" s="2621"/>
      <c r="F19" s="2622"/>
      <c r="G19" s="2642"/>
      <c r="H19" s="2598"/>
      <c r="I19" s="2599"/>
      <c r="J19" s="3425"/>
      <c r="K19" s="3428"/>
      <c r="L19" s="2653" t="s">
        <v>2364</v>
      </c>
      <c r="M19" s="2654"/>
      <c r="N19" s="2654">
        <f>SUM(N16:N18)</f>
        <v>0</v>
      </c>
      <c r="O19" s="2655"/>
      <c r="P19" s="2668" t="s">
        <v>2428</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5">
        <v>3</v>
      </c>
      <c r="K20" s="3426" t="s">
        <v>2385</v>
      </c>
      <c r="L20" s="2633" t="s">
        <v>2386</v>
      </c>
      <c r="M20" s="2634" t="s">
        <v>2387</v>
      </c>
      <c r="N20" s="2671" t="s">
        <v>2388</v>
      </c>
      <c r="O20" s="2635" t="s">
        <v>2389</v>
      </c>
      <c r="P20" s="2636" t="s">
        <v>2390</v>
      </c>
      <c r="Q20" s="2610" t="s">
        <v>2391</v>
      </c>
      <c r="R20" s="2657" t="s">
        <v>2392</v>
      </c>
      <c r="S20" s="2591"/>
      <c r="T20" s="2591"/>
      <c r="U20" s="2591"/>
      <c r="V20" s="2599"/>
    </row>
    <row r="21" spans="1:22" s="2603" customFormat="1" ht="13.15" customHeight="1">
      <c r="A21" s="2626"/>
      <c r="B21" s="2627"/>
      <c r="C21" s="2672" t="s">
        <v>2393</v>
      </c>
      <c r="D21" s="2673" t="s">
        <v>2394</v>
      </c>
      <c r="E21" s="2674" t="s">
        <v>2395</v>
      </c>
      <c r="F21" s="2670"/>
      <c r="G21" s="2642"/>
      <c r="H21" s="2598"/>
      <c r="I21" s="2599"/>
      <c r="J21" s="3425"/>
      <c r="K21" s="3427"/>
      <c r="L21" s="2633" t="s">
        <v>2396</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2397</v>
      </c>
      <c r="D22" s="2677" t="s">
        <v>2398</v>
      </c>
      <c r="E22" s="2678" t="s">
        <v>2399</v>
      </c>
      <c r="F22" s="2670"/>
      <c r="G22" s="2591"/>
      <c r="H22" s="2598"/>
      <c r="I22" s="2599"/>
      <c r="J22" s="3425"/>
      <c r="K22" s="3427"/>
      <c r="L22" s="2633" t="s">
        <v>2400</v>
      </c>
      <c r="M22" s="2634"/>
      <c r="N22" s="2634"/>
      <c r="O22" s="2635"/>
      <c r="P22" s="2636">
        <v>365</v>
      </c>
      <c r="Q22" s="2610"/>
      <c r="R22" s="2675">
        <f>ROUND(M22*N22*O22*P22/10000,0)</f>
        <v>0</v>
      </c>
      <c r="S22" s="2591"/>
      <c r="T22" s="2591"/>
      <c r="U22" s="2591"/>
      <c r="V22" s="2599"/>
    </row>
    <row r="23" spans="1:22" s="2603" customFormat="1" ht="13.15" customHeight="1">
      <c r="A23" s="2679">
        <v>1</v>
      </c>
      <c r="B23" s="2680" t="s">
        <v>2401</v>
      </c>
      <c r="C23" s="2681">
        <f>D6</f>
        <v>0</v>
      </c>
      <c r="D23" s="2682">
        <f>C23*(1+D24)</f>
        <v>0</v>
      </c>
      <c r="E23" s="2683">
        <f>D23*(1+E24)</f>
        <v>0</v>
      </c>
      <c r="F23" s="2684"/>
      <c r="G23" s="2685"/>
      <c r="H23" s="2598"/>
      <c r="I23" s="2599"/>
      <c r="J23" s="3425"/>
      <c r="K23" s="3427"/>
      <c r="L23" s="2633" t="s">
        <v>2402</v>
      </c>
      <c r="M23" s="2634"/>
      <c r="N23" s="2634"/>
      <c r="O23" s="2635"/>
      <c r="P23" s="2636">
        <v>365</v>
      </c>
      <c r="Q23" s="2610"/>
      <c r="R23" s="2675">
        <f>ROUND(M23*N23*O23*P23/10000,0)</f>
        <v>0</v>
      </c>
      <c r="S23" s="2591"/>
      <c r="T23" s="2591"/>
      <c r="U23" s="2591"/>
      <c r="V23" s="2599"/>
    </row>
    <row r="24" spans="1:22" s="2603" customFormat="1" ht="13.15" customHeight="1">
      <c r="A24" s="2686"/>
      <c r="B24" s="2687" t="s">
        <v>2403</v>
      </c>
      <c r="C24" s="2688"/>
      <c r="D24" s="2689"/>
      <c r="E24" s="2690"/>
      <c r="F24" s="2691"/>
      <c r="G24" s="2685"/>
      <c r="H24" s="2598"/>
      <c r="I24" s="2599"/>
      <c r="J24" s="3425"/>
      <c r="K24" s="3428"/>
      <c r="L24" s="2653" t="s">
        <v>2364</v>
      </c>
      <c r="M24" s="2654">
        <f>SUM(M21:M23)</f>
        <v>0</v>
      </c>
      <c r="N24" s="2654"/>
      <c r="O24" s="2655"/>
      <c r="P24" s="2668" t="s">
        <v>2428</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2404</v>
      </c>
      <c r="L25" s="2694"/>
      <c r="M25" s="2694"/>
      <c r="N25" s="2694"/>
      <c r="O25" s="2694"/>
      <c r="P25" s="2695"/>
      <c r="Q25" s="2696">
        <v>0</v>
      </c>
      <c r="R25" s="2669">
        <f>ROUND(R14*Q25,0)</f>
        <v>0</v>
      </c>
      <c r="S25" s="2591"/>
      <c r="T25" s="2591"/>
      <c r="U25" s="2591"/>
      <c r="V25" s="2697"/>
    </row>
    <row r="26" spans="1:22" s="2698" customFormat="1" ht="13.15" customHeight="1">
      <c r="A26" s="2679">
        <v>2</v>
      </c>
      <c r="B26" s="2680" t="s">
        <v>2405</v>
      </c>
      <c r="C26" s="2681">
        <f>D7</f>
        <v>0</v>
      </c>
      <c r="D26" s="2682">
        <f>D23*D27</f>
        <v>0</v>
      </c>
      <c r="E26" s="2683">
        <f>E23*E27</f>
        <v>0</v>
      </c>
      <c r="F26" s="2684"/>
      <c r="G26" s="2685"/>
      <c r="H26" s="2598"/>
      <c r="I26" s="2599"/>
      <c r="J26" s="3429">
        <v>5</v>
      </c>
      <c r="K26" s="2699" t="s">
        <v>2406</v>
      </c>
      <c r="L26" s="2700"/>
      <c r="M26" s="2701"/>
      <c r="N26" s="2702" t="s">
        <v>2407</v>
      </c>
      <c r="O26" s="2702" t="s">
        <v>2408</v>
      </c>
      <c r="P26" s="2703" t="s">
        <v>2409</v>
      </c>
      <c r="Q26" s="2703" t="s">
        <v>2410</v>
      </c>
      <c r="R26" s="2608" t="s">
        <v>2335</v>
      </c>
      <c r="S26" s="2642"/>
      <c r="T26" s="2642"/>
      <c r="U26" s="2642"/>
      <c r="V26" s="2697"/>
    </row>
    <row r="27" spans="1:22" s="2603" customFormat="1" ht="13.15" customHeight="1">
      <c r="A27" s="2686"/>
      <c r="B27" s="2687" t="s">
        <v>2411</v>
      </c>
      <c r="C27" s="2704" t="e">
        <f>E7</f>
        <v>#DIV/0!</v>
      </c>
      <c r="D27" s="2689"/>
      <c r="E27" s="2690"/>
      <c r="F27" s="2691"/>
      <c r="G27" s="2685"/>
      <c r="H27" s="2705"/>
      <c r="I27" s="2697"/>
      <c r="J27" s="343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2412</v>
      </c>
      <c r="F28" s="2691"/>
      <c r="G28" s="2591"/>
      <c r="H28" s="2705"/>
      <c r="I28" s="2697"/>
      <c r="J28" s="2711">
        <v>6</v>
      </c>
      <c r="K28" s="2712" t="s">
        <v>2413</v>
      </c>
      <c r="L28" s="2713" t="s">
        <v>2414</v>
      </c>
      <c r="M28" s="2714"/>
      <c r="N28" s="2713" t="s">
        <v>2415</v>
      </c>
      <c r="O28" s="2715"/>
      <c r="P28" s="2713" t="s">
        <v>2416</v>
      </c>
      <c r="Q28" s="2716">
        <v>1.4999999999999999E-2</v>
      </c>
      <c r="R28" s="2717"/>
      <c r="S28" s="2591"/>
      <c r="T28" s="2591"/>
      <c r="U28" s="2591"/>
      <c r="V28" s="2697"/>
    </row>
    <row r="29" spans="1:22" s="2698" customFormat="1" ht="13.15" customHeight="1">
      <c r="A29" s="2679">
        <v>3</v>
      </c>
      <c r="B29" s="2680" t="s">
        <v>2417</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2411</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2418</v>
      </c>
      <c r="K31" s="2589"/>
      <c r="L31" s="2589"/>
      <c r="M31" s="2589"/>
      <c r="N31" s="2589"/>
      <c r="O31" s="2589"/>
      <c r="P31" s="2589"/>
      <c r="Q31" s="2589"/>
      <c r="R31" s="2590"/>
      <c r="S31" s="2591"/>
      <c r="T31" s="2591"/>
      <c r="U31" s="2591"/>
      <c r="V31" s="2697"/>
    </row>
    <row r="32" spans="1:22" s="2698" customFormat="1" ht="13.15" customHeight="1">
      <c r="A32" s="2679">
        <v>4</v>
      </c>
      <c r="B32" s="2680" t="s">
        <v>2419</v>
      </c>
      <c r="C32" s="2681">
        <f>C23-C26-C29</f>
        <v>0</v>
      </c>
      <c r="D32" s="2682">
        <f>D23-D26-D29</f>
        <v>0</v>
      </c>
      <c r="E32" s="2683">
        <f>E23-E26-E29</f>
        <v>0</v>
      </c>
      <c r="F32" s="2684"/>
      <c r="G32" s="2591"/>
      <c r="H32" s="2598"/>
      <c r="I32" s="2599"/>
      <c r="J32" s="3431" t="s">
        <v>2311</v>
      </c>
      <c r="K32" s="3432"/>
      <c r="L32" s="2600" t="s">
        <v>2312</v>
      </c>
      <c r="M32" s="2600" t="s">
        <v>2313</v>
      </c>
      <c r="N32" s="2600" t="s">
        <v>2314</v>
      </c>
      <c r="O32" s="2600" t="s">
        <v>2315</v>
      </c>
      <c r="P32" s="2600" t="s">
        <v>2316</v>
      </c>
      <c r="Q32" s="2601" t="s">
        <v>2317</v>
      </c>
      <c r="R32" s="2720" t="s">
        <v>2318</v>
      </c>
      <c r="S32" s="2591"/>
      <c r="T32" s="2591"/>
      <c r="U32" s="2591"/>
      <c r="V32" s="2697"/>
    </row>
    <row r="33" spans="1:23" s="2603" customFormat="1" ht="13.15" customHeight="1">
      <c r="A33" s="2679"/>
      <c r="B33" s="2680"/>
      <c r="C33" s="2681"/>
      <c r="D33" s="2721"/>
      <c r="E33" s="2722"/>
      <c r="F33" s="2684"/>
      <c r="G33" s="2591"/>
      <c r="H33" s="2705"/>
      <c r="I33" s="2697"/>
      <c r="J33" s="3433" t="s">
        <v>2321</v>
      </c>
      <c r="K33" s="3434"/>
      <c r="L33" s="2606"/>
      <c r="M33" s="2606"/>
      <c r="N33" s="2606"/>
      <c r="O33" s="2606"/>
      <c r="P33" s="2606"/>
      <c r="Q33" s="2607"/>
      <c r="R33" s="2723">
        <f>SUM(L33:Q33)</f>
        <v>0</v>
      </c>
      <c r="S33" s="2591"/>
      <c r="T33" s="2591"/>
      <c r="U33" s="2591"/>
      <c r="V33" s="2599"/>
    </row>
    <row r="34" spans="1:23" s="2603" customFormat="1" ht="13.15" customHeight="1">
      <c r="A34" s="2679">
        <v>5</v>
      </c>
      <c r="B34" s="2680" t="s">
        <v>2420</v>
      </c>
      <c r="C34" s="2724"/>
      <c r="D34" s="2725"/>
      <c r="E34" s="2726"/>
      <c r="F34" s="2684"/>
      <c r="G34" s="2591"/>
      <c r="H34" s="2705"/>
      <c r="I34" s="2697"/>
      <c r="J34" s="3433" t="s">
        <v>2323</v>
      </c>
      <c r="K34" s="343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2421</v>
      </c>
      <c r="C35" s="2728"/>
      <c r="D35" s="2729"/>
      <c r="E35" s="2730"/>
      <c r="F35" s="2684"/>
      <c r="G35" s="2731"/>
      <c r="H35" s="2598"/>
      <c r="I35" s="2697"/>
      <c r="J35" s="2617" t="s">
        <v>2325</v>
      </c>
      <c r="K35" s="2618"/>
      <c r="L35" s="2618"/>
      <c r="M35" s="2619"/>
      <c r="N35" s="2619"/>
      <c r="O35" s="2619"/>
      <c r="P35" s="2619"/>
      <c r="Q35" s="2619"/>
      <c r="R35" s="2732">
        <f>R40+R41+R43</f>
        <v>0</v>
      </c>
      <c r="S35" s="2591"/>
      <c r="T35" s="2591" t="s">
        <v>2326</v>
      </c>
      <c r="U35" s="2591"/>
      <c r="V35" s="2599"/>
    </row>
    <row r="36" spans="1:23" s="2603" customFormat="1" ht="13.15" customHeight="1" thickBot="1">
      <c r="A36" s="2679">
        <v>7</v>
      </c>
      <c r="B36" s="2733" t="s">
        <v>2422</v>
      </c>
      <c r="C36" s="2734"/>
      <c r="D36" s="2735"/>
      <c r="E36" s="2736"/>
      <c r="F36" s="2737">
        <f>C36+D36+E36</f>
        <v>0</v>
      </c>
      <c r="G36" s="2591"/>
      <c r="H36" s="2598"/>
      <c r="I36" s="2599"/>
      <c r="J36" s="3425">
        <v>1</v>
      </c>
      <c r="K36" s="3426" t="s">
        <v>2423</v>
      </c>
      <c r="L36" s="2624"/>
      <c r="M36" s="2625"/>
      <c r="N36" s="2625"/>
      <c r="O36" s="2625"/>
      <c r="P36" s="2625"/>
      <c r="Q36" s="2625"/>
      <c r="R36" s="2608" t="s">
        <v>2335</v>
      </c>
      <c r="S36" s="2591"/>
      <c r="T36" s="2591" t="s">
        <v>2336</v>
      </c>
      <c r="U36" s="2591"/>
      <c r="V36" s="2599"/>
    </row>
    <row r="37" spans="1:23" s="2603" customFormat="1" ht="13.15" customHeight="1">
      <c r="A37" s="2679"/>
      <c r="B37" s="2680"/>
      <c r="C37" s="2680"/>
      <c r="D37" s="2680"/>
      <c r="E37" s="2680"/>
      <c r="F37" s="2684"/>
      <c r="G37" s="2591"/>
      <c r="H37" s="2598"/>
      <c r="I37" s="2599"/>
      <c r="J37" s="3425"/>
      <c r="K37" s="3427"/>
      <c r="L37" s="2633"/>
      <c r="M37" s="2634"/>
      <c r="N37" s="2610"/>
      <c r="O37" s="2635"/>
      <c r="P37" s="2635"/>
      <c r="Q37" s="2636"/>
      <c r="R37" s="2637"/>
      <c r="S37" s="2591"/>
      <c r="T37" s="2591" t="s">
        <v>2339</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5"/>
      <c r="K38" s="3427"/>
      <c r="L38" s="2633"/>
      <c r="M38" s="2634"/>
      <c r="N38" s="2610"/>
      <c r="O38" s="2635"/>
      <c r="P38" s="2635"/>
      <c r="Q38" s="2636"/>
      <c r="R38" s="2637"/>
      <c r="S38" s="2591"/>
      <c r="T38" s="2591" t="s">
        <v>2346</v>
      </c>
      <c r="U38" s="2591"/>
      <c r="V38" s="2599"/>
    </row>
    <row r="39" spans="1:23" s="2603" customFormat="1" ht="13.15" customHeight="1">
      <c r="A39" s="2679">
        <v>9</v>
      </c>
      <c r="B39" s="2680" t="s">
        <v>2424</v>
      </c>
      <c r="C39" s="2647" t="e">
        <f>C38</f>
        <v>#DIV/0!</v>
      </c>
      <c r="D39" s="2680">
        <f>D38/(1+D34)^C36</f>
        <v>0</v>
      </c>
      <c r="E39" s="2680">
        <f>E38/(1+E34)^(C36+D36)</f>
        <v>0</v>
      </c>
      <c r="F39" s="2684"/>
      <c r="G39" s="2599"/>
      <c r="H39" s="2598"/>
      <c r="I39" s="2599"/>
      <c r="J39" s="3425"/>
      <c r="K39" s="3427"/>
      <c r="L39" s="2633"/>
      <c r="M39" s="2634"/>
      <c r="N39" s="2610"/>
      <c r="O39" s="2635"/>
      <c r="P39" s="2635"/>
      <c r="Q39" s="2636"/>
      <c r="R39" s="2637"/>
      <c r="S39" s="2591"/>
      <c r="T39" s="2591"/>
      <c r="U39" s="2591"/>
      <c r="V39" s="2599"/>
    </row>
    <row r="40" spans="1:23" s="2603" customFormat="1" ht="13.15" customHeight="1">
      <c r="A40" s="2738">
        <v>10</v>
      </c>
      <c r="B40" s="2680" t="s">
        <v>2425</v>
      </c>
      <c r="C40" s="2739" t="e">
        <f>C39+D39+E39</f>
        <v>#DIV/0!</v>
      </c>
      <c r="D40" s="2740"/>
      <c r="E40" s="2740"/>
      <c r="F40" s="2741"/>
      <c r="G40" s="2591"/>
      <c r="H40" s="2598"/>
      <c r="I40" s="2599"/>
      <c r="J40" s="3425"/>
      <c r="K40" s="3428"/>
      <c r="L40" s="2653" t="s">
        <v>2364</v>
      </c>
      <c r="M40" s="2654"/>
      <c r="N40" s="2654"/>
      <c r="O40" s="2655"/>
      <c r="P40" s="2655"/>
      <c r="Q40" s="2656"/>
      <c r="R40" s="2602">
        <f>SUM(R37:R39)</f>
        <v>0</v>
      </c>
      <c r="S40" s="2591"/>
      <c r="T40" s="2591"/>
      <c r="U40" s="2591"/>
      <c r="V40" s="2599"/>
    </row>
    <row r="41" spans="1:23" s="2603" customFormat="1" ht="13.15" customHeight="1" thickBot="1">
      <c r="A41" s="2742">
        <v>11</v>
      </c>
      <c r="B41" s="2743" t="s">
        <v>2426</v>
      </c>
      <c r="C41" s="2743" t="e">
        <f>ROUND(C40*10000/B4,0)</f>
        <v>#DIV/0!</v>
      </c>
      <c r="D41" s="2744"/>
      <c r="E41" s="2744"/>
      <c r="F41" s="2745"/>
      <c r="G41" s="2598"/>
      <c r="H41" s="2598"/>
      <c r="I41" s="2599"/>
      <c r="J41" s="2692">
        <v>2</v>
      </c>
      <c r="K41" s="2693" t="s">
        <v>2404</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9">
        <v>3</v>
      </c>
      <c r="K42" s="2699" t="s">
        <v>2406</v>
      </c>
      <c r="L42" s="2700"/>
      <c r="M42" s="2701"/>
      <c r="N42" s="2702" t="s">
        <v>2407</v>
      </c>
      <c r="O42" s="2702" t="s">
        <v>2408</v>
      </c>
      <c r="P42" s="2703" t="s">
        <v>2409</v>
      </c>
      <c r="Q42" s="2703" t="s">
        <v>2410</v>
      </c>
      <c r="R42" s="2608" t="s">
        <v>2335</v>
      </c>
      <c r="S42" s="2642"/>
      <c r="T42" s="2642"/>
      <c r="U42" s="2591"/>
      <c r="V42" s="2599"/>
    </row>
    <row r="43" spans="1:23" ht="13.15" customHeight="1">
      <c r="A43" s="2603"/>
      <c r="B43" s="2603"/>
      <c r="C43" s="2603"/>
      <c r="D43" s="2603"/>
      <c r="E43" s="2603"/>
      <c r="F43" s="2603"/>
      <c r="I43" s="2586"/>
      <c r="J43" s="343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2413</v>
      </c>
      <c r="L44" s="2748" t="s">
        <v>2414</v>
      </c>
      <c r="M44" s="2714"/>
      <c r="N44" s="2748" t="s">
        <v>2415</v>
      </c>
      <c r="O44" s="2714"/>
      <c r="P44" s="2748" t="s">
        <v>2416</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1657</v>
      </c>
      <c r="B1" s="1724"/>
      <c r="C1" s="1724"/>
      <c r="D1" s="1724"/>
      <c r="E1" s="1725"/>
      <c r="F1" s="2478"/>
      <c r="G1" s="459"/>
      <c r="H1" s="459"/>
      <c r="I1" s="459"/>
      <c r="J1" s="459"/>
      <c r="K1" s="459"/>
      <c r="L1" s="459"/>
      <c r="M1" s="459"/>
      <c r="N1" s="459"/>
      <c r="O1" s="459"/>
      <c r="P1" s="459"/>
      <c r="Q1" s="459"/>
      <c r="R1" s="459"/>
      <c r="S1" s="459"/>
    </row>
    <row r="2" spans="1:22" ht="15.75">
      <c r="A2" s="1726" t="s">
        <v>1461</v>
      </c>
      <c r="B2" s="810">
        <f ca="1">SUMIF(B6:B13,"&lt;&gt;#ref!",B6:B13)</f>
        <v>2098.9465</v>
      </c>
      <c r="C2" s="1727" t="s">
        <v>1650</v>
      </c>
      <c r="D2" s="1728" t="s">
        <v>1651</v>
      </c>
      <c r="E2" s="2391">
        <f>SUM(E6:E13)</f>
        <v>391.32000000000005</v>
      </c>
      <c r="F2" s="2478"/>
      <c r="G2" s="459"/>
      <c r="H2" s="459"/>
      <c r="I2" s="459"/>
      <c r="J2" s="459"/>
      <c r="K2" s="459"/>
      <c r="L2" s="459"/>
      <c r="M2" s="459"/>
      <c r="N2" s="459"/>
      <c r="O2" s="459"/>
      <c r="P2" s="459"/>
      <c r="Q2" s="459"/>
      <c r="R2" s="459"/>
      <c r="S2" s="459"/>
    </row>
    <row r="3" spans="1:22" ht="15.75">
      <c r="A3" s="1726" t="s">
        <v>686</v>
      </c>
      <c r="B3" s="2385">
        <f ca="1">ROUND(B2*10000/E2,0)</f>
        <v>53638</v>
      </c>
      <c r="C3" s="1727" t="s">
        <v>1658</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1652</v>
      </c>
      <c r="B5" s="3444" t="s">
        <v>1653</v>
      </c>
      <c r="C5" s="3445"/>
      <c r="D5" s="2479"/>
      <c r="E5" s="1729" t="s">
        <v>1654</v>
      </c>
      <c r="F5" s="129" t="s">
        <v>1655</v>
      </c>
      <c r="G5" s="459"/>
      <c r="H5" s="459"/>
      <c r="I5" s="459"/>
      <c r="J5" s="459"/>
      <c r="K5" s="459"/>
      <c r="L5" s="459"/>
      <c r="M5" s="459"/>
      <c r="N5" s="459"/>
      <c r="O5" s="459"/>
      <c r="P5" s="459"/>
      <c r="Q5" s="459"/>
      <c r="R5" s="459"/>
      <c r="S5" s="459"/>
    </row>
    <row r="6" spans="1:22">
      <c r="A6" s="2388" t="str">
        <f>'数据-取费表'!AN6</f>
        <v>收益法 (元)</v>
      </c>
      <c r="B6" s="2386">
        <f ca="1">IF(F6="是",'数据-取费表'!AO6,0)</f>
        <v>410.08359999999999</v>
      </c>
      <c r="C6" s="1727" t="s">
        <v>1650</v>
      </c>
      <c r="D6" s="2478"/>
      <c r="E6" s="2390">
        <f>IF(OR(A6=0,F6="否"),0,'数据-取费表'!K6+'数据-取费表'!S6)</f>
        <v>108.47</v>
      </c>
      <c r="F6" s="1730" t="s">
        <v>1656</v>
      </c>
      <c r="G6" s="459"/>
      <c r="H6" s="459"/>
      <c r="I6" s="459"/>
      <c r="J6" s="459"/>
      <c r="K6" s="459"/>
      <c r="L6" s="459"/>
      <c r="M6" s="459"/>
      <c r="N6" s="459"/>
      <c r="O6" s="459"/>
      <c r="P6" s="459"/>
      <c r="Q6" s="459"/>
      <c r="R6" s="459"/>
      <c r="S6" s="459"/>
    </row>
    <row r="7" spans="1:22">
      <c r="A7" s="2388" t="str">
        <f>'数据-取费表'!AN7</f>
        <v>收益法商业</v>
      </c>
      <c r="B7" s="2386">
        <f ca="1">IF(F7="是",'数据-取费表'!AO7,0)</f>
        <v>1688.8629000000001</v>
      </c>
      <c r="C7" s="1727" t="s">
        <v>1650</v>
      </c>
      <c r="D7" s="2478"/>
      <c r="E7" s="2390">
        <f>IF(OR(A7=0,F7="否"),0,'数据-取费表'!K7+'数据-取费表'!S7)</f>
        <v>282.85000000000002</v>
      </c>
      <c r="F7" s="1730" t="s">
        <v>1656</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1650</v>
      </c>
      <c r="D8" s="2478"/>
      <c r="E8" s="2390">
        <f>IF(OR(A8=0,F8="否"),0,'数据-取费表'!K8+'数据-取费表'!S8)</f>
        <v>0</v>
      </c>
      <c r="F8" s="1730" t="s">
        <v>1656</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1650</v>
      </c>
      <c r="D9" s="2478"/>
      <c r="E9" s="2390">
        <f>IF(OR(A9=0,F9="否"),0,'数据-取费表'!K9+'数据-取费表'!S9)</f>
        <v>0</v>
      </c>
      <c r="F9" s="1730" t="s">
        <v>1656</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1650</v>
      </c>
      <c r="D10" s="2478"/>
      <c r="E10" s="2390">
        <f>IF(OR(A10=0,F10="否"),0,'数据-取费表'!K10+'数据-取费表'!S10)</f>
        <v>0</v>
      </c>
      <c r="F10" s="1730" t="s">
        <v>1656</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1650</v>
      </c>
      <c r="D11" s="2478"/>
      <c r="E11" s="2390">
        <f>IF(OR(A11=0,F11="否"),0,'数据-取费表'!K11+'数据-取费表'!S11)</f>
        <v>0</v>
      </c>
      <c r="F11" s="1730" t="s">
        <v>1656</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1650</v>
      </c>
      <c r="D12" s="2478"/>
      <c r="E12" s="2390">
        <f>IF(OR(A12=0,F12="否"),0,'数据-取费表'!K12+'数据-取费表'!S12)</f>
        <v>0</v>
      </c>
      <c r="F12" s="1730" t="s">
        <v>1656</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1650</v>
      </c>
      <c r="D13" s="2480"/>
      <c r="E13" s="2390">
        <f>IF(OR(A13=0,F13="否"),0,'数据-取费表'!K13+'数据-取费表'!S13)</f>
        <v>0</v>
      </c>
      <c r="F13" s="1730"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2" t="s">
        <v>1660</v>
      </c>
      <c r="C1" s="1154" t="s">
        <v>1661</v>
      </c>
      <c r="D1" s="1141"/>
      <c r="E1" s="3123"/>
      <c r="F1" s="1733"/>
      <c r="G1" s="1151" t="s">
        <v>1662</v>
      </c>
      <c r="H1" s="1150"/>
      <c r="I1" s="1150"/>
      <c r="J1" s="1150"/>
      <c r="K1" s="1152"/>
      <c r="L1" s="1153"/>
      <c r="M1" s="1154"/>
      <c r="N1" s="1154"/>
      <c r="O1" s="1154"/>
      <c r="P1" s="1734"/>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1663</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7"/>
    </row>
    <row r="3" spans="1:29" s="338" customFormat="1" ht="28.5" customHeight="1" thickBot="1">
      <c r="A3" s="195" t="s">
        <v>686</v>
      </c>
      <c r="B3" s="343">
        <f>IF(C2="——",C49,ROUND(B2*10000/D3,0))</f>
        <v>0</v>
      </c>
      <c r="C3" s="344" t="s">
        <v>1664</v>
      </c>
      <c r="D3" s="343">
        <f>IF(D1="",'数据-汇总表'!E3,SUMIF('数据-汇总表'!$C19:$C33,D1,'数据-汇总表'!$E19:$E33))</f>
        <v>391.32000000000005</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7"/>
    </row>
    <row r="4" spans="1:29" ht="15">
      <c r="A4" s="345" t="s">
        <v>1665</v>
      </c>
      <c r="B4" s="346"/>
      <c r="C4" s="3376" t="s">
        <v>1666</v>
      </c>
      <c r="D4" s="3377"/>
      <c r="E4" s="3378" t="s">
        <v>1667</v>
      </c>
      <c r="F4" s="3379"/>
      <c r="G4" s="3376" t="s">
        <v>1668</v>
      </c>
      <c r="H4" s="3377"/>
      <c r="I4" s="3376" t="s">
        <v>1669</v>
      </c>
      <c r="J4" s="3377"/>
      <c r="K4" s="1742" t="s">
        <v>1670</v>
      </c>
      <c r="L4" s="2485"/>
      <c r="M4" s="2486"/>
      <c r="N4" s="2486"/>
      <c r="O4" s="2486"/>
      <c r="P4" s="3418" t="s">
        <v>1671</v>
      </c>
      <c r="Q4" s="3419"/>
      <c r="R4" s="3422" t="s">
        <v>1667</v>
      </c>
      <c r="S4" s="3423"/>
      <c r="T4" s="3422" t="s">
        <v>1668</v>
      </c>
      <c r="U4" s="3423"/>
      <c r="V4" s="3360" t="s">
        <v>1669</v>
      </c>
      <c r="W4" s="3360"/>
      <c r="X4" s="1263"/>
      <c r="Y4" s="3422" t="s">
        <v>1671</v>
      </c>
      <c r="Z4" s="3423"/>
      <c r="AA4" s="3417" t="s">
        <v>1667</v>
      </c>
      <c r="AB4" s="3417" t="s">
        <v>1668</v>
      </c>
      <c r="AC4" s="3417" t="s">
        <v>1669</v>
      </c>
    </row>
    <row r="5" spans="1:29" ht="15">
      <c r="A5" s="348"/>
      <c r="B5" s="349"/>
      <c r="C5" s="3401" t="s">
        <v>1672</v>
      </c>
      <c r="D5" s="3402"/>
      <c r="E5" s="3446" t="s">
        <v>1673</v>
      </c>
      <c r="F5" s="3396"/>
      <c r="G5" s="3401" t="s">
        <v>1674</v>
      </c>
      <c r="H5" s="3402"/>
      <c r="I5" s="3401" t="s">
        <v>1675</v>
      </c>
      <c r="J5" s="3402"/>
      <c r="K5" s="1743"/>
      <c r="L5" s="2485"/>
      <c r="M5" s="2486"/>
      <c r="N5" s="2486"/>
      <c r="O5" s="2486"/>
      <c r="P5" s="3420"/>
      <c r="Q5" s="3383"/>
      <c r="R5" s="3388"/>
      <c r="S5" s="3389"/>
      <c r="T5" s="3388"/>
      <c r="U5" s="3389"/>
      <c r="V5" s="3360"/>
      <c r="W5" s="3360"/>
      <c r="X5" s="1263"/>
      <c r="Y5" s="3388"/>
      <c r="Z5" s="3389"/>
      <c r="AA5" s="3406"/>
      <c r="AB5" s="3406"/>
      <c r="AC5" s="3406"/>
    </row>
    <row r="6" spans="1:29" ht="15.75" thickBot="1">
      <c r="A6" s="350"/>
      <c r="B6" s="351"/>
      <c r="C6" s="3393" t="s">
        <v>1676</v>
      </c>
      <c r="D6" s="3394"/>
      <c r="E6" s="3403" t="s">
        <v>1676</v>
      </c>
      <c r="F6" s="3404"/>
      <c r="G6" s="3393" t="s">
        <v>1676</v>
      </c>
      <c r="H6" s="3394"/>
      <c r="I6" s="3393" t="s">
        <v>1676</v>
      </c>
      <c r="J6" s="3394"/>
      <c r="K6" s="1743" t="s">
        <v>1677</v>
      </c>
      <c r="L6" s="2485"/>
      <c r="M6" s="2486"/>
      <c r="N6" s="2486"/>
      <c r="O6" s="2486"/>
      <c r="P6" s="3421"/>
      <c r="Q6" s="3385"/>
      <c r="R6" s="3388"/>
      <c r="S6" s="3389"/>
      <c r="T6" s="3390"/>
      <c r="U6" s="3391"/>
      <c r="V6" s="3360"/>
      <c r="W6" s="3360"/>
      <c r="X6" s="1263"/>
      <c r="Y6" s="3390"/>
      <c r="Z6" s="3391"/>
      <c r="AA6" s="3407"/>
      <c r="AB6" s="3407"/>
      <c r="AC6" s="3407"/>
    </row>
    <row r="7" spans="1:29" s="102" customFormat="1" ht="15.75" thickBot="1">
      <c r="A7" s="352" t="s">
        <v>1678</v>
      </c>
      <c r="B7" s="353"/>
      <c r="C7" s="354">
        <f>'数据-取费表'!B2</f>
        <v>45065</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399" t="s">
        <v>1679</v>
      </c>
      <c r="Q7" s="3400"/>
      <c r="R7" s="663" t="s">
        <v>20</v>
      </c>
      <c r="S7" s="664">
        <f t="shared" ref="S7:S15" si="0">F7</f>
        <v>0</v>
      </c>
      <c r="T7" s="663" t="s">
        <v>20</v>
      </c>
      <c r="U7" s="664">
        <f t="shared" ref="U7:U15" si="1">H7</f>
        <v>0</v>
      </c>
      <c r="V7" s="663" t="s">
        <v>20</v>
      </c>
      <c r="W7" s="664">
        <f t="shared" ref="W7:W15" si="2">J7</f>
        <v>0</v>
      </c>
      <c r="X7" s="665"/>
      <c r="Y7" s="3399" t="s">
        <v>1679</v>
      </c>
      <c r="Z7" s="3398"/>
      <c r="AA7" s="50" t="e">
        <f>D7/F7</f>
        <v>#DIV/0!</v>
      </c>
      <c r="AB7" s="50" t="e">
        <f>D7/H7</f>
        <v>#DIV/0!</v>
      </c>
      <c r="AC7" s="50" t="e">
        <f>D7/J7</f>
        <v>#DIV/0!</v>
      </c>
    </row>
    <row r="8" spans="1:29" s="102" customFormat="1" ht="15.75" thickBot="1">
      <c r="A8" s="352" t="s">
        <v>1680</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399" t="s">
        <v>1682</v>
      </c>
      <c r="Q8" s="3398"/>
      <c r="R8" s="663" t="s">
        <v>20</v>
      </c>
      <c r="S8" s="664">
        <f t="shared" si="0"/>
        <v>100</v>
      </c>
      <c r="T8" s="663" t="s">
        <v>20</v>
      </c>
      <c r="U8" s="664">
        <f t="shared" si="1"/>
        <v>100</v>
      </c>
      <c r="V8" s="663" t="s">
        <v>20</v>
      </c>
      <c r="W8" s="664">
        <f t="shared" si="2"/>
        <v>100</v>
      </c>
      <c r="X8" s="665"/>
      <c r="Y8" s="3399" t="s">
        <v>1682</v>
      </c>
      <c r="Z8" s="3398"/>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58" t="s">
        <v>1685</v>
      </c>
      <c r="Q9" s="530" t="str">
        <f t="shared" ref="Q9:Q15" si="6">B9</f>
        <v>用途</v>
      </c>
      <c r="R9" s="663" t="s">
        <v>14</v>
      </c>
      <c r="S9" s="664">
        <f t="shared" si="0"/>
        <v>100</v>
      </c>
      <c r="T9" s="663" t="s">
        <v>14</v>
      </c>
      <c r="U9" s="664">
        <f t="shared" si="1"/>
        <v>100</v>
      </c>
      <c r="V9" s="663" t="s">
        <v>14</v>
      </c>
      <c r="W9" s="664">
        <f t="shared" si="2"/>
        <v>100</v>
      </c>
      <c r="X9" s="665"/>
      <c r="Y9" s="3257" t="s">
        <v>1686</v>
      </c>
      <c r="Z9" s="50" t="str">
        <f t="shared" ref="Z9:Z15" si="7">Q9</f>
        <v>用途</v>
      </c>
      <c r="AA9" s="50">
        <f t="shared" si="3"/>
        <v>1</v>
      </c>
      <c r="AB9" s="50">
        <f t="shared" si="4"/>
        <v>1</v>
      </c>
      <c r="AC9" s="50">
        <f t="shared" si="5"/>
        <v>1</v>
      </c>
    </row>
    <row r="10" spans="1:29" s="366" customFormat="1" ht="27">
      <c r="A10" s="363"/>
      <c r="B10" s="364" t="s">
        <v>1687</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58"/>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58"/>
      <c r="Q11" s="530" t="str">
        <f t="shared" si="6"/>
        <v>容积率</v>
      </c>
      <c r="R11" s="663" t="s">
        <v>18</v>
      </c>
      <c r="S11" s="664" t="e">
        <f t="shared" si="0"/>
        <v>#N/A</v>
      </c>
      <c r="T11" s="663" t="s">
        <v>18</v>
      </c>
      <c r="U11" s="664" t="e">
        <f t="shared" si="1"/>
        <v>#N/A</v>
      </c>
      <c r="V11" s="663" t="s">
        <v>18</v>
      </c>
      <c r="W11" s="664" t="e">
        <f t="shared" si="2"/>
        <v>#N/A</v>
      </c>
      <c r="X11" s="665"/>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58"/>
      <c r="Q12" s="530">
        <f t="shared" si="6"/>
        <v>111</v>
      </c>
      <c r="R12" s="663" t="s">
        <v>18</v>
      </c>
      <c r="S12" s="664">
        <f t="shared" si="0"/>
        <v>100</v>
      </c>
      <c r="T12" s="663" t="s">
        <v>18</v>
      </c>
      <c r="U12" s="664">
        <f t="shared" si="1"/>
        <v>100</v>
      </c>
      <c r="V12" s="663" t="s">
        <v>18</v>
      </c>
      <c r="W12" s="664">
        <f t="shared" si="2"/>
        <v>100</v>
      </c>
      <c r="X12" s="665"/>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58"/>
      <c r="Q13" s="530">
        <f t="shared" si="6"/>
        <v>111</v>
      </c>
      <c r="R13" s="663" t="s">
        <v>18</v>
      </c>
      <c r="S13" s="664">
        <f t="shared" si="0"/>
        <v>100</v>
      </c>
      <c r="T13" s="663" t="s">
        <v>18</v>
      </c>
      <c r="U13" s="664">
        <f t="shared" si="1"/>
        <v>100</v>
      </c>
      <c r="V13" s="663" t="s">
        <v>18</v>
      </c>
      <c r="W13" s="664">
        <f t="shared" si="2"/>
        <v>100</v>
      </c>
      <c r="X13" s="665"/>
      <c r="Y13" s="3257"/>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58"/>
      <c r="Q14" s="530">
        <f t="shared" si="6"/>
        <v>111</v>
      </c>
      <c r="R14" s="663" t="s">
        <v>18</v>
      </c>
      <c r="S14" s="664">
        <f t="shared" si="0"/>
        <v>100</v>
      </c>
      <c r="T14" s="663" t="s">
        <v>18</v>
      </c>
      <c r="U14" s="664">
        <f t="shared" si="1"/>
        <v>100</v>
      </c>
      <c r="V14" s="663" t="s">
        <v>18</v>
      </c>
      <c r="W14" s="664">
        <f t="shared" si="2"/>
        <v>100</v>
      </c>
      <c r="X14" s="665"/>
      <c r="Y14" s="3257"/>
      <c r="Z14" s="50">
        <f t="shared" si="7"/>
        <v>111</v>
      </c>
      <c r="AA14" s="50">
        <f t="shared" si="3"/>
        <v>1</v>
      </c>
      <c r="AB14" s="50">
        <f t="shared" si="4"/>
        <v>1</v>
      </c>
      <c r="AC14" s="50">
        <f t="shared" si="5"/>
        <v>1</v>
      </c>
    </row>
    <row r="15" spans="1:29" ht="15">
      <c r="A15" s="379" t="s">
        <v>1689</v>
      </c>
      <c r="B15" s="58" t="s">
        <v>1256</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4" t="s">
        <v>1690</v>
      </c>
      <c r="Q15" s="1261" t="str">
        <f t="shared" si="6"/>
        <v>居住社区成熟度</v>
      </c>
      <c r="R15" s="666" t="s">
        <v>18</v>
      </c>
      <c r="S15" s="667">
        <f t="shared" si="0"/>
        <v>100</v>
      </c>
      <c r="T15" s="666" t="s">
        <v>18</v>
      </c>
      <c r="U15" s="667">
        <f t="shared" si="1"/>
        <v>100</v>
      </c>
      <c r="V15" s="666" t="s">
        <v>18</v>
      </c>
      <c r="W15" s="667">
        <f t="shared" si="2"/>
        <v>100</v>
      </c>
      <c r="X15" s="1263"/>
      <c r="Y15" s="3366" t="s">
        <v>1690</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365"/>
      <c r="Q16" s="1261"/>
      <c r="R16" s="666"/>
      <c r="S16" s="667"/>
      <c r="T16" s="666"/>
      <c r="U16" s="667"/>
      <c r="V16" s="666"/>
      <c r="W16" s="667"/>
      <c r="X16" s="1263"/>
      <c r="Y16" s="3367"/>
      <c r="Z16" s="1262"/>
      <c r="AA16" s="1262">
        <v>1</v>
      </c>
      <c r="AB16" s="1262">
        <v>1</v>
      </c>
      <c r="AC16" s="1262">
        <v>1</v>
      </c>
    </row>
    <row r="17" spans="1:29" ht="128.25">
      <c r="A17" s="367"/>
      <c r="B17" s="390" t="s">
        <v>1258</v>
      </c>
      <c r="C17" s="1752" t="str">
        <f>估价对象房地状况!C6</f>
        <v>估价对象周边道路状况较好、有7、16、105等公交线路及地铁2、4号线经过，公共交通通达情况较好、停车便捷程度一般，综合评价交通便捷度较好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5"/>
      <c r="Q17" s="1261" t="str">
        <f>B17</f>
        <v>交通便捷度</v>
      </c>
      <c r="R17" s="666" t="s">
        <v>18</v>
      </c>
      <c r="S17" s="667">
        <f>F17</f>
        <v>100</v>
      </c>
      <c r="T17" s="666" t="s">
        <v>18</v>
      </c>
      <c r="U17" s="667">
        <f>H17</f>
        <v>100</v>
      </c>
      <c r="V17" s="666" t="s">
        <v>18</v>
      </c>
      <c r="W17" s="667">
        <f>J17</f>
        <v>100</v>
      </c>
      <c r="X17" s="1263"/>
      <c r="Y17" s="3367"/>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365"/>
      <c r="Q18" s="1261"/>
      <c r="R18" s="666"/>
      <c r="S18" s="667"/>
      <c r="T18" s="666"/>
      <c r="U18" s="667"/>
      <c r="V18" s="666"/>
      <c r="W18" s="667"/>
      <c r="X18" s="1263"/>
      <c r="Y18" s="3367"/>
      <c r="Z18" s="1262"/>
      <c r="AA18" s="1262">
        <v>1</v>
      </c>
      <c r="AB18" s="1262">
        <v>1</v>
      </c>
      <c r="AC18" s="1262">
        <v>1</v>
      </c>
    </row>
    <row r="19" spans="1:29" ht="42.75">
      <c r="A19" s="367"/>
      <c r="B19" s="390" t="s">
        <v>1257</v>
      </c>
      <c r="C19" s="1752"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5"/>
      <c r="Q19" s="1261" t="str">
        <f>B19</f>
        <v>公共配套设施</v>
      </c>
      <c r="R19" s="666" t="s">
        <v>18</v>
      </c>
      <c r="S19" s="667">
        <f>F19</f>
        <v>100</v>
      </c>
      <c r="T19" s="666" t="s">
        <v>18</v>
      </c>
      <c r="U19" s="667">
        <f>H19</f>
        <v>100</v>
      </c>
      <c r="V19" s="666" t="s">
        <v>18</v>
      </c>
      <c r="W19" s="667">
        <f>J19</f>
        <v>100</v>
      </c>
      <c r="X19" s="1263"/>
      <c r="Y19" s="3367"/>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365"/>
      <c r="Q20" s="1261"/>
      <c r="R20" s="666"/>
      <c r="S20" s="667"/>
      <c r="T20" s="666"/>
      <c r="U20" s="667"/>
      <c r="V20" s="666"/>
      <c r="W20" s="667"/>
      <c r="X20" s="1263"/>
      <c r="Y20" s="3367"/>
      <c r="Z20" s="1262"/>
      <c r="AA20" s="1262">
        <v>1</v>
      </c>
      <c r="AB20" s="1262">
        <v>1</v>
      </c>
      <c r="AC20" s="1262">
        <v>1</v>
      </c>
    </row>
    <row r="21" spans="1:29" ht="28.5">
      <c r="A21" s="367"/>
      <c r="B21" s="585" t="s">
        <v>1259</v>
      </c>
      <c r="C21" s="1752"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5"/>
      <c r="Q21" s="1261" t="str">
        <f>B21</f>
        <v>基础设施水平</v>
      </c>
      <c r="R21" s="666" t="s">
        <v>14</v>
      </c>
      <c r="S21" s="667">
        <f>F21</f>
        <v>100</v>
      </c>
      <c r="T21" s="666" t="s">
        <v>14</v>
      </c>
      <c r="U21" s="667">
        <f>H21</f>
        <v>100</v>
      </c>
      <c r="V21" s="666" t="s">
        <v>14</v>
      </c>
      <c r="W21" s="667">
        <f>J21</f>
        <v>100</v>
      </c>
      <c r="X21" s="1263"/>
      <c r="Y21" s="3367"/>
      <c r="Z21" s="1262" t="str">
        <f>Q21</f>
        <v>基础设施水平</v>
      </c>
      <c r="AA21" s="1262">
        <f>D21/F21</f>
        <v>1</v>
      </c>
      <c r="AB21" s="1262">
        <f>D21/H21</f>
        <v>1</v>
      </c>
      <c r="AC21" s="1262">
        <f>D21/J21</f>
        <v>1</v>
      </c>
    </row>
    <row r="22" spans="1:29" ht="15">
      <c r="A22" s="367"/>
      <c r="B22" s="585"/>
      <c r="C22" s="1753"/>
      <c r="D22" s="387"/>
      <c r="E22" s="386"/>
      <c r="F22" s="387"/>
      <c r="G22" s="1756"/>
      <c r="H22" s="387"/>
      <c r="I22" s="386"/>
      <c r="J22" s="387"/>
      <c r="K22" s="1757"/>
      <c r="L22" s="2491"/>
      <c r="M22" s="2486"/>
      <c r="N22" s="2486"/>
      <c r="O22" s="2486"/>
      <c r="P22" s="3365"/>
      <c r="Q22" s="1261"/>
      <c r="R22" s="666"/>
      <c r="S22" s="667"/>
      <c r="T22" s="666"/>
      <c r="U22" s="667"/>
      <c r="V22" s="666"/>
      <c r="W22" s="667"/>
      <c r="X22" s="1263"/>
      <c r="Y22" s="3367"/>
      <c r="Z22" s="1262"/>
      <c r="AA22" s="1262">
        <v>1</v>
      </c>
      <c r="AB22" s="1262">
        <v>1</v>
      </c>
      <c r="AC22" s="1262">
        <v>1</v>
      </c>
    </row>
    <row r="23" spans="1:29" ht="85.5">
      <c r="A23" s="367"/>
      <c r="B23" s="390" t="s">
        <v>1260</v>
      </c>
      <c r="C23" s="1752" t="str">
        <f>估价对象房地状况!C9</f>
        <v>区域自然环境：北京动物园、官园公园；人文环境：北京天文馆、北京建筑大学；综合评价环境状况较好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5"/>
      <c r="Q23" s="1261" t="str">
        <f>B23</f>
        <v>自然及人文环境</v>
      </c>
      <c r="R23" s="666" t="s">
        <v>18</v>
      </c>
      <c r="S23" s="667">
        <f>F23</f>
        <v>100</v>
      </c>
      <c r="T23" s="666" t="s">
        <v>18</v>
      </c>
      <c r="U23" s="667">
        <f>H23</f>
        <v>100</v>
      </c>
      <c r="V23" s="666" t="s">
        <v>18</v>
      </c>
      <c r="W23" s="667">
        <f>J23</f>
        <v>100</v>
      </c>
      <c r="X23" s="1263"/>
      <c r="Y23" s="3367"/>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365"/>
      <c r="Q24" s="1261"/>
      <c r="R24" s="666"/>
      <c r="S24" s="667"/>
      <c r="T24" s="666"/>
      <c r="U24" s="667"/>
      <c r="V24" s="666"/>
      <c r="W24" s="667"/>
      <c r="X24" s="1263"/>
      <c r="Y24" s="3367"/>
      <c r="Z24" s="1262"/>
      <c r="AA24" s="1262">
        <v>1</v>
      </c>
      <c r="AB24" s="1262">
        <v>1</v>
      </c>
      <c r="AC24" s="1262">
        <v>1</v>
      </c>
    </row>
    <row r="25" spans="1:29" ht="15">
      <c r="A25" s="367"/>
      <c r="B25" s="364" t="s">
        <v>1691</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65"/>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367"/>
      <c r="Z25" s="1262" t="str">
        <f>Q25</f>
        <v>楼层-1</v>
      </c>
      <c r="AA25" s="1262">
        <f t="shared" ref="AA25:AA46" si="12">D25/F25</f>
        <v>1</v>
      </c>
      <c r="AB25" s="1262">
        <f t="shared" ref="AB25:AB46" si="13">D25/H25</f>
        <v>1</v>
      </c>
      <c r="AC25" s="1262">
        <f t="shared" ref="AC25:AC46" si="14">D25/J25</f>
        <v>1</v>
      </c>
    </row>
    <row r="26" spans="1:29" ht="15">
      <c r="A26" s="367"/>
      <c r="B26" s="364" t="s">
        <v>1692</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365"/>
      <c r="Q26" s="1261" t="str">
        <f t="shared" si="8"/>
        <v>朝向</v>
      </c>
      <c r="R26" s="666" t="s">
        <v>18</v>
      </c>
      <c r="S26" s="667">
        <f t="shared" si="9"/>
        <v>100</v>
      </c>
      <c r="T26" s="666" t="s">
        <v>18</v>
      </c>
      <c r="U26" s="667">
        <f t="shared" si="10"/>
        <v>100</v>
      </c>
      <c r="V26" s="666" t="s">
        <v>18</v>
      </c>
      <c r="W26" s="667">
        <f t="shared" si="11"/>
        <v>100</v>
      </c>
      <c r="X26" s="1263"/>
      <c r="Y26" s="3367"/>
      <c r="Z26" s="1262" t="str">
        <f>Q26</f>
        <v>朝向</v>
      </c>
      <c r="AA26" s="1262">
        <f t="shared" si="12"/>
        <v>1</v>
      </c>
      <c r="AB26" s="1262">
        <f t="shared" si="13"/>
        <v>1</v>
      </c>
      <c r="AC26" s="1262">
        <f t="shared" si="14"/>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365"/>
      <c r="Q27" s="530">
        <f t="shared" si="8"/>
        <v>111</v>
      </c>
      <c r="R27" s="663" t="s">
        <v>18</v>
      </c>
      <c r="S27" s="664">
        <f t="shared" si="9"/>
        <v>100</v>
      </c>
      <c r="T27" s="663" t="s">
        <v>18</v>
      </c>
      <c r="U27" s="664">
        <f t="shared" si="10"/>
        <v>100</v>
      </c>
      <c r="V27" s="663" t="s">
        <v>18</v>
      </c>
      <c r="W27" s="664">
        <f t="shared" si="11"/>
        <v>100</v>
      </c>
      <c r="X27" s="665"/>
      <c r="Y27" s="3367"/>
      <c r="Z27" s="50">
        <f>Q27</f>
        <v>111</v>
      </c>
      <c r="AA27" s="1262">
        <f t="shared" si="12"/>
        <v>1</v>
      </c>
      <c r="AB27" s="1262">
        <f t="shared" si="13"/>
        <v>1</v>
      </c>
      <c r="AC27" s="1262">
        <f t="shared" si="14"/>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65"/>
      <c r="Q28" s="1261">
        <f t="shared" si="8"/>
        <v>111</v>
      </c>
      <c r="R28" s="666" t="s">
        <v>18</v>
      </c>
      <c r="S28" s="667">
        <f t="shared" si="9"/>
        <v>100</v>
      </c>
      <c r="T28" s="666" t="s">
        <v>18</v>
      </c>
      <c r="U28" s="667">
        <f t="shared" si="10"/>
        <v>100</v>
      </c>
      <c r="V28" s="666" t="s">
        <v>18</v>
      </c>
      <c r="W28" s="667">
        <f t="shared" si="11"/>
        <v>100</v>
      </c>
      <c r="X28" s="1263"/>
      <c r="Y28" s="3367"/>
      <c r="Z28" s="1262">
        <f t="shared" ref="Z28:Z46" si="15">Q28</f>
        <v>111</v>
      </c>
      <c r="AA28" s="1262">
        <f t="shared" si="12"/>
        <v>1</v>
      </c>
      <c r="AB28" s="1262">
        <f t="shared" si="13"/>
        <v>1</v>
      </c>
      <c r="AC28" s="1262">
        <f t="shared" si="14"/>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65"/>
      <c r="Q29" s="1261">
        <f t="shared" si="8"/>
        <v>111</v>
      </c>
      <c r="R29" s="666" t="s">
        <v>18</v>
      </c>
      <c r="S29" s="667">
        <f t="shared" si="9"/>
        <v>100</v>
      </c>
      <c r="T29" s="666" t="s">
        <v>18</v>
      </c>
      <c r="U29" s="667">
        <f t="shared" si="10"/>
        <v>100</v>
      </c>
      <c r="V29" s="666" t="s">
        <v>18</v>
      </c>
      <c r="W29" s="667">
        <f t="shared" si="11"/>
        <v>100</v>
      </c>
      <c r="X29" s="1263"/>
      <c r="Y29" s="3367"/>
      <c r="Z29" s="1262">
        <f t="shared" si="15"/>
        <v>111</v>
      </c>
      <c r="AA29" s="1262">
        <f t="shared" si="12"/>
        <v>1</v>
      </c>
      <c r="AB29" s="1262">
        <f t="shared" si="13"/>
        <v>1</v>
      </c>
      <c r="AC29" s="1262">
        <f t="shared" si="14"/>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65"/>
      <c r="Q30" s="1261">
        <f t="shared" si="8"/>
        <v>111</v>
      </c>
      <c r="R30" s="666" t="s">
        <v>18</v>
      </c>
      <c r="S30" s="667">
        <f t="shared" si="9"/>
        <v>100</v>
      </c>
      <c r="T30" s="666" t="s">
        <v>18</v>
      </c>
      <c r="U30" s="667">
        <f t="shared" si="10"/>
        <v>100</v>
      </c>
      <c r="V30" s="666" t="s">
        <v>18</v>
      </c>
      <c r="W30" s="667">
        <f t="shared" si="11"/>
        <v>100</v>
      </c>
      <c r="X30" s="1263"/>
      <c r="Y30" s="3367"/>
      <c r="Z30" s="1262">
        <f t="shared" si="15"/>
        <v>111</v>
      </c>
      <c r="AA30" s="1262">
        <f t="shared" si="12"/>
        <v>1</v>
      </c>
      <c r="AB30" s="1262">
        <f t="shared" si="13"/>
        <v>1</v>
      </c>
      <c r="AC30" s="1262">
        <f t="shared" si="14"/>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65"/>
      <c r="Q31" s="1261">
        <f t="shared" si="8"/>
        <v>111</v>
      </c>
      <c r="R31" s="666" t="s">
        <v>18</v>
      </c>
      <c r="S31" s="667">
        <f t="shared" si="9"/>
        <v>100</v>
      </c>
      <c r="T31" s="666" t="s">
        <v>18</v>
      </c>
      <c r="U31" s="667">
        <f t="shared" si="10"/>
        <v>100</v>
      </c>
      <c r="V31" s="666" t="s">
        <v>18</v>
      </c>
      <c r="W31" s="667">
        <f t="shared" si="11"/>
        <v>100</v>
      </c>
      <c r="X31" s="1263"/>
      <c r="Y31" s="3367"/>
      <c r="Z31" s="1262">
        <f t="shared" si="15"/>
        <v>111</v>
      </c>
      <c r="AA31" s="1262">
        <f t="shared" si="12"/>
        <v>1</v>
      </c>
      <c r="AB31" s="1262">
        <f t="shared" si="13"/>
        <v>1</v>
      </c>
      <c r="AC31" s="1262">
        <f t="shared" si="14"/>
        <v>1</v>
      </c>
    </row>
    <row r="32" spans="1:29" ht="15">
      <c r="A32" s="379" t="s">
        <v>1693</v>
      </c>
      <c r="B32" s="60" t="s">
        <v>1694</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68" t="s">
        <v>1695</v>
      </c>
      <c r="Q32" s="1261" t="str">
        <f t="shared" si="8"/>
        <v>建筑类型</v>
      </c>
      <c r="R32" s="666" t="s">
        <v>18</v>
      </c>
      <c r="S32" s="667">
        <f t="shared" si="9"/>
        <v>100</v>
      </c>
      <c r="T32" s="666" t="s">
        <v>18</v>
      </c>
      <c r="U32" s="667">
        <f t="shared" si="10"/>
        <v>100</v>
      </c>
      <c r="V32" s="666" t="s">
        <v>18</v>
      </c>
      <c r="W32" s="667">
        <f t="shared" si="11"/>
        <v>100</v>
      </c>
      <c r="X32" s="1263"/>
      <c r="Y32" s="3371" t="s">
        <v>1695</v>
      </c>
      <c r="Z32" s="1262" t="str">
        <f t="shared" si="15"/>
        <v>建筑类型</v>
      </c>
      <c r="AA32" s="1262">
        <f t="shared" si="12"/>
        <v>1</v>
      </c>
      <c r="AB32" s="1262">
        <f t="shared" si="13"/>
        <v>1</v>
      </c>
      <c r="AC32" s="1262">
        <f t="shared" si="14"/>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369"/>
      <c r="Q33" s="531" t="str">
        <f t="shared" si="8"/>
        <v>项目建筑规模</v>
      </c>
      <c r="R33" s="668" t="s">
        <v>18</v>
      </c>
      <c r="S33" s="669" t="e">
        <f t="shared" si="9"/>
        <v>#N/A</v>
      </c>
      <c r="T33" s="668" t="s">
        <v>18</v>
      </c>
      <c r="U33" s="669" t="e">
        <f t="shared" si="10"/>
        <v>#N/A</v>
      </c>
      <c r="V33" s="668" t="s">
        <v>18</v>
      </c>
      <c r="W33" s="669" t="e">
        <f t="shared" si="11"/>
        <v>#N/A</v>
      </c>
      <c r="X33" s="670"/>
      <c r="Y33" s="3371"/>
      <c r="Z33" s="671" t="str">
        <f t="shared" si="15"/>
        <v>项目建筑规模</v>
      </c>
      <c r="AA33" s="1262" t="e">
        <f t="shared" si="12"/>
        <v>#N/A</v>
      </c>
      <c r="AB33" s="1262" t="e">
        <f t="shared" si="13"/>
        <v>#N/A</v>
      </c>
      <c r="AC33" s="1262" t="e">
        <f t="shared" si="14"/>
        <v>#N/A</v>
      </c>
    </row>
    <row r="34" spans="1:29" ht="15">
      <c r="A34" s="409"/>
      <c r="B34" s="364" t="s">
        <v>1697</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69"/>
      <c r="Q34" s="1261" t="str">
        <f t="shared" si="8"/>
        <v>建筑结构</v>
      </c>
      <c r="R34" s="666" t="s">
        <v>18</v>
      </c>
      <c r="S34" s="667">
        <f t="shared" si="9"/>
        <v>100</v>
      </c>
      <c r="T34" s="666" t="s">
        <v>18</v>
      </c>
      <c r="U34" s="667">
        <f t="shared" si="10"/>
        <v>100</v>
      </c>
      <c r="V34" s="666" t="s">
        <v>18</v>
      </c>
      <c r="W34" s="667">
        <f t="shared" si="11"/>
        <v>100</v>
      </c>
      <c r="X34" s="1263"/>
      <c r="Y34" s="3371"/>
      <c r="Z34" s="1262" t="str">
        <f t="shared" si="15"/>
        <v>建筑结构</v>
      </c>
      <c r="AA34" s="1262">
        <f t="shared" si="12"/>
        <v>1</v>
      </c>
      <c r="AB34" s="1262">
        <f t="shared" si="13"/>
        <v>1</v>
      </c>
      <c r="AC34" s="1262">
        <f t="shared" si="14"/>
        <v>1</v>
      </c>
    </row>
    <row r="35" spans="1:29" ht="15">
      <c r="A35" s="409"/>
      <c r="B35" s="364" t="s">
        <v>1698</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69"/>
      <c r="Q35" s="1261" t="str">
        <f t="shared" si="8"/>
        <v>建筑品质</v>
      </c>
      <c r="R35" s="666" t="s">
        <v>18</v>
      </c>
      <c r="S35" s="667">
        <f t="shared" si="9"/>
        <v>100</v>
      </c>
      <c r="T35" s="666" t="s">
        <v>18</v>
      </c>
      <c r="U35" s="667">
        <f t="shared" si="10"/>
        <v>100</v>
      </c>
      <c r="V35" s="666" t="s">
        <v>18</v>
      </c>
      <c r="W35" s="667">
        <f t="shared" si="11"/>
        <v>100</v>
      </c>
      <c r="X35" s="1263"/>
      <c r="Y35" s="3371"/>
      <c r="Z35" s="1262" t="str">
        <f t="shared" si="15"/>
        <v>建筑品质</v>
      </c>
      <c r="AA35" s="1262">
        <f t="shared" si="12"/>
        <v>1</v>
      </c>
      <c r="AB35" s="1262">
        <f t="shared" si="13"/>
        <v>1</v>
      </c>
      <c r="AC35" s="1262">
        <f t="shared" si="14"/>
        <v>1</v>
      </c>
    </row>
    <row r="36" spans="1:29" ht="15">
      <c r="A36" s="409"/>
      <c r="B36" s="364" t="s">
        <v>1699</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69"/>
      <c r="Q36" s="1261" t="str">
        <f t="shared" si="8"/>
        <v>公共部分装修</v>
      </c>
      <c r="R36" s="666" t="s">
        <v>18</v>
      </c>
      <c r="S36" s="667">
        <f t="shared" si="9"/>
        <v>100</v>
      </c>
      <c r="T36" s="666" t="s">
        <v>18</v>
      </c>
      <c r="U36" s="667">
        <f t="shared" si="10"/>
        <v>100</v>
      </c>
      <c r="V36" s="666" t="s">
        <v>18</v>
      </c>
      <c r="W36" s="667">
        <f t="shared" si="11"/>
        <v>100</v>
      </c>
      <c r="X36" s="1263"/>
      <c r="Y36" s="3371"/>
      <c r="Z36" s="1262" t="str">
        <f t="shared" si="15"/>
        <v>公共部分装修</v>
      </c>
      <c r="AA36" s="1262">
        <f t="shared" si="12"/>
        <v>1</v>
      </c>
      <c r="AB36" s="1262">
        <f t="shared" si="13"/>
        <v>1</v>
      </c>
      <c r="AC36" s="1262">
        <f t="shared" si="14"/>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69"/>
      <c r="Q37" s="530" t="str">
        <f t="shared" si="8"/>
        <v>成新度</v>
      </c>
      <c r="R37" s="663" t="s">
        <v>18</v>
      </c>
      <c r="S37" s="664" t="e">
        <f t="shared" si="9"/>
        <v>#N/A</v>
      </c>
      <c r="T37" s="663" t="s">
        <v>18</v>
      </c>
      <c r="U37" s="664" t="e">
        <f t="shared" si="10"/>
        <v>#N/A</v>
      </c>
      <c r="V37" s="663" t="s">
        <v>18</v>
      </c>
      <c r="W37" s="664" t="e">
        <f t="shared" si="11"/>
        <v>#N/A</v>
      </c>
      <c r="X37" s="665"/>
      <c r="Y37" s="3371"/>
      <c r="Z37" s="50" t="str">
        <f t="shared" si="15"/>
        <v>成新度</v>
      </c>
      <c r="AA37" s="50" t="e">
        <f t="shared" si="12"/>
        <v>#N/A</v>
      </c>
      <c r="AB37" s="50" t="e">
        <f t="shared" si="13"/>
        <v>#N/A</v>
      </c>
      <c r="AC37" s="50" t="e">
        <f t="shared" si="14"/>
        <v>#N/A</v>
      </c>
    </row>
    <row r="38" spans="1:29" ht="15">
      <c r="A38" s="409"/>
      <c r="B38" s="364" t="s">
        <v>1701</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69" t="s">
        <v>1695</v>
      </c>
      <c r="Q38" s="1261" t="str">
        <f t="shared" si="8"/>
        <v>物业管理</v>
      </c>
      <c r="R38" s="666" t="s">
        <v>18</v>
      </c>
      <c r="S38" s="667">
        <f t="shared" si="9"/>
        <v>100</v>
      </c>
      <c r="T38" s="666" t="s">
        <v>18</v>
      </c>
      <c r="U38" s="667">
        <f t="shared" si="10"/>
        <v>100</v>
      </c>
      <c r="V38" s="666" t="s">
        <v>18</v>
      </c>
      <c r="W38" s="667">
        <f t="shared" si="11"/>
        <v>100</v>
      </c>
      <c r="X38" s="1263"/>
      <c r="Y38" s="3371" t="s">
        <v>1695</v>
      </c>
      <c r="Z38" s="1262" t="str">
        <f t="shared" si="15"/>
        <v>物业管理</v>
      </c>
      <c r="AA38" s="1262">
        <f t="shared" si="12"/>
        <v>1</v>
      </c>
      <c r="AB38" s="1262">
        <f t="shared" si="13"/>
        <v>1</v>
      </c>
      <c r="AC38" s="1262">
        <f t="shared" si="14"/>
        <v>1</v>
      </c>
    </row>
    <row r="39" spans="1:29" ht="15">
      <c r="A39" s="409"/>
      <c r="B39" s="364" t="s">
        <v>1702</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69"/>
      <c r="Q39" s="1261" t="str">
        <f t="shared" si="8"/>
        <v>市政基础设施</v>
      </c>
      <c r="R39" s="666" t="s">
        <v>18</v>
      </c>
      <c r="S39" s="667">
        <f t="shared" si="9"/>
        <v>100</v>
      </c>
      <c r="T39" s="666" t="s">
        <v>18</v>
      </c>
      <c r="U39" s="667">
        <f t="shared" si="10"/>
        <v>100</v>
      </c>
      <c r="V39" s="666" t="s">
        <v>18</v>
      </c>
      <c r="W39" s="667">
        <f t="shared" si="11"/>
        <v>100</v>
      </c>
      <c r="X39" s="1263"/>
      <c r="Y39" s="3371"/>
      <c r="Z39" s="1262" t="str">
        <f t="shared" si="15"/>
        <v>市政基础设施</v>
      </c>
      <c r="AA39" s="1262">
        <f t="shared" si="12"/>
        <v>1</v>
      </c>
      <c r="AB39" s="1262">
        <f t="shared" si="13"/>
        <v>1</v>
      </c>
      <c r="AC39" s="1262">
        <f t="shared" si="14"/>
        <v>1</v>
      </c>
    </row>
    <row r="40" spans="1:29" ht="15">
      <c r="A40" s="409"/>
      <c r="B40" s="364" t="s">
        <v>1703</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69"/>
      <c r="Q40" s="1261" t="str">
        <f t="shared" si="8"/>
        <v>房型</v>
      </c>
      <c r="R40" s="666" t="s">
        <v>18</v>
      </c>
      <c r="S40" s="667">
        <f t="shared" si="9"/>
        <v>100</v>
      </c>
      <c r="T40" s="666" t="s">
        <v>18</v>
      </c>
      <c r="U40" s="667">
        <f t="shared" si="10"/>
        <v>100</v>
      </c>
      <c r="V40" s="666" t="s">
        <v>18</v>
      </c>
      <c r="W40" s="667">
        <f t="shared" si="11"/>
        <v>100</v>
      </c>
      <c r="X40" s="1263"/>
      <c r="Y40" s="3371"/>
      <c r="Z40" s="1262" t="str">
        <f t="shared" si="15"/>
        <v>房型</v>
      </c>
      <c r="AA40" s="1262">
        <f t="shared" si="12"/>
        <v>1</v>
      </c>
      <c r="AB40" s="1262">
        <f t="shared" si="13"/>
        <v>1</v>
      </c>
      <c r="AC40" s="1262">
        <f t="shared" si="14"/>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69"/>
      <c r="Q41" s="531" t="str">
        <f t="shared" si="8"/>
        <v>单套/主力户型建筑面积</v>
      </c>
      <c r="R41" s="668" t="s">
        <v>18</v>
      </c>
      <c r="S41" s="669">
        <f t="shared" si="9"/>
        <v>100</v>
      </c>
      <c r="T41" s="668" t="s">
        <v>18</v>
      </c>
      <c r="U41" s="669">
        <f t="shared" si="10"/>
        <v>100</v>
      </c>
      <c r="V41" s="668" t="s">
        <v>18</v>
      </c>
      <c r="W41" s="669">
        <f t="shared" si="11"/>
        <v>100</v>
      </c>
      <c r="X41" s="670"/>
      <c r="Y41" s="3371"/>
      <c r="Z41" s="671" t="str">
        <f t="shared" si="15"/>
        <v>单套/主力户型建筑面积</v>
      </c>
      <c r="AA41" s="1262">
        <f t="shared" si="12"/>
        <v>1</v>
      </c>
      <c r="AB41" s="1262">
        <f t="shared" si="13"/>
        <v>1</v>
      </c>
      <c r="AC41" s="1262">
        <f t="shared" si="14"/>
        <v>1</v>
      </c>
    </row>
    <row r="42" spans="1:29" ht="15">
      <c r="A42" s="409"/>
      <c r="B42" s="364" t="s">
        <v>1705</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369"/>
      <c r="Q42" s="1261" t="str">
        <f t="shared" si="8"/>
        <v>内部装修</v>
      </c>
      <c r="R42" s="666" t="s">
        <v>18</v>
      </c>
      <c r="S42" s="667">
        <f t="shared" si="9"/>
        <v>100</v>
      </c>
      <c r="T42" s="666" t="s">
        <v>18</v>
      </c>
      <c r="U42" s="667">
        <f t="shared" si="10"/>
        <v>100</v>
      </c>
      <c r="V42" s="666" t="s">
        <v>18</v>
      </c>
      <c r="W42" s="667">
        <f t="shared" si="11"/>
        <v>100</v>
      </c>
      <c r="X42" s="1263"/>
      <c r="Y42" s="3371"/>
      <c r="Z42" s="1262" t="str">
        <f t="shared" si="15"/>
        <v>内部装修</v>
      </c>
      <c r="AA42" s="1262">
        <f t="shared" si="12"/>
        <v>1</v>
      </c>
      <c r="AB42" s="1262">
        <f t="shared" si="13"/>
        <v>1</v>
      </c>
      <c r="AC42" s="1262">
        <f t="shared" si="14"/>
        <v>1</v>
      </c>
    </row>
    <row r="43" spans="1:29" ht="15">
      <c r="A43" s="409"/>
      <c r="B43" s="364" t="s">
        <v>1706</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369"/>
      <c r="Q43" s="1261" t="str">
        <f t="shared" si="8"/>
        <v>内部装修维护情况</v>
      </c>
      <c r="R43" s="666" t="s">
        <v>18</v>
      </c>
      <c r="S43" s="667">
        <f t="shared" si="9"/>
        <v>100</v>
      </c>
      <c r="T43" s="666" t="s">
        <v>18</v>
      </c>
      <c r="U43" s="667">
        <f t="shared" si="10"/>
        <v>100</v>
      </c>
      <c r="V43" s="666" t="s">
        <v>18</v>
      </c>
      <c r="W43" s="667">
        <f t="shared" si="11"/>
        <v>100</v>
      </c>
      <c r="X43" s="1263"/>
      <c r="Y43" s="3371"/>
      <c r="Z43" s="1262" t="str">
        <f t="shared" si="15"/>
        <v>内部装修维护情况</v>
      </c>
      <c r="AA43" s="1262">
        <f t="shared" si="12"/>
        <v>1</v>
      </c>
      <c r="AB43" s="1262">
        <f t="shared" si="13"/>
        <v>1</v>
      </c>
      <c r="AC43" s="1262">
        <f t="shared" si="14"/>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69"/>
      <c r="Q44" s="530">
        <f t="shared" si="8"/>
        <v>111</v>
      </c>
      <c r="R44" s="663" t="s">
        <v>18</v>
      </c>
      <c r="S44" s="664">
        <f t="shared" si="9"/>
        <v>100</v>
      </c>
      <c r="T44" s="663" t="s">
        <v>18</v>
      </c>
      <c r="U44" s="664">
        <f t="shared" si="10"/>
        <v>100</v>
      </c>
      <c r="V44" s="663" t="s">
        <v>18</v>
      </c>
      <c r="W44" s="664">
        <f t="shared" si="11"/>
        <v>100</v>
      </c>
      <c r="X44" s="665"/>
      <c r="Y44" s="3371"/>
      <c r="Z44" s="50">
        <f t="shared" si="15"/>
        <v>111</v>
      </c>
      <c r="AA44" s="50">
        <f t="shared" si="12"/>
        <v>1</v>
      </c>
      <c r="AB44" s="50">
        <f t="shared" si="13"/>
        <v>1</v>
      </c>
      <c r="AC44" s="50">
        <f t="shared" si="14"/>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69"/>
      <c r="Q45" s="1261">
        <f t="shared" si="8"/>
        <v>111</v>
      </c>
      <c r="R45" s="666" t="s">
        <v>18</v>
      </c>
      <c r="S45" s="667">
        <f t="shared" si="9"/>
        <v>100</v>
      </c>
      <c r="T45" s="666" t="s">
        <v>18</v>
      </c>
      <c r="U45" s="667">
        <f t="shared" si="10"/>
        <v>100</v>
      </c>
      <c r="V45" s="666" t="s">
        <v>18</v>
      </c>
      <c r="W45" s="667">
        <f t="shared" si="11"/>
        <v>100</v>
      </c>
      <c r="X45" s="1263"/>
      <c r="Y45" s="3371"/>
      <c r="Z45" s="1262">
        <f t="shared" si="15"/>
        <v>111</v>
      </c>
      <c r="AA45" s="1262">
        <f t="shared" si="12"/>
        <v>1</v>
      </c>
      <c r="AB45" s="1262">
        <f t="shared" si="13"/>
        <v>1</v>
      </c>
      <c r="AC45" s="1262">
        <f t="shared" si="14"/>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70"/>
      <c r="Q46" s="1261">
        <f t="shared" si="8"/>
        <v>111</v>
      </c>
      <c r="R46" s="666" t="s">
        <v>17</v>
      </c>
      <c r="S46" s="667">
        <f t="shared" si="9"/>
        <v>100</v>
      </c>
      <c r="T46" s="666" t="s">
        <v>17</v>
      </c>
      <c r="U46" s="667">
        <f t="shared" si="10"/>
        <v>100</v>
      </c>
      <c r="V46" s="666" t="s">
        <v>17</v>
      </c>
      <c r="W46" s="667">
        <f t="shared" si="11"/>
        <v>100</v>
      </c>
      <c r="X46" s="1263"/>
      <c r="Y46" s="3372"/>
      <c r="Z46" s="1262">
        <f t="shared" si="15"/>
        <v>111</v>
      </c>
      <c r="AA46" s="1262">
        <f t="shared" si="12"/>
        <v>1</v>
      </c>
      <c r="AB46" s="1262">
        <f t="shared" si="13"/>
        <v>1</v>
      </c>
      <c r="AC46" s="1262">
        <f t="shared" si="14"/>
        <v>1</v>
      </c>
    </row>
    <row r="47" spans="1:29" ht="15">
      <c r="A47" s="416" t="s">
        <v>1707</v>
      </c>
      <c r="B47" s="417"/>
      <c r="C47" s="1080" t="s">
        <v>16</v>
      </c>
      <c r="D47" s="418"/>
      <c r="E47" s="419"/>
      <c r="F47" s="420"/>
      <c r="G47" s="421"/>
      <c r="H47" s="422"/>
      <c r="I47" s="419"/>
      <c r="J47" s="422"/>
      <c r="K47" s="1765"/>
      <c r="L47" s="2493"/>
      <c r="M47" s="2486"/>
      <c r="N47" s="2486"/>
      <c r="O47" s="2486"/>
      <c r="P47" s="3359" t="str">
        <f>A47</f>
        <v>成交单价（元/平方米）</v>
      </c>
      <c r="Q47" s="3359"/>
      <c r="R47" s="3360">
        <f>E47</f>
        <v>0</v>
      </c>
      <c r="S47" s="3360"/>
      <c r="T47" s="3360">
        <f>G47</f>
        <v>0</v>
      </c>
      <c r="U47" s="3360"/>
      <c r="V47" s="3360">
        <f>I47</f>
        <v>0</v>
      </c>
      <c r="W47" s="3360"/>
      <c r="X47" s="385"/>
      <c r="Y47" s="672"/>
      <c r="Z47" s="385"/>
      <c r="AA47" s="385"/>
      <c r="AB47" s="385"/>
      <c r="AC47" s="385"/>
    </row>
    <row r="48" spans="1:29" ht="15.75" thickBot="1">
      <c r="A48" s="423" t="s">
        <v>1708</v>
      </c>
      <c r="B48" s="424"/>
      <c r="C48" s="1081" t="e">
        <f>R49</f>
        <v>#DIV/0!</v>
      </c>
      <c r="D48" s="2139" t="s">
        <v>2133</v>
      </c>
      <c r="E48" s="1082" t="e">
        <f>R48</f>
        <v>#DIV/0!</v>
      </c>
      <c r="F48" s="2140"/>
      <c r="G48" s="1081" t="e">
        <f>T48</f>
        <v>#DIV/0!</v>
      </c>
      <c r="H48" s="2140"/>
      <c r="I48" s="1082" t="e">
        <f>V48</f>
        <v>#DIV/0!</v>
      </c>
      <c r="J48" s="2140"/>
      <c r="K48" s="2141">
        <f>F48+H48+J48</f>
        <v>0</v>
      </c>
      <c r="L48" s="2493"/>
      <c r="M48" s="2486"/>
      <c r="N48" s="2486"/>
      <c r="O48" s="2486"/>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1709</v>
      </c>
      <c r="B49" s="428"/>
      <c r="C49" s="1083" t="e">
        <f>R49</f>
        <v>#DIV/0!</v>
      </c>
      <c r="D49" s="351"/>
      <c r="E49" s="351"/>
      <c r="F49" s="351"/>
      <c r="G49" s="351"/>
      <c r="H49" s="351"/>
      <c r="I49" s="351"/>
      <c r="J49" s="351"/>
      <c r="K49" s="1766"/>
      <c r="L49" s="2493"/>
      <c r="M49" s="2486"/>
      <c r="N49" s="2486"/>
      <c r="O49" s="2486"/>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1713</v>
      </c>
      <c r="B57" s="385"/>
      <c r="C57" s="658"/>
      <c r="D57" s="658"/>
      <c r="E57" s="658"/>
      <c r="F57" s="659"/>
      <c r="G57" s="659"/>
      <c r="H57" s="658"/>
      <c r="I57" s="658"/>
      <c r="J57" s="658"/>
      <c r="K57" s="886"/>
      <c r="L57" s="887"/>
      <c r="M57" s="885"/>
      <c r="N57" s="885"/>
      <c r="O57" s="885"/>
      <c r="P57" s="1769"/>
      <c r="Q57" s="439"/>
    </row>
    <row r="58" spans="1:29" s="442" customFormat="1" ht="15">
      <c r="A58" s="440" t="s">
        <v>1714</v>
      </c>
      <c r="B58" s="441"/>
      <c r="C58" s="1104" t="str">
        <f>YEAR(C7)&amp;"-"&amp;MONTH(C7)</f>
        <v>2023-5</v>
      </c>
      <c r="D58" s="1103">
        <f>EDATE(C58,-1)</f>
        <v>45017</v>
      </c>
      <c r="E58" s="1103">
        <f>EDATE(D58,-1)</f>
        <v>44986</v>
      </c>
      <c r="F58" s="1103">
        <f t="shared" ref="F58:O58" si="16">EDATE(E58,-1)</f>
        <v>44958</v>
      </c>
      <c r="G58" s="1103">
        <f t="shared" si="16"/>
        <v>44927</v>
      </c>
      <c r="H58" s="1103">
        <f t="shared" si="16"/>
        <v>44896</v>
      </c>
      <c r="I58" s="1103">
        <f t="shared" si="16"/>
        <v>44866</v>
      </c>
      <c r="J58" s="1103">
        <f t="shared" si="16"/>
        <v>44835</v>
      </c>
      <c r="K58" s="1103">
        <f t="shared" si="16"/>
        <v>44805</v>
      </c>
      <c r="L58" s="1103">
        <f t="shared" si="16"/>
        <v>44774</v>
      </c>
      <c r="M58" s="1103">
        <f t="shared" si="16"/>
        <v>44743</v>
      </c>
      <c r="N58" s="1103">
        <f t="shared" si="16"/>
        <v>44713</v>
      </c>
      <c r="O58" s="1103">
        <f t="shared" si="16"/>
        <v>44682</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1715</v>
      </c>
      <c r="B60" s="450"/>
      <c r="C60" s="451"/>
      <c r="D60" s="452"/>
      <c r="E60" s="452"/>
      <c r="F60" s="452"/>
      <c r="G60" s="452"/>
      <c r="H60" s="452"/>
      <c r="I60" s="452"/>
      <c r="J60" s="452"/>
      <c r="K60" s="452"/>
      <c r="L60" s="452"/>
      <c r="M60" s="453"/>
      <c r="N60" s="452"/>
      <c r="O60" s="453"/>
      <c r="P60" s="1771"/>
      <c r="Q60" s="439"/>
    </row>
    <row r="61" spans="1:29" s="102" customFormat="1" ht="15">
      <c r="A61" s="455" t="s">
        <v>1716</v>
      </c>
      <c r="B61" s="444"/>
      <c r="C61" s="456" t="s">
        <v>1717</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1718</v>
      </c>
      <c r="B63" s="460" t="s">
        <v>1684</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1687</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K68&amp;"（含）"&amp;"-"&amp;L68</f>
        <v>（含）-</v>
      </c>
      <c r="L67" s="478" t="str">
        <f t="shared" si="17"/>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3"/>
      <c r="Q82" s="439"/>
    </row>
    <row r="83" spans="1:17" ht="15.75" thickBot="1">
      <c r="A83" s="367"/>
      <c r="B83" s="477"/>
      <c r="C83" s="580">
        <v>100</v>
      </c>
      <c r="D83" s="580">
        <f>C83-$K21</f>
        <v>100</v>
      </c>
      <c r="E83" s="580">
        <f>D83-$K21</f>
        <v>100</v>
      </c>
      <c r="F83" s="580">
        <f>E83-$K21</f>
        <v>100</v>
      </c>
      <c r="G83" s="580">
        <f>F83-$K21</f>
        <v>100</v>
      </c>
      <c r="H83" s="580"/>
      <c r="I83" s="580"/>
      <c r="J83" s="580"/>
      <c r="K83" s="580"/>
      <c r="L83" s="580"/>
      <c r="M83" s="389"/>
      <c r="N83" s="879"/>
      <c r="O83" s="879"/>
      <c r="P83" s="1773"/>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1733</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19">$C$87-($C$86-D86)*$K$25</f>
        <v>100</v>
      </c>
      <c r="E87" s="475">
        <f t="shared" si="19"/>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879"/>
      <c r="O87" s="879"/>
      <c r="P87" s="1773"/>
      <c r="Q87" s="439"/>
    </row>
    <row r="88" spans="1:17" s="102" customFormat="1" ht="15.75" thickTop="1">
      <c r="A88" s="370"/>
      <c r="B88" s="469" t="s">
        <v>1734</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0">C89-$K26</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1693</v>
      </c>
      <c r="B100" s="460" t="s">
        <v>1735</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1">C101-$K32</f>
        <v>100</v>
      </c>
      <c r="E101" s="475">
        <f t="shared" si="21"/>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79"/>
      <c r="O101" s="879"/>
      <c r="P101" s="1773"/>
      <c r="Q101" s="439"/>
    </row>
    <row r="102" spans="1:17" ht="15.75" thickTop="1">
      <c r="A102" s="367"/>
      <c r="B102" s="469" t="s">
        <v>1736</v>
      </c>
      <c r="C102" s="509" t="str">
        <f>C103&amp;"(含)"&amp;"-"&amp;D103</f>
        <v>(含)-</v>
      </c>
      <c r="D102" s="509" t="str">
        <f t="shared" ref="D102:L102" si="22">D103&amp;"(含)"&amp;"-"&amp;E103</f>
        <v>(含)-</v>
      </c>
      <c r="E102" s="509" t="str">
        <f t="shared" si="22"/>
        <v>(含)-</v>
      </c>
      <c r="F102" s="509" t="str">
        <f t="shared" si="22"/>
        <v>(含)-</v>
      </c>
      <c r="G102" s="509" t="str">
        <f t="shared" si="22"/>
        <v>(含)-</v>
      </c>
      <c r="H102" s="509" t="str">
        <f t="shared" si="22"/>
        <v>(含)-</v>
      </c>
      <c r="I102" s="509" t="str">
        <f t="shared" si="22"/>
        <v>(含)-</v>
      </c>
      <c r="J102" s="509" t="str">
        <f t="shared" si="22"/>
        <v>(含)-</v>
      </c>
      <c r="K102" s="509" t="str">
        <f>K103&amp;"(含)"&amp;"-"&amp;L103</f>
        <v>(含)-</v>
      </c>
      <c r="L102" s="509" t="str">
        <f t="shared" si="22"/>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1737</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3">C106-$K34</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879"/>
      <c r="O106" s="879"/>
      <c r="P106" s="1773"/>
      <c r="Q106" s="439"/>
    </row>
    <row r="107" spans="1:17" ht="15" thickTop="1">
      <c r="A107" s="409"/>
      <c r="B107" s="469" t="s">
        <v>1738</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4">C108-$K35</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879"/>
      <c r="O108" s="879"/>
      <c r="P108" s="1773"/>
      <c r="Q108" s="439"/>
    </row>
    <row r="109" spans="1:17" ht="15" thickTop="1">
      <c r="A109" s="409"/>
      <c r="B109" s="469" t="s">
        <v>1739</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5">C110-$K36</f>
        <v>100</v>
      </c>
      <c r="E110" s="475">
        <f t="shared" si="25"/>
        <v>100</v>
      </c>
      <c r="F110" s="475">
        <f t="shared" si="25"/>
        <v>100</v>
      </c>
      <c r="G110" s="475">
        <f t="shared" si="25"/>
        <v>100</v>
      </c>
      <c r="H110" s="475">
        <f t="shared" si="25"/>
        <v>100</v>
      </c>
      <c r="I110" s="475">
        <f t="shared" si="25"/>
        <v>100</v>
      </c>
      <c r="J110" s="475">
        <f t="shared" si="25"/>
        <v>100</v>
      </c>
      <c r="K110" s="475">
        <f t="shared" si="25"/>
        <v>100</v>
      </c>
      <c r="L110" s="475">
        <f t="shared" si="25"/>
        <v>100</v>
      </c>
      <c r="M110" s="475">
        <f t="shared" si="25"/>
        <v>100</v>
      </c>
      <c r="N110" s="879"/>
      <c r="O110" s="879"/>
      <c r="P110" s="1773"/>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1740</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26">C115-$K38</f>
        <v>100</v>
      </c>
      <c r="E115" s="475">
        <f t="shared" si="26"/>
        <v>100</v>
      </c>
      <c r="F115" s="475">
        <f t="shared" si="26"/>
        <v>100</v>
      </c>
      <c r="G115" s="475">
        <f t="shared" si="26"/>
        <v>100</v>
      </c>
      <c r="H115" s="475">
        <f t="shared" si="26"/>
        <v>100</v>
      </c>
      <c r="I115" s="475">
        <f t="shared" si="26"/>
        <v>100</v>
      </c>
      <c r="J115" s="475">
        <f t="shared" si="26"/>
        <v>100</v>
      </c>
      <c r="K115" s="475">
        <f t="shared" si="26"/>
        <v>100</v>
      </c>
      <c r="L115" s="475">
        <f t="shared" si="26"/>
        <v>100</v>
      </c>
      <c r="M115" s="475">
        <f t="shared" si="26"/>
        <v>100</v>
      </c>
      <c r="N115" s="879"/>
      <c r="O115" s="879"/>
      <c r="P115" s="1773"/>
      <c r="Q115" s="439"/>
    </row>
    <row r="116" spans="1:17" ht="15" thickTop="1">
      <c r="A116" s="409"/>
      <c r="B116" s="469" t="s">
        <v>1741</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1742</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27">C119-$K40</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5">
        <f t="shared" si="27"/>
        <v>100</v>
      </c>
      <c r="N119" s="879"/>
      <c r="O119" s="879"/>
      <c r="P119" s="1773"/>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1743</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28">C123-$K42</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5">
        <f t="shared" si="28"/>
        <v>100</v>
      </c>
      <c r="N123" s="879"/>
      <c r="O123" s="879"/>
      <c r="P123" s="1773"/>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1745</v>
      </c>
    </row>
    <row r="137" spans="1:17" ht="15">
      <c r="B137" s="1780" t="s">
        <v>1746</v>
      </c>
      <c r="C137" s="1781"/>
      <c r="D137" s="1781"/>
      <c r="E137" s="1781"/>
      <c r="F137" s="1781"/>
      <c r="G137" s="1782"/>
      <c r="H137" s="1783"/>
      <c r="I137" s="1784" t="s">
        <v>1747</v>
      </c>
      <c r="J137" s="1781"/>
      <c r="K137" s="1785"/>
    </row>
    <row r="138" spans="1:17" ht="15">
      <c r="B138" s="1786"/>
      <c r="C138" s="129" t="s">
        <v>1748</v>
      </c>
      <c r="D138" s="129" t="s">
        <v>1749</v>
      </c>
      <c r="E138" s="1787" t="s">
        <v>1750</v>
      </c>
      <c r="F138" s="1788" t="s">
        <v>1751</v>
      </c>
      <c r="G138" s="129" t="s">
        <v>1749</v>
      </c>
      <c r="H138" s="130" t="s">
        <v>1750</v>
      </c>
      <c r="I138" s="1789"/>
      <c r="J138" s="129" t="s">
        <v>1752</v>
      </c>
      <c r="K138" s="130" t="s">
        <v>1753</v>
      </c>
    </row>
    <row r="139" spans="1:17" ht="15">
      <c r="B139" s="813">
        <v>6</v>
      </c>
      <c r="C139" s="814">
        <v>96</v>
      </c>
      <c r="D139" s="1790" t="s">
        <v>1754</v>
      </c>
      <c r="E139" s="815">
        <v>100</v>
      </c>
      <c r="F139" s="816">
        <v>102.5</v>
      </c>
      <c r="G139" s="1790" t="s">
        <v>1754</v>
      </c>
      <c r="H139" s="817">
        <v>105</v>
      </c>
      <c r="I139" s="1791" t="s">
        <v>1755</v>
      </c>
      <c r="J139" s="814">
        <v>20</v>
      </c>
      <c r="K139" s="818">
        <f>C145/(J139-2)</f>
        <v>4.0555555555555553E-3</v>
      </c>
    </row>
    <row r="140" spans="1:17" ht="15">
      <c r="B140" s="819">
        <v>5</v>
      </c>
      <c r="C140" s="820">
        <v>100</v>
      </c>
      <c r="D140" s="820"/>
      <c r="E140" s="821"/>
      <c r="F140" s="822">
        <v>102</v>
      </c>
      <c r="G140" s="820"/>
      <c r="H140" s="823"/>
      <c r="I140" s="1792" t="s">
        <v>1756</v>
      </c>
      <c r="J140" s="263">
        <f>ROUNDUP((J139-1)/2,0)</f>
        <v>10</v>
      </c>
      <c r="K140" s="824">
        <v>100</v>
      </c>
    </row>
    <row r="141" spans="1:17" ht="15">
      <c r="B141" s="819">
        <v>4</v>
      </c>
      <c r="C141" s="820">
        <v>102</v>
      </c>
      <c r="D141" s="820"/>
      <c r="E141" s="821"/>
      <c r="F141" s="822">
        <v>101.5</v>
      </c>
      <c r="G141" s="820"/>
      <c r="H141" s="823"/>
      <c r="I141" s="1792" t="s">
        <v>1757</v>
      </c>
      <c r="J141" s="263">
        <v>1</v>
      </c>
      <c r="K141" s="825">
        <f>ROUND(100+(J141-J140)*K139*100,1)</f>
        <v>96.4</v>
      </c>
    </row>
    <row r="142" spans="1:17" ht="15">
      <c r="B142" s="819">
        <v>3</v>
      </c>
      <c r="C142" s="820">
        <v>103</v>
      </c>
      <c r="D142" s="820"/>
      <c r="E142" s="821"/>
      <c r="F142" s="822">
        <v>101</v>
      </c>
      <c r="G142" s="820"/>
      <c r="H142" s="823"/>
      <c r="I142" s="1792" t="s">
        <v>1758</v>
      </c>
      <c r="J142" s="263">
        <f>J139</f>
        <v>20</v>
      </c>
      <c r="K142" s="826">
        <v>95</v>
      </c>
    </row>
    <row r="143" spans="1:17" ht="15">
      <c r="B143" s="819">
        <v>2</v>
      </c>
      <c r="C143" s="820">
        <v>100</v>
      </c>
      <c r="D143" s="820"/>
      <c r="E143" s="821"/>
      <c r="F143" s="822">
        <v>100.5</v>
      </c>
      <c r="G143" s="820"/>
      <c r="H143" s="823"/>
      <c r="I143" s="1792" t="s">
        <v>1759</v>
      </c>
      <c r="J143" s="820">
        <v>15</v>
      </c>
      <c r="K143" s="825">
        <f>ROUND(100+(J143-J140)*K139*100,1)</f>
        <v>102</v>
      </c>
    </row>
    <row r="144" spans="1:17" ht="15">
      <c r="B144" s="819">
        <v>1</v>
      </c>
      <c r="C144" s="820">
        <v>98</v>
      </c>
      <c r="D144" s="1793" t="s">
        <v>1760</v>
      </c>
      <c r="E144" s="821">
        <v>102</v>
      </c>
      <c r="F144" s="827">
        <v>100</v>
      </c>
      <c r="G144" s="1793" t="s">
        <v>1760</v>
      </c>
      <c r="H144" s="823">
        <v>105</v>
      </c>
      <c r="I144" s="1792" t="s">
        <v>1759</v>
      </c>
      <c r="J144" s="820">
        <v>18</v>
      </c>
      <c r="K144" s="825">
        <f>ROUND(100+(J144-J140)*K139*100,1)</f>
        <v>103.2</v>
      </c>
    </row>
    <row r="145" spans="2:11" ht="15.75" thickBot="1">
      <c r="B145" s="1794" t="s">
        <v>1761</v>
      </c>
      <c r="C145" s="828">
        <f>ROUND(MAX(C139:C144)/MIN(C139:C144)-1,3)</f>
        <v>7.2999999999999995E-2</v>
      </c>
      <c r="D145" s="829"/>
      <c r="E145" s="829"/>
      <c r="F145" s="1795" t="s">
        <v>1762</v>
      </c>
      <c r="G145" s="1796"/>
      <c r="H145" s="1797"/>
      <c r="I145" s="1798" t="s">
        <v>1759</v>
      </c>
      <c r="J145" s="830">
        <v>8</v>
      </c>
      <c r="K145" s="831">
        <f>ROUND(100+(J145-J140)*K139*100,1)</f>
        <v>99.2</v>
      </c>
    </row>
    <row r="147" spans="2:11">
      <c r="B147" s="1779" t="s">
        <v>1763</v>
      </c>
    </row>
    <row r="148" spans="2:11">
      <c r="B148" s="177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6" t="s">
        <v>1825</v>
      </c>
      <c r="C1" s="1140" t="s">
        <v>1661</v>
      </c>
      <c r="D1" s="1141"/>
      <c r="E1" s="3130"/>
      <c r="F1" s="1733"/>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391.32000000000005</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76" t="s">
        <v>1769</v>
      </c>
      <c r="D4" s="3377"/>
      <c r="E4" s="3378" t="s">
        <v>1770</v>
      </c>
      <c r="F4" s="3379"/>
      <c r="G4" s="3376" t="s">
        <v>1771</v>
      </c>
      <c r="H4" s="3377"/>
      <c r="I4" s="3376" t="s">
        <v>1772</v>
      </c>
      <c r="J4" s="3377"/>
      <c r="K4" s="537" t="s">
        <v>1773</v>
      </c>
      <c r="L4" s="859"/>
      <c r="M4" s="860"/>
      <c r="N4" s="860"/>
      <c r="O4" s="860"/>
      <c r="P4" s="3418" t="s">
        <v>1774</v>
      </c>
      <c r="Q4" s="3419"/>
      <c r="R4" s="3422" t="s">
        <v>1770</v>
      </c>
      <c r="S4" s="3423"/>
      <c r="T4" s="3422" t="s">
        <v>1771</v>
      </c>
      <c r="U4" s="3423"/>
      <c r="V4" s="3360" t="s">
        <v>1772</v>
      </c>
      <c r="W4" s="3360"/>
      <c r="X4" s="1263"/>
      <c r="Y4" s="3422" t="s">
        <v>1774</v>
      </c>
      <c r="Z4" s="3423"/>
      <c r="AA4" s="3417" t="s">
        <v>1770</v>
      </c>
      <c r="AB4" s="3406" t="s">
        <v>1771</v>
      </c>
      <c r="AC4" s="3417" t="s">
        <v>1772</v>
      </c>
    </row>
    <row r="5" spans="1:29" ht="15">
      <c r="A5" s="348"/>
      <c r="B5" s="349"/>
      <c r="C5" s="3401" t="s">
        <v>1672</v>
      </c>
      <c r="D5" s="3402"/>
      <c r="E5" s="3446" t="s">
        <v>1673</v>
      </c>
      <c r="F5" s="3396"/>
      <c r="G5" s="3401" t="s">
        <v>1674</v>
      </c>
      <c r="H5" s="3402"/>
      <c r="I5" s="3401" t="s">
        <v>1675</v>
      </c>
      <c r="J5" s="3402"/>
      <c r="K5" s="537"/>
      <c r="L5" s="859"/>
      <c r="M5" s="860"/>
      <c r="N5" s="860"/>
      <c r="O5" s="860"/>
      <c r="P5" s="3420"/>
      <c r="Q5" s="3383"/>
      <c r="R5" s="3388"/>
      <c r="S5" s="3389"/>
      <c r="T5" s="3388"/>
      <c r="U5" s="3389"/>
      <c r="V5" s="3360"/>
      <c r="W5" s="3360"/>
      <c r="X5" s="1263"/>
      <c r="Y5" s="3388"/>
      <c r="Z5" s="3389"/>
      <c r="AA5" s="3406"/>
      <c r="AB5" s="3406"/>
      <c r="AC5" s="3406"/>
    </row>
    <row r="6" spans="1:29" ht="15.75" thickBot="1">
      <c r="A6" s="350"/>
      <c r="B6" s="351"/>
      <c r="C6" s="3393" t="s">
        <v>1676</v>
      </c>
      <c r="D6" s="3394"/>
      <c r="E6" s="3403" t="s">
        <v>1676</v>
      </c>
      <c r="F6" s="3404"/>
      <c r="G6" s="3393" t="s">
        <v>1676</v>
      </c>
      <c r="H6" s="3394"/>
      <c r="I6" s="3393" t="s">
        <v>1676</v>
      </c>
      <c r="J6" s="3394"/>
      <c r="K6" s="537" t="s">
        <v>1677</v>
      </c>
      <c r="L6" s="859"/>
      <c r="M6" s="860"/>
      <c r="N6" s="860"/>
      <c r="O6" s="860"/>
      <c r="P6" s="3421"/>
      <c r="Q6" s="3385"/>
      <c r="R6" s="3388"/>
      <c r="S6" s="3389"/>
      <c r="T6" s="3390"/>
      <c r="U6" s="3391"/>
      <c r="V6" s="3360"/>
      <c r="W6" s="3360"/>
      <c r="X6" s="1263"/>
      <c r="Y6" s="3390"/>
      <c r="Z6" s="3391"/>
      <c r="AA6" s="3407"/>
      <c r="AB6" s="3407"/>
      <c r="AC6" s="3407"/>
    </row>
    <row r="7" spans="1:29" s="102" customFormat="1" ht="15.75" thickBot="1">
      <c r="A7" s="352" t="s">
        <v>1678</v>
      </c>
      <c r="B7" s="353"/>
      <c r="C7" s="354">
        <f>'数据-取费表'!B2</f>
        <v>45065</v>
      </c>
      <c r="D7" s="355">
        <v>100</v>
      </c>
      <c r="E7" s="356"/>
      <c r="F7" s="357">
        <f>SUMIF(52:52,YEAR(E7)&amp;"-"&amp;MONTH(E7),53:53)</f>
        <v>0</v>
      </c>
      <c r="G7" s="356"/>
      <c r="H7" s="355">
        <f>SUMIF(52:52,YEAR(G7)&amp;"-"&amp;MONTH(G7),53:53)</f>
        <v>0</v>
      </c>
      <c r="I7" s="356"/>
      <c r="J7" s="355">
        <f>SUMIF(52:52,YEAR(I7)&amp;"-"&amp;MONTH(I7),53:53)</f>
        <v>0</v>
      </c>
      <c r="K7" s="38"/>
      <c r="L7" s="861"/>
      <c r="M7" s="862"/>
      <c r="N7" s="862"/>
      <c r="O7" s="862"/>
      <c r="P7" s="3399" t="s">
        <v>1679</v>
      </c>
      <c r="Q7" s="3400"/>
      <c r="R7" s="663" t="s">
        <v>14</v>
      </c>
      <c r="S7" s="664">
        <f t="shared" ref="S7:S15" si="0">F7</f>
        <v>0</v>
      </c>
      <c r="T7" s="663" t="s">
        <v>14</v>
      </c>
      <c r="U7" s="664">
        <f t="shared" ref="U7:U15" si="1">H7</f>
        <v>0</v>
      </c>
      <c r="V7" s="663" t="s">
        <v>14</v>
      </c>
      <c r="W7" s="664">
        <f t="shared" ref="W7:W15" si="2">J7</f>
        <v>0</v>
      </c>
      <c r="X7" s="665"/>
      <c r="Y7" s="3399" t="s">
        <v>1679</v>
      </c>
      <c r="Z7" s="3398"/>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9" t="s">
        <v>1682</v>
      </c>
      <c r="Q8" s="3398"/>
      <c r="R8" s="663" t="s">
        <v>14</v>
      </c>
      <c r="S8" s="664">
        <f t="shared" si="0"/>
        <v>100</v>
      </c>
      <c r="T8" s="663" t="s">
        <v>14</v>
      </c>
      <c r="U8" s="664">
        <f t="shared" si="1"/>
        <v>100</v>
      </c>
      <c r="V8" s="663" t="s">
        <v>14</v>
      </c>
      <c r="W8" s="664">
        <f t="shared" si="2"/>
        <v>100</v>
      </c>
      <c r="X8" s="665"/>
      <c r="Y8" s="3399" t="s">
        <v>1682</v>
      </c>
      <c r="Z8" s="3398"/>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59" t="s">
        <v>1685</v>
      </c>
      <c r="Q9" s="530" t="str">
        <f t="shared" ref="Q9:Q15" si="6">B9</f>
        <v>用途</v>
      </c>
      <c r="R9" s="663" t="s">
        <v>14</v>
      </c>
      <c r="S9" s="664">
        <f t="shared" si="0"/>
        <v>100</v>
      </c>
      <c r="T9" s="663" t="s">
        <v>14</v>
      </c>
      <c r="U9" s="664">
        <f t="shared" si="1"/>
        <v>100</v>
      </c>
      <c r="V9" s="663" t="s">
        <v>14</v>
      </c>
      <c r="W9" s="664">
        <f t="shared" si="2"/>
        <v>100</v>
      </c>
      <c r="X9" s="665"/>
      <c r="Y9" s="3257" t="s">
        <v>1686</v>
      </c>
      <c r="Z9" s="50" t="str">
        <f t="shared" ref="Z9:Z15" si="7">Q9</f>
        <v>用途</v>
      </c>
      <c r="AA9" s="50">
        <f t="shared" si="3"/>
        <v>1</v>
      </c>
      <c r="AB9" s="50">
        <f t="shared" si="4"/>
        <v>1</v>
      </c>
      <c r="AC9" s="50">
        <f t="shared" si="5"/>
        <v>1</v>
      </c>
    </row>
    <row r="10" spans="1:29" s="366" customFormat="1" ht="27">
      <c r="A10" s="363"/>
      <c r="B10" s="364" t="s">
        <v>1687</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59"/>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59"/>
      <c r="Q11" s="530" t="str">
        <f t="shared" si="6"/>
        <v>容积率</v>
      </c>
      <c r="R11" s="663" t="s">
        <v>14</v>
      </c>
      <c r="S11" s="664">
        <f t="shared" si="0"/>
        <v>100</v>
      </c>
      <c r="T11" s="663" t="s">
        <v>14</v>
      </c>
      <c r="U11" s="664">
        <f t="shared" si="1"/>
        <v>100</v>
      </c>
      <c r="V11" s="663" t="s">
        <v>14</v>
      </c>
      <c r="W11" s="664">
        <f t="shared" si="2"/>
        <v>100</v>
      </c>
      <c r="X11" s="665"/>
      <c r="Y11" s="32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359"/>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359"/>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359"/>
      <c r="Q14" s="530">
        <f t="shared" si="6"/>
        <v>111</v>
      </c>
      <c r="R14" s="663" t="s">
        <v>14</v>
      </c>
      <c r="S14" s="664">
        <f t="shared" si="0"/>
        <v>100</v>
      </c>
      <c r="T14" s="663" t="s">
        <v>14</v>
      </c>
      <c r="U14" s="664">
        <f t="shared" si="1"/>
        <v>100</v>
      </c>
      <c r="V14" s="663" t="s">
        <v>14</v>
      </c>
      <c r="W14" s="664">
        <f t="shared" si="2"/>
        <v>100</v>
      </c>
      <c r="X14" s="665"/>
      <c r="Y14" s="3257"/>
      <c r="Z14" s="50">
        <f t="shared" si="7"/>
        <v>111</v>
      </c>
      <c r="AA14" s="50">
        <f t="shared" si="3"/>
        <v>1</v>
      </c>
      <c r="AB14" s="50">
        <f t="shared" si="4"/>
        <v>1</v>
      </c>
      <c r="AC14" s="50">
        <f t="shared" si="5"/>
        <v>1</v>
      </c>
    </row>
    <row r="15" spans="1:29" ht="57">
      <c r="A15" s="379" t="s">
        <v>1689</v>
      </c>
      <c r="B15" s="58" t="s">
        <v>1826</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66" t="s">
        <v>1690</v>
      </c>
      <c r="Q15" s="1261" t="str">
        <f t="shared" si="6"/>
        <v>产业集聚程度</v>
      </c>
      <c r="R15" s="666" t="s">
        <v>14</v>
      </c>
      <c r="S15" s="667">
        <f t="shared" si="0"/>
        <v>100</v>
      </c>
      <c r="T15" s="666" t="s">
        <v>14</v>
      </c>
      <c r="U15" s="667">
        <f t="shared" si="1"/>
        <v>100</v>
      </c>
      <c r="V15" s="666" t="s">
        <v>14</v>
      </c>
      <c r="W15" s="667">
        <f t="shared" si="2"/>
        <v>100</v>
      </c>
      <c r="X15" s="1263"/>
      <c r="Y15" s="3366" t="s">
        <v>1690</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9"/>
      <c r="M16" s="860"/>
      <c r="N16" s="860"/>
      <c r="O16" s="868"/>
      <c r="P16" s="3367"/>
      <c r="Q16" s="1261"/>
      <c r="R16" s="666"/>
      <c r="S16" s="667"/>
      <c r="T16" s="666"/>
      <c r="U16" s="667"/>
      <c r="V16" s="666"/>
      <c r="W16" s="667"/>
      <c r="X16" s="1263"/>
      <c r="Y16" s="3367"/>
      <c r="Z16" s="1262"/>
      <c r="AA16" s="1262">
        <v>1</v>
      </c>
      <c r="AB16" s="1262">
        <v>1</v>
      </c>
      <c r="AC16" s="1262">
        <v>1</v>
      </c>
    </row>
    <row r="17" spans="1:29" ht="85.5">
      <c r="A17" s="367"/>
      <c r="B17" s="390" t="s">
        <v>1258</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67"/>
      <c r="Q17" s="1261" t="str">
        <f>B17</f>
        <v>交通便捷度</v>
      </c>
      <c r="R17" s="666" t="s">
        <v>14</v>
      </c>
      <c r="S17" s="667">
        <f>F17</f>
        <v>100</v>
      </c>
      <c r="T17" s="666" t="s">
        <v>14</v>
      </c>
      <c r="U17" s="667">
        <f>H17</f>
        <v>100</v>
      </c>
      <c r="V17" s="666" t="s">
        <v>14</v>
      </c>
      <c r="W17" s="667">
        <f>J17</f>
        <v>100</v>
      </c>
      <c r="X17" s="1263"/>
      <c r="Y17" s="3367"/>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9"/>
      <c r="M18" s="860"/>
      <c r="N18" s="860"/>
      <c r="O18" s="868"/>
      <c r="P18" s="3367"/>
      <c r="Q18" s="1261"/>
      <c r="R18" s="666"/>
      <c r="S18" s="667"/>
      <c r="T18" s="666"/>
      <c r="U18" s="667"/>
      <c r="V18" s="666"/>
      <c r="W18" s="667"/>
      <c r="X18" s="1263"/>
      <c r="Y18" s="3367"/>
      <c r="Z18" s="1262"/>
      <c r="AA18" s="1262">
        <v>1</v>
      </c>
      <c r="AB18" s="1262">
        <v>1</v>
      </c>
      <c r="AC18" s="1262">
        <v>1</v>
      </c>
    </row>
    <row r="19" spans="1:29" ht="42.75">
      <c r="A19" s="367"/>
      <c r="B19" s="390" t="s">
        <v>1811</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67"/>
      <c r="Q19" s="1261" t="str">
        <f>B19</f>
        <v>公共配套设施</v>
      </c>
      <c r="R19" s="666" t="s">
        <v>14</v>
      </c>
      <c r="S19" s="667">
        <f>F19</f>
        <v>100</v>
      </c>
      <c r="T19" s="666" t="s">
        <v>14</v>
      </c>
      <c r="U19" s="667">
        <f>H19</f>
        <v>100</v>
      </c>
      <c r="V19" s="666" t="s">
        <v>14</v>
      </c>
      <c r="W19" s="667">
        <f>J19</f>
        <v>100</v>
      </c>
      <c r="X19" s="1263"/>
      <c r="Y19" s="3367"/>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9"/>
      <c r="M20" s="860"/>
      <c r="N20" s="860"/>
      <c r="O20" s="868"/>
      <c r="P20" s="3367"/>
      <c r="Q20" s="1261"/>
      <c r="R20" s="666"/>
      <c r="S20" s="667"/>
      <c r="T20" s="666"/>
      <c r="U20" s="667"/>
      <c r="V20" s="666"/>
      <c r="W20" s="667"/>
      <c r="X20" s="1263"/>
      <c r="Y20" s="3367"/>
      <c r="Z20" s="1262"/>
      <c r="AA20" s="1262">
        <v>1</v>
      </c>
      <c r="AB20" s="1262">
        <v>1</v>
      </c>
      <c r="AC20" s="1262">
        <v>1</v>
      </c>
    </row>
    <row r="21" spans="1:29" ht="28.5">
      <c r="A21" s="367"/>
      <c r="B21" s="585" t="s">
        <v>1812</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67"/>
      <c r="Q21" s="1261" t="str">
        <f>B21</f>
        <v>基础设施水平</v>
      </c>
      <c r="R21" s="666" t="s">
        <v>14</v>
      </c>
      <c r="S21" s="667">
        <f>F21</f>
        <v>100</v>
      </c>
      <c r="T21" s="666" t="s">
        <v>14</v>
      </c>
      <c r="U21" s="667">
        <f>H21</f>
        <v>100</v>
      </c>
      <c r="V21" s="666" t="s">
        <v>14</v>
      </c>
      <c r="W21" s="667">
        <f>J21</f>
        <v>100</v>
      </c>
      <c r="X21" s="1263"/>
      <c r="Y21" s="3367"/>
      <c r="Z21" s="1262" t="str">
        <f>Q21</f>
        <v>基础设施水平</v>
      </c>
      <c r="AA21" s="1262">
        <f>D21/F21</f>
        <v>1</v>
      </c>
      <c r="AB21" s="1262">
        <f>D21/H21</f>
        <v>1</v>
      </c>
      <c r="AC21" s="1262">
        <f>D21/J21</f>
        <v>1</v>
      </c>
    </row>
    <row r="22" spans="1:29" ht="15">
      <c r="A22" s="367"/>
      <c r="B22" s="585"/>
      <c r="C22" s="1753"/>
      <c r="D22" s="387"/>
      <c r="E22" s="386"/>
      <c r="F22" s="388"/>
      <c r="G22" s="386"/>
      <c r="H22" s="387"/>
      <c r="I22" s="386"/>
      <c r="J22" s="387"/>
      <c r="K22" s="1063"/>
      <c r="L22" s="869"/>
      <c r="M22" s="860"/>
      <c r="N22" s="860"/>
      <c r="O22" s="868"/>
      <c r="P22" s="3367"/>
      <c r="Q22" s="1261"/>
      <c r="R22" s="666"/>
      <c r="S22" s="667"/>
      <c r="T22" s="666"/>
      <c r="U22" s="667"/>
      <c r="V22" s="666"/>
      <c r="W22" s="667"/>
      <c r="X22" s="1263"/>
      <c r="Y22" s="3367"/>
      <c r="Z22" s="1262"/>
      <c r="AA22" s="1262">
        <v>1</v>
      </c>
      <c r="AB22" s="1262">
        <v>1</v>
      </c>
      <c r="AC22" s="1262">
        <v>1</v>
      </c>
    </row>
    <row r="23" spans="1:29" ht="71.25">
      <c r="A23" s="367"/>
      <c r="B23" s="390" t="s">
        <v>1813</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67"/>
      <c r="Q23" s="1261" t="str">
        <f>B23</f>
        <v>环境质量</v>
      </c>
      <c r="R23" s="666" t="s">
        <v>14</v>
      </c>
      <c r="S23" s="667">
        <f>F23</f>
        <v>100</v>
      </c>
      <c r="T23" s="666" t="s">
        <v>14</v>
      </c>
      <c r="U23" s="667">
        <f>H23</f>
        <v>100</v>
      </c>
      <c r="V23" s="666" t="s">
        <v>14</v>
      </c>
      <c r="W23" s="667">
        <f>J23</f>
        <v>100</v>
      </c>
      <c r="X23" s="1263"/>
      <c r="Y23" s="3367"/>
      <c r="Z23" s="1262" t="str">
        <f>Q23</f>
        <v>环境质量</v>
      </c>
      <c r="AA23" s="1262">
        <f t="shared" si="3"/>
        <v>1</v>
      </c>
      <c r="AB23" s="1262">
        <f t="shared" si="4"/>
        <v>1</v>
      </c>
      <c r="AC23" s="1262">
        <f t="shared" si="5"/>
        <v>1</v>
      </c>
    </row>
    <row r="24" spans="1:29" ht="15">
      <c r="A24" s="367"/>
      <c r="B24" s="585"/>
      <c r="C24" s="386"/>
      <c r="D24" s="387"/>
      <c r="E24" s="1750"/>
      <c r="F24" s="388"/>
      <c r="G24" s="1749"/>
      <c r="H24" s="387"/>
      <c r="I24" s="1750"/>
      <c r="J24" s="387"/>
      <c r="K24" s="541"/>
      <c r="L24" s="869"/>
      <c r="M24" s="860"/>
      <c r="N24" s="860"/>
      <c r="O24" s="868"/>
      <c r="P24" s="3367"/>
      <c r="Q24" s="1261"/>
      <c r="R24" s="666"/>
      <c r="S24" s="667"/>
      <c r="T24" s="666"/>
      <c r="U24" s="667"/>
      <c r="V24" s="666"/>
      <c r="W24" s="667"/>
      <c r="X24" s="1263"/>
      <c r="Y24" s="3367"/>
      <c r="Z24" s="1262"/>
      <c r="AA24" s="1262">
        <v>1</v>
      </c>
      <c r="AB24" s="1262">
        <v>1</v>
      </c>
      <c r="AC24" s="1262">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67"/>
      <c r="Q25" s="1261">
        <f>B25</f>
        <v>111</v>
      </c>
      <c r="R25" s="666" t="s">
        <v>14</v>
      </c>
      <c r="S25" s="667">
        <f>F25</f>
        <v>100</v>
      </c>
      <c r="T25" s="666" t="s">
        <v>14</v>
      </c>
      <c r="U25" s="667">
        <f>H25</f>
        <v>100</v>
      </c>
      <c r="V25" s="666" t="s">
        <v>14</v>
      </c>
      <c r="W25" s="667">
        <f>J25</f>
        <v>100</v>
      </c>
      <c r="X25" s="1263"/>
      <c r="Y25" s="3367"/>
      <c r="Z25" s="1262">
        <f>Q25</f>
        <v>111</v>
      </c>
      <c r="AA25" s="1262">
        <f t="shared" si="3"/>
        <v>1</v>
      </c>
      <c r="AB25" s="1262">
        <f t="shared" si="4"/>
        <v>1</v>
      </c>
      <c r="AC25" s="1262">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67"/>
      <c r="Q26" s="1261">
        <f t="shared" ref="Q26:Q40" si="8">B26</f>
        <v>111</v>
      </c>
      <c r="R26" s="666" t="s">
        <v>14</v>
      </c>
      <c r="S26" s="667">
        <f>F26</f>
        <v>100</v>
      </c>
      <c r="T26" s="666" t="s">
        <v>14</v>
      </c>
      <c r="U26" s="667">
        <f>H26</f>
        <v>100</v>
      </c>
      <c r="V26" s="666" t="s">
        <v>14</v>
      </c>
      <c r="W26" s="667">
        <f>J26</f>
        <v>100</v>
      </c>
      <c r="X26" s="1263"/>
      <c r="Y26" s="3367"/>
      <c r="Z26" s="1262">
        <f>Q26</f>
        <v>111</v>
      </c>
      <c r="AA26" s="1262">
        <f t="shared" si="3"/>
        <v>1</v>
      </c>
      <c r="AB26" s="1262">
        <f t="shared" si="4"/>
        <v>1</v>
      </c>
      <c r="AC26" s="1262">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67"/>
      <c r="Q27" s="530">
        <f t="shared" si="8"/>
        <v>111</v>
      </c>
      <c r="R27" s="663" t="s">
        <v>14</v>
      </c>
      <c r="S27" s="664">
        <f>F27</f>
        <v>100</v>
      </c>
      <c r="T27" s="663" t="s">
        <v>14</v>
      </c>
      <c r="U27" s="664">
        <f>H27</f>
        <v>100</v>
      </c>
      <c r="V27" s="663" t="s">
        <v>14</v>
      </c>
      <c r="W27" s="664">
        <f>J27</f>
        <v>100</v>
      </c>
      <c r="X27" s="665"/>
      <c r="Y27" s="3367"/>
      <c r="Z27" s="50">
        <f>Q27</f>
        <v>111</v>
      </c>
      <c r="AA27" s="1262">
        <f>D27/F27</f>
        <v>1</v>
      </c>
      <c r="AB27" s="1262">
        <f>D27/H27</f>
        <v>1</v>
      </c>
      <c r="AC27" s="1262">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67"/>
      <c r="Q28" s="1261">
        <f t="shared" si="8"/>
        <v>111</v>
      </c>
      <c r="R28" s="666" t="s">
        <v>14</v>
      </c>
      <c r="S28" s="667">
        <f t="shared" ref="S28:S40" si="9">F28</f>
        <v>100</v>
      </c>
      <c r="T28" s="666" t="s">
        <v>14</v>
      </c>
      <c r="U28" s="667">
        <f t="shared" ref="U28:U40" si="10">H28</f>
        <v>100</v>
      </c>
      <c r="V28" s="666" t="s">
        <v>14</v>
      </c>
      <c r="W28" s="667">
        <f t="shared" ref="W28:W40" si="11">J28</f>
        <v>100</v>
      </c>
      <c r="X28" s="1263"/>
      <c r="Y28" s="3367"/>
      <c r="Z28" s="1262">
        <f t="shared" ref="Z28:Z40" si="12">Q28</f>
        <v>111</v>
      </c>
      <c r="AA28" s="1262">
        <f t="shared" si="3"/>
        <v>1</v>
      </c>
      <c r="AB28" s="1262">
        <f t="shared" si="4"/>
        <v>1</v>
      </c>
      <c r="AC28" s="1262">
        <f t="shared" si="5"/>
        <v>1</v>
      </c>
    </row>
    <row r="29" spans="1:29" ht="28.5">
      <c r="A29" s="404" t="s">
        <v>1693</v>
      </c>
      <c r="B29" s="60" t="s">
        <v>1816</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47" t="s">
        <v>1695</v>
      </c>
      <c r="Q29" s="1261" t="str">
        <f t="shared" si="8"/>
        <v>建筑类型</v>
      </c>
      <c r="R29" s="666" t="s">
        <v>14</v>
      </c>
      <c r="S29" s="667">
        <f t="shared" si="9"/>
        <v>100</v>
      </c>
      <c r="T29" s="666" t="s">
        <v>14</v>
      </c>
      <c r="U29" s="667">
        <f t="shared" si="10"/>
        <v>100</v>
      </c>
      <c r="V29" s="666" t="s">
        <v>14</v>
      </c>
      <c r="W29" s="667">
        <f t="shared" si="11"/>
        <v>100</v>
      </c>
      <c r="X29" s="1263"/>
      <c r="Y29" s="3371" t="s">
        <v>1695</v>
      </c>
      <c r="Z29" s="1262" t="str">
        <f t="shared" si="12"/>
        <v>建筑类型</v>
      </c>
      <c r="AA29" s="1262">
        <f t="shared" si="3"/>
        <v>1</v>
      </c>
      <c r="AB29" s="1262">
        <f t="shared" si="4"/>
        <v>1</v>
      </c>
      <c r="AC29" s="1262">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71"/>
      <c r="Q30" s="531" t="str">
        <f t="shared" si="8"/>
        <v>项目建筑规模</v>
      </c>
      <c r="R30" s="668" t="s">
        <v>14</v>
      </c>
      <c r="S30" s="669" t="e">
        <f t="shared" si="9"/>
        <v>#N/A</v>
      </c>
      <c r="T30" s="668" t="s">
        <v>14</v>
      </c>
      <c r="U30" s="669" t="e">
        <f t="shared" si="10"/>
        <v>#N/A</v>
      </c>
      <c r="V30" s="668" t="s">
        <v>14</v>
      </c>
      <c r="W30" s="669" t="e">
        <f t="shared" si="11"/>
        <v>#N/A</v>
      </c>
      <c r="X30" s="670"/>
      <c r="Y30" s="3371"/>
      <c r="Z30" s="671" t="str">
        <f t="shared" si="12"/>
        <v>项目建筑规模</v>
      </c>
      <c r="AA30" s="1262" t="e">
        <f t="shared" si="3"/>
        <v>#N/A</v>
      </c>
      <c r="AB30" s="1262" t="e">
        <f t="shared" si="4"/>
        <v>#N/A</v>
      </c>
      <c r="AC30" s="1262"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71"/>
      <c r="Q31" s="1261" t="str">
        <f t="shared" si="8"/>
        <v>建筑结构</v>
      </c>
      <c r="R31" s="666" t="s">
        <v>14</v>
      </c>
      <c r="S31" s="667">
        <f t="shared" si="9"/>
        <v>100</v>
      </c>
      <c r="T31" s="666" t="s">
        <v>14</v>
      </c>
      <c r="U31" s="667">
        <f t="shared" si="10"/>
        <v>100</v>
      </c>
      <c r="V31" s="666" t="s">
        <v>14</v>
      </c>
      <c r="W31" s="667">
        <f t="shared" si="11"/>
        <v>100</v>
      </c>
      <c r="X31" s="1263"/>
      <c r="Y31" s="3371"/>
      <c r="Z31" s="1262" t="str">
        <f t="shared" si="12"/>
        <v>建筑结构</v>
      </c>
      <c r="AA31" s="1262">
        <f t="shared" si="3"/>
        <v>1</v>
      </c>
      <c r="AB31" s="1262">
        <f t="shared" si="4"/>
        <v>1</v>
      </c>
      <c r="AC31" s="1262">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71"/>
      <c r="Q32" s="1261" t="str">
        <f t="shared" si="8"/>
        <v>公共部分装修</v>
      </c>
      <c r="R32" s="666" t="s">
        <v>14</v>
      </c>
      <c r="S32" s="667">
        <f t="shared" si="9"/>
        <v>100</v>
      </c>
      <c r="T32" s="666" t="s">
        <v>14</v>
      </c>
      <c r="U32" s="667">
        <f t="shared" si="10"/>
        <v>100</v>
      </c>
      <c r="V32" s="666" t="s">
        <v>14</v>
      </c>
      <c r="W32" s="667">
        <f t="shared" si="11"/>
        <v>100</v>
      </c>
      <c r="X32" s="1263"/>
      <c r="Y32" s="3371"/>
      <c r="Z32" s="1262" t="str">
        <f t="shared" si="12"/>
        <v>公共部分装修</v>
      </c>
      <c r="AA32" s="1262">
        <f t="shared" si="3"/>
        <v>1</v>
      </c>
      <c r="AB32" s="1262">
        <f t="shared" si="4"/>
        <v>1</v>
      </c>
      <c r="AC32" s="1262">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71"/>
      <c r="Q33" s="1261" t="str">
        <f t="shared" si="8"/>
        <v>成新度</v>
      </c>
      <c r="R33" s="666" t="s">
        <v>14</v>
      </c>
      <c r="S33" s="667" t="e">
        <f t="shared" si="9"/>
        <v>#N/A</v>
      </c>
      <c r="T33" s="666" t="s">
        <v>14</v>
      </c>
      <c r="U33" s="667" t="e">
        <f t="shared" si="10"/>
        <v>#N/A</v>
      </c>
      <c r="V33" s="666" t="s">
        <v>14</v>
      </c>
      <c r="W33" s="667" t="e">
        <f t="shared" si="11"/>
        <v>#N/A</v>
      </c>
      <c r="X33" s="1263"/>
      <c r="Y33" s="3371"/>
      <c r="Z33" s="1262" t="str">
        <f t="shared" si="12"/>
        <v>成新度</v>
      </c>
      <c r="AA33" s="1262" t="e">
        <f t="shared" si="3"/>
        <v>#N/A</v>
      </c>
      <c r="AB33" s="1262" t="e">
        <f t="shared" si="4"/>
        <v>#N/A</v>
      </c>
      <c r="AC33" s="1262"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71"/>
      <c r="Q34" s="530" t="str">
        <f t="shared" si="8"/>
        <v>物业管理</v>
      </c>
      <c r="R34" s="663" t="s">
        <v>14</v>
      </c>
      <c r="S34" s="664">
        <f t="shared" si="9"/>
        <v>100</v>
      </c>
      <c r="T34" s="663" t="s">
        <v>14</v>
      </c>
      <c r="U34" s="664">
        <f t="shared" si="10"/>
        <v>100</v>
      </c>
      <c r="V34" s="663" t="s">
        <v>14</v>
      </c>
      <c r="W34" s="664">
        <f t="shared" si="11"/>
        <v>100</v>
      </c>
      <c r="X34" s="665"/>
      <c r="Y34" s="3371"/>
      <c r="Z34" s="50" t="str">
        <f t="shared" si="12"/>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71" t="s">
        <v>1695</v>
      </c>
      <c r="Q35" s="1261" t="str">
        <f t="shared" si="8"/>
        <v>市政基础设施</v>
      </c>
      <c r="R35" s="666" t="s">
        <v>14</v>
      </c>
      <c r="S35" s="667">
        <f t="shared" si="9"/>
        <v>100</v>
      </c>
      <c r="T35" s="666" t="s">
        <v>14</v>
      </c>
      <c r="U35" s="667">
        <f t="shared" si="10"/>
        <v>100</v>
      </c>
      <c r="V35" s="666" t="s">
        <v>14</v>
      </c>
      <c r="W35" s="667">
        <f t="shared" si="11"/>
        <v>100</v>
      </c>
      <c r="X35" s="1263"/>
      <c r="Y35" s="3371" t="s">
        <v>1695</v>
      </c>
      <c r="Z35" s="1262" t="str">
        <f t="shared" si="12"/>
        <v>市政基础设施</v>
      </c>
      <c r="AA35" s="1262">
        <f t="shared" si="3"/>
        <v>1</v>
      </c>
      <c r="AB35" s="1262">
        <f t="shared" si="4"/>
        <v>1</v>
      </c>
      <c r="AC35" s="1262">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71"/>
      <c r="Q36" s="1261" t="str">
        <f t="shared" si="8"/>
        <v>内部装修</v>
      </c>
      <c r="R36" s="666" t="s">
        <v>14</v>
      </c>
      <c r="S36" s="667">
        <f t="shared" si="9"/>
        <v>100</v>
      </c>
      <c r="T36" s="666" t="s">
        <v>14</v>
      </c>
      <c r="U36" s="667">
        <f t="shared" si="10"/>
        <v>100</v>
      </c>
      <c r="V36" s="666" t="s">
        <v>14</v>
      </c>
      <c r="W36" s="667">
        <f t="shared" si="11"/>
        <v>100</v>
      </c>
      <c r="X36" s="1263"/>
      <c r="Y36" s="3371"/>
      <c r="Z36" s="1262" t="str">
        <f t="shared" si="12"/>
        <v>内部装修</v>
      </c>
      <c r="AA36" s="1262">
        <f t="shared" si="3"/>
        <v>1</v>
      </c>
      <c r="AB36" s="1262">
        <f t="shared" si="4"/>
        <v>1</v>
      </c>
      <c r="AC36" s="1262">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71"/>
      <c r="Q37" s="1261" t="str">
        <f t="shared" si="8"/>
        <v>内部装修状况</v>
      </c>
      <c r="R37" s="666" t="s">
        <v>14</v>
      </c>
      <c r="S37" s="667">
        <f t="shared" si="9"/>
        <v>100</v>
      </c>
      <c r="T37" s="666" t="s">
        <v>14</v>
      </c>
      <c r="U37" s="667">
        <f t="shared" si="10"/>
        <v>100</v>
      </c>
      <c r="V37" s="666" t="s">
        <v>14</v>
      </c>
      <c r="W37" s="667">
        <f t="shared" si="11"/>
        <v>100</v>
      </c>
      <c r="X37" s="1263"/>
      <c r="Y37" s="3371"/>
      <c r="Z37" s="1262" t="str">
        <f t="shared" si="12"/>
        <v>内部装修状况</v>
      </c>
      <c r="AA37" s="1262">
        <f t="shared" si="3"/>
        <v>1</v>
      </c>
      <c r="AB37" s="1262">
        <f t="shared" si="4"/>
        <v>1</v>
      </c>
      <c r="AC37" s="1262">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71"/>
      <c r="Q38" s="531">
        <f t="shared" si="8"/>
        <v>111</v>
      </c>
      <c r="R38" s="668" t="s">
        <v>14</v>
      </c>
      <c r="S38" s="669">
        <f t="shared" si="9"/>
        <v>100</v>
      </c>
      <c r="T38" s="668" t="s">
        <v>14</v>
      </c>
      <c r="U38" s="669">
        <f t="shared" si="10"/>
        <v>100</v>
      </c>
      <c r="V38" s="668" t="s">
        <v>14</v>
      </c>
      <c r="W38" s="669">
        <f t="shared" si="11"/>
        <v>100</v>
      </c>
      <c r="X38" s="670"/>
      <c r="Y38" s="3371"/>
      <c r="Z38" s="671">
        <f t="shared" si="12"/>
        <v>111</v>
      </c>
      <c r="AA38" s="1262">
        <f t="shared" si="3"/>
        <v>1</v>
      </c>
      <c r="AB38" s="1262">
        <f t="shared" si="4"/>
        <v>1</v>
      </c>
      <c r="AC38" s="1262">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71"/>
      <c r="Q39" s="1261">
        <f t="shared" si="8"/>
        <v>111</v>
      </c>
      <c r="R39" s="666" t="s">
        <v>14</v>
      </c>
      <c r="S39" s="667">
        <f t="shared" si="9"/>
        <v>100</v>
      </c>
      <c r="T39" s="666" t="s">
        <v>14</v>
      </c>
      <c r="U39" s="667">
        <f t="shared" si="10"/>
        <v>100</v>
      </c>
      <c r="V39" s="666" t="s">
        <v>14</v>
      </c>
      <c r="W39" s="667">
        <f t="shared" si="11"/>
        <v>100</v>
      </c>
      <c r="X39" s="1263"/>
      <c r="Y39" s="3371"/>
      <c r="Z39" s="1262">
        <f t="shared" si="12"/>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72"/>
      <c r="Q40" s="1261">
        <f t="shared" si="8"/>
        <v>111</v>
      </c>
      <c r="R40" s="666" t="s">
        <v>14</v>
      </c>
      <c r="S40" s="667">
        <f t="shared" si="9"/>
        <v>100</v>
      </c>
      <c r="T40" s="666" t="s">
        <v>14</v>
      </c>
      <c r="U40" s="667">
        <f t="shared" si="10"/>
        <v>100</v>
      </c>
      <c r="V40" s="666" t="s">
        <v>14</v>
      </c>
      <c r="W40" s="667">
        <f t="shared" si="11"/>
        <v>100</v>
      </c>
      <c r="X40" s="1263"/>
      <c r="Y40" s="3372"/>
      <c r="Z40" s="1262">
        <f t="shared" si="12"/>
        <v>111</v>
      </c>
      <c r="AA40" s="1262">
        <f t="shared" si="3"/>
        <v>1</v>
      </c>
      <c r="AB40" s="1262">
        <f t="shared" si="4"/>
        <v>1</v>
      </c>
      <c r="AC40" s="1262">
        <f t="shared" si="5"/>
        <v>1</v>
      </c>
    </row>
    <row r="41" spans="1:29" ht="15">
      <c r="A41" s="416" t="s">
        <v>1707</v>
      </c>
      <c r="B41" s="417"/>
      <c r="C41" s="1080" t="s">
        <v>0</v>
      </c>
      <c r="D41" s="418"/>
      <c r="E41" s="419"/>
      <c r="F41" s="420"/>
      <c r="G41" s="421"/>
      <c r="H41" s="422"/>
      <c r="I41" s="419"/>
      <c r="J41" s="422"/>
      <c r="K41" s="673"/>
      <c r="L41" s="872"/>
      <c r="M41" s="860"/>
      <c r="N41" s="860"/>
      <c r="O41" s="860"/>
      <c r="P41" s="3359" t="str">
        <f>A41</f>
        <v>成交单价（元/平方米）</v>
      </c>
      <c r="Q41" s="3359"/>
      <c r="R41" s="3360">
        <f>E41</f>
        <v>0</v>
      </c>
      <c r="S41" s="3360"/>
      <c r="T41" s="3360">
        <f>G41</f>
        <v>0</v>
      </c>
      <c r="U41" s="3360"/>
      <c r="V41" s="3360">
        <f>I41</f>
        <v>0</v>
      </c>
      <c r="W41" s="3360"/>
      <c r="X41" s="385"/>
      <c r="Y41" s="672"/>
      <c r="Z41" s="385"/>
      <c r="AA41" s="385"/>
      <c r="AB41" s="385"/>
      <c r="AC41" s="385"/>
    </row>
    <row r="42" spans="1:29" ht="15.75" thickBot="1">
      <c r="A42" s="423" t="s">
        <v>1792</v>
      </c>
      <c r="B42" s="424"/>
      <c r="C42" s="1081" t="e">
        <f>R43</f>
        <v>#DIV/0!</v>
      </c>
      <c r="D42" s="2139" t="s">
        <v>2133</v>
      </c>
      <c r="E42" s="1082" t="e">
        <f>R42</f>
        <v>#DIV/0!</v>
      </c>
      <c r="F42" s="2140"/>
      <c r="G42" s="1081" t="e">
        <f>T42</f>
        <v>#DIV/0!</v>
      </c>
      <c r="H42" s="2140"/>
      <c r="I42" s="1082" t="e">
        <f>V42</f>
        <v>#DIV/0!</v>
      </c>
      <c r="J42" s="2140"/>
      <c r="K42" s="2142">
        <f>F42+H42+J42</f>
        <v>0</v>
      </c>
      <c r="L42" s="872"/>
      <c r="M42" s="860"/>
      <c r="N42" s="860"/>
      <c r="O42" s="860"/>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2023-5</v>
      </c>
      <c r="D52" s="1103">
        <f>EDATE(C52,-1)</f>
        <v>45017</v>
      </c>
      <c r="E52" s="1103">
        <f t="shared" ref="E52:O52" si="13">EDATE(D52,-1)</f>
        <v>44986</v>
      </c>
      <c r="F52" s="1103">
        <f t="shared" si="13"/>
        <v>44958</v>
      </c>
      <c r="G52" s="1103">
        <f t="shared" si="13"/>
        <v>44927</v>
      </c>
      <c r="H52" s="1103">
        <f t="shared" si="13"/>
        <v>44896</v>
      </c>
      <c r="I52" s="1103">
        <f t="shared" si="13"/>
        <v>44866</v>
      </c>
      <c r="J52" s="1103">
        <f t="shared" si="13"/>
        <v>44835</v>
      </c>
      <c r="K52" s="1103">
        <f t="shared" si="13"/>
        <v>44805</v>
      </c>
      <c r="L52" s="1103">
        <f t="shared" si="13"/>
        <v>44774</v>
      </c>
      <c r="M52" s="1103">
        <f t="shared" si="13"/>
        <v>44743</v>
      </c>
      <c r="N52" s="1103">
        <f t="shared" si="13"/>
        <v>44713</v>
      </c>
      <c r="O52" s="1103">
        <f t="shared" si="13"/>
        <v>44682</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7"/>
      <c r="O54" s="2538"/>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79"/>
      <c r="O89" s="879"/>
      <c r="P89" s="40"/>
      <c r="Q89" s="439"/>
    </row>
    <row r="90" spans="1:17" ht="15.75" thickTop="1">
      <c r="A90" s="367"/>
      <c r="B90" s="469" t="s">
        <v>1736</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30"/>
      <c r="F1" s="1733"/>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2"/>
      <c r="M2" s="2503"/>
      <c r="N2" s="2503"/>
      <c r="O2" s="2503"/>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5"/>
      <c r="AC3" s="662"/>
    </row>
    <row r="4" spans="1:29" ht="15">
      <c r="A4" s="345" t="s">
        <v>1768</v>
      </c>
      <c r="B4" s="346"/>
      <c r="C4" s="3376" t="s">
        <v>1769</v>
      </c>
      <c r="D4" s="3377"/>
      <c r="E4" s="3378" t="s">
        <v>1770</v>
      </c>
      <c r="F4" s="3379"/>
      <c r="G4" s="3376" t="s">
        <v>1771</v>
      </c>
      <c r="H4" s="3377"/>
      <c r="I4" s="3376" t="s">
        <v>1772</v>
      </c>
      <c r="J4" s="3377"/>
      <c r="K4" s="537" t="s">
        <v>1773</v>
      </c>
      <c r="L4" s="2485"/>
      <c r="M4" s="2486"/>
      <c r="N4" s="2486"/>
      <c r="O4" s="2486"/>
      <c r="P4" s="3418" t="s">
        <v>1774</v>
      </c>
      <c r="Q4" s="3419"/>
      <c r="R4" s="3422" t="s">
        <v>1770</v>
      </c>
      <c r="S4" s="3423"/>
      <c r="T4" s="3422" t="s">
        <v>1771</v>
      </c>
      <c r="U4" s="3423"/>
      <c r="V4" s="3360" t="s">
        <v>1772</v>
      </c>
      <c r="W4" s="3360"/>
      <c r="X4" s="1263"/>
      <c r="Y4" s="3422" t="s">
        <v>1774</v>
      </c>
      <c r="Z4" s="3423"/>
      <c r="AA4" s="3417" t="s">
        <v>1770</v>
      </c>
      <c r="AB4" s="3406" t="s">
        <v>1771</v>
      </c>
      <c r="AC4" s="3417" t="s">
        <v>1772</v>
      </c>
    </row>
    <row r="5" spans="1:29" ht="15">
      <c r="A5" s="348"/>
      <c r="B5" s="349"/>
      <c r="C5" s="3401" t="s">
        <v>1672</v>
      </c>
      <c r="D5" s="3402"/>
      <c r="E5" s="3446" t="s">
        <v>1673</v>
      </c>
      <c r="F5" s="3396"/>
      <c r="G5" s="3401" t="s">
        <v>1674</v>
      </c>
      <c r="H5" s="3402"/>
      <c r="I5" s="3401" t="s">
        <v>1675</v>
      </c>
      <c r="J5" s="3402"/>
      <c r="K5" s="537"/>
      <c r="L5" s="2485"/>
      <c r="M5" s="2486"/>
      <c r="N5" s="2486"/>
      <c r="O5" s="2486"/>
      <c r="P5" s="3420"/>
      <c r="Q5" s="3383"/>
      <c r="R5" s="3388"/>
      <c r="S5" s="3389"/>
      <c r="T5" s="3388"/>
      <c r="U5" s="3389"/>
      <c r="V5" s="3360"/>
      <c r="W5" s="3360"/>
      <c r="X5" s="1263"/>
      <c r="Y5" s="3388"/>
      <c r="Z5" s="3389"/>
      <c r="AA5" s="3406"/>
      <c r="AB5" s="3406"/>
      <c r="AC5" s="3406"/>
    </row>
    <row r="6" spans="1:29" ht="15.75" thickBot="1">
      <c r="A6" s="350"/>
      <c r="B6" s="351"/>
      <c r="C6" s="3393" t="s">
        <v>1676</v>
      </c>
      <c r="D6" s="3394"/>
      <c r="E6" s="3403" t="s">
        <v>1676</v>
      </c>
      <c r="F6" s="3404"/>
      <c r="G6" s="3393" t="s">
        <v>1676</v>
      </c>
      <c r="H6" s="3394"/>
      <c r="I6" s="3393" t="s">
        <v>1676</v>
      </c>
      <c r="J6" s="3394"/>
      <c r="K6" s="537" t="s">
        <v>1677</v>
      </c>
      <c r="L6" s="2485"/>
      <c r="M6" s="2486"/>
      <c r="N6" s="2486"/>
      <c r="O6" s="2486"/>
      <c r="P6" s="3421"/>
      <c r="Q6" s="3385"/>
      <c r="R6" s="3388"/>
      <c r="S6" s="3389"/>
      <c r="T6" s="3390"/>
      <c r="U6" s="3391"/>
      <c r="V6" s="3360"/>
      <c r="W6" s="3360"/>
      <c r="X6" s="1263"/>
      <c r="Y6" s="3390"/>
      <c r="Z6" s="3391"/>
      <c r="AA6" s="3407"/>
      <c r="AB6" s="3407"/>
      <c r="AC6" s="3407"/>
    </row>
    <row r="7" spans="1:29" s="102" customFormat="1" ht="15.75" thickBot="1">
      <c r="A7" s="352" t="s">
        <v>1678</v>
      </c>
      <c r="B7" s="353"/>
      <c r="C7" s="354">
        <f>'数据-取费表'!B2</f>
        <v>45065</v>
      </c>
      <c r="D7" s="355">
        <v>100</v>
      </c>
      <c r="E7" s="356"/>
      <c r="F7" s="357">
        <f>SUMIF(48:48,YEAR(E7)&amp;"-"&amp;MONTH(E7),49:49)</f>
        <v>0</v>
      </c>
      <c r="G7" s="356"/>
      <c r="H7" s="355">
        <f>SUMIF(48:48,YEAR(G7)&amp;"-"&amp;MONTH(G7),49:49)</f>
        <v>0</v>
      </c>
      <c r="I7" s="356"/>
      <c r="J7" s="355">
        <f>SUMIF(48:48,YEAR(I7)&amp;"-"&amp;MONTH(I7),49:49)</f>
        <v>0</v>
      </c>
      <c r="K7" s="38"/>
      <c r="L7" s="2487"/>
      <c r="M7" s="2438"/>
      <c r="N7" s="2438"/>
      <c r="O7" s="2438"/>
      <c r="P7" s="3399" t="s">
        <v>1679</v>
      </c>
      <c r="Q7" s="3400"/>
      <c r="R7" s="663" t="s">
        <v>14</v>
      </c>
      <c r="S7" s="664">
        <f t="shared" ref="S7:S14" si="0">F7</f>
        <v>0</v>
      </c>
      <c r="T7" s="663" t="s">
        <v>14</v>
      </c>
      <c r="U7" s="664">
        <f t="shared" ref="U7:U14" si="1">H7</f>
        <v>0</v>
      </c>
      <c r="V7" s="663" t="s">
        <v>14</v>
      </c>
      <c r="W7" s="664">
        <f t="shared" ref="W7:W14" si="2">J7</f>
        <v>0</v>
      </c>
      <c r="X7" s="665"/>
      <c r="Y7" s="3399" t="s">
        <v>1679</v>
      </c>
      <c r="Z7" s="3398"/>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99" t="s">
        <v>1682</v>
      </c>
      <c r="Q8" s="3398"/>
      <c r="R8" s="663" t="s">
        <v>14</v>
      </c>
      <c r="S8" s="664">
        <f t="shared" si="0"/>
        <v>100</v>
      </c>
      <c r="T8" s="663" t="s">
        <v>14</v>
      </c>
      <c r="U8" s="664">
        <f t="shared" si="1"/>
        <v>100</v>
      </c>
      <c r="V8" s="663" t="s">
        <v>14</v>
      </c>
      <c r="W8" s="664">
        <f t="shared" si="2"/>
        <v>100</v>
      </c>
      <c r="X8" s="665"/>
      <c r="Y8" s="3399" t="s">
        <v>1682</v>
      </c>
      <c r="Z8" s="3398"/>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59" t="s">
        <v>1685</v>
      </c>
      <c r="Q9" s="530" t="str">
        <f t="shared" ref="Q9:Q14" si="6">B9</f>
        <v>用途</v>
      </c>
      <c r="R9" s="663" t="s">
        <v>14</v>
      </c>
      <c r="S9" s="664">
        <f t="shared" si="0"/>
        <v>100</v>
      </c>
      <c r="T9" s="663" t="s">
        <v>14</v>
      </c>
      <c r="U9" s="664">
        <f t="shared" si="1"/>
        <v>100</v>
      </c>
      <c r="V9" s="663" t="s">
        <v>14</v>
      </c>
      <c r="W9" s="664">
        <f t="shared" si="2"/>
        <v>100</v>
      </c>
      <c r="X9" s="665"/>
      <c r="Y9" s="3257" t="s">
        <v>1686</v>
      </c>
      <c r="Z9" s="50" t="str">
        <f t="shared" ref="Z9:Z14" si="7">Q9</f>
        <v>用途</v>
      </c>
      <c r="AA9" s="50">
        <f t="shared" si="3"/>
        <v>1</v>
      </c>
      <c r="AB9" s="50">
        <f t="shared" si="4"/>
        <v>1</v>
      </c>
      <c r="AC9" s="50">
        <f t="shared" si="5"/>
        <v>1</v>
      </c>
    </row>
    <row r="10" spans="1:29" s="366" customFormat="1" ht="27">
      <c r="A10" s="564"/>
      <c r="B10" s="565" t="s">
        <v>1687</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9"/>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9"/>
      <c r="Q11" s="530">
        <f t="shared" si="6"/>
        <v>111</v>
      </c>
      <c r="R11" s="663" t="s">
        <v>14</v>
      </c>
      <c r="S11" s="664">
        <f t="shared" si="0"/>
        <v>100</v>
      </c>
      <c r="T11" s="663" t="s">
        <v>14</v>
      </c>
      <c r="U11" s="664">
        <f t="shared" si="1"/>
        <v>100</v>
      </c>
      <c r="V11" s="663" t="s">
        <v>14</v>
      </c>
      <c r="W11" s="664">
        <f t="shared" si="2"/>
        <v>100</v>
      </c>
      <c r="X11" s="665"/>
      <c r="Y11" s="3257"/>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59"/>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9"/>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142.5">
      <c r="A14" s="345" t="s">
        <v>1689</v>
      </c>
      <c r="B14" s="553" t="s">
        <v>1832</v>
      </c>
      <c r="C14" s="1817" t="str">
        <f>IF(B1="工业",估价对象房地状况!G4,估价对象房地状况!C6)</f>
        <v>估价对象周边道路状况较好、有7、16、105等公交线路及地铁2、4号线经过，公共交通通达情况较好、停车便捷程度一般，综合评价交通便捷度较好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6" t="s">
        <v>1690</v>
      </c>
      <c r="Q14" s="1261" t="str">
        <f t="shared" si="6"/>
        <v>交通便捷度</v>
      </c>
      <c r="R14" s="666" t="s">
        <v>14</v>
      </c>
      <c r="S14" s="667">
        <f t="shared" si="0"/>
        <v>100</v>
      </c>
      <c r="T14" s="666" t="s">
        <v>14</v>
      </c>
      <c r="U14" s="667">
        <f t="shared" si="1"/>
        <v>100</v>
      </c>
      <c r="V14" s="666" t="s">
        <v>14</v>
      </c>
      <c r="W14" s="667">
        <f t="shared" si="2"/>
        <v>100</v>
      </c>
      <c r="X14" s="1263"/>
      <c r="Y14" s="3366" t="s">
        <v>1690</v>
      </c>
      <c r="Z14" s="1262" t="str">
        <f t="shared" si="7"/>
        <v>交通便捷度</v>
      </c>
      <c r="AA14" s="1262">
        <f t="shared" si="3"/>
        <v>1</v>
      </c>
      <c r="AB14" s="1262">
        <f t="shared" si="4"/>
        <v>1</v>
      </c>
      <c r="AC14" s="1262">
        <f t="shared" si="5"/>
        <v>1</v>
      </c>
    </row>
    <row r="15" spans="1:29" ht="15">
      <c r="A15" s="348"/>
      <c r="B15" s="570"/>
      <c r="C15" s="386"/>
      <c r="D15" s="387"/>
      <c r="E15" s="386"/>
      <c r="F15" s="388"/>
      <c r="G15" s="386"/>
      <c r="H15" s="389"/>
      <c r="I15" s="386"/>
      <c r="J15" s="387"/>
      <c r="K15" s="541"/>
      <c r="L15" s="2491"/>
      <c r="M15" s="2486"/>
      <c r="N15" s="2486"/>
      <c r="O15" s="2486"/>
      <c r="P15" s="3367"/>
      <c r="Q15" s="1261"/>
      <c r="R15" s="666"/>
      <c r="S15" s="667"/>
      <c r="T15" s="666"/>
      <c r="U15" s="667"/>
      <c r="V15" s="666"/>
      <c r="W15" s="667"/>
      <c r="X15" s="1263"/>
      <c r="Y15" s="3367"/>
      <c r="Z15" s="1262"/>
      <c r="AA15" s="1262">
        <v>1</v>
      </c>
      <c r="AB15" s="1262">
        <v>1</v>
      </c>
      <c r="AC15" s="1262">
        <v>1</v>
      </c>
    </row>
    <row r="16" spans="1:29" ht="42.75">
      <c r="A16" s="348"/>
      <c r="B16" s="555" t="s">
        <v>1811</v>
      </c>
      <c r="C16" s="1752"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7"/>
      <c r="Q16" s="1261" t="str">
        <f>B16</f>
        <v>公共配套设施</v>
      </c>
      <c r="R16" s="666" t="s">
        <v>14</v>
      </c>
      <c r="S16" s="667">
        <f>F16</f>
        <v>100</v>
      </c>
      <c r="T16" s="666" t="s">
        <v>14</v>
      </c>
      <c r="U16" s="667">
        <f>H16</f>
        <v>100</v>
      </c>
      <c r="V16" s="666" t="s">
        <v>14</v>
      </c>
      <c r="W16" s="667">
        <f>J16</f>
        <v>100</v>
      </c>
      <c r="X16" s="1263"/>
      <c r="Y16" s="3367"/>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367"/>
      <c r="Q17" s="1261"/>
      <c r="R17" s="666"/>
      <c r="S17" s="667"/>
      <c r="T17" s="666"/>
      <c r="U17" s="667"/>
      <c r="V17" s="666"/>
      <c r="W17" s="667"/>
      <c r="X17" s="1263"/>
      <c r="Y17" s="3367"/>
      <c r="Z17" s="1262"/>
      <c r="AA17" s="1262">
        <v>1</v>
      </c>
      <c r="AB17" s="1262">
        <v>1</v>
      </c>
      <c r="AC17" s="1262">
        <v>1</v>
      </c>
    </row>
    <row r="18" spans="1:29" ht="42.75">
      <c r="A18" s="348"/>
      <c r="B18" s="556" t="s">
        <v>1812</v>
      </c>
      <c r="C18" s="1752"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7"/>
      <c r="Q18" s="1261" t="str">
        <f>B18</f>
        <v>基础设施水平</v>
      </c>
      <c r="R18" s="666" t="s">
        <v>14</v>
      </c>
      <c r="S18" s="667">
        <f>F18</f>
        <v>100</v>
      </c>
      <c r="T18" s="666" t="s">
        <v>14</v>
      </c>
      <c r="U18" s="667">
        <f>H18</f>
        <v>100</v>
      </c>
      <c r="V18" s="666" t="s">
        <v>14</v>
      </c>
      <c r="W18" s="667">
        <f>J18</f>
        <v>100</v>
      </c>
      <c r="X18" s="1263"/>
      <c r="Y18" s="3367"/>
      <c r="Z18" s="1262" t="str">
        <f>Q18</f>
        <v>基础设施水平</v>
      </c>
      <c r="AA18" s="1262">
        <f>D18/F18</f>
        <v>1</v>
      </c>
      <c r="AB18" s="1262">
        <f>D18/H18</f>
        <v>1</v>
      </c>
      <c r="AC18" s="1262">
        <f>D18/J18</f>
        <v>1</v>
      </c>
    </row>
    <row r="19" spans="1:29" ht="15">
      <c r="A19" s="348"/>
      <c r="B19" s="556"/>
      <c r="C19" s="1753"/>
      <c r="D19" s="389"/>
      <c r="E19" s="1753"/>
      <c r="F19" s="392"/>
      <c r="G19" s="1753"/>
      <c r="H19" s="387"/>
      <c r="I19" s="386"/>
      <c r="J19" s="387"/>
      <c r="K19" s="1063"/>
      <c r="L19" s="2491"/>
      <c r="M19" s="2486"/>
      <c r="N19" s="2486"/>
      <c r="O19" s="2486"/>
      <c r="P19" s="3367"/>
      <c r="Q19" s="1261"/>
      <c r="R19" s="666"/>
      <c r="S19" s="667"/>
      <c r="T19" s="666"/>
      <c r="U19" s="667"/>
      <c r="V19" s="666"/>
      <c r="W19" s="667"/>
      <c r="X19" s="1263"/>
      <c r="Y19" s="3367"/>
      <c r="Z19" s="1262"/>
      <c r="AA19" s="1262">
        <v>1</v>
      </c>
      <c r="AB19" s="1262">
        <v>1</v>
      </c>
      <c r="AC19" s="1262">
        <v>1</v>
      </c>
    </row>
    <row r="20" spans="1:29" ht="99.75">
      <c r="A20" s="348"/>
      <c r="B20" s="555" t="s">
        <v>1833</v>
      </c>
      <c r="C20" s="1752" t="str">
        <f>IF(B1="工业",估价对象房地状况!G7,估价对象房地状况!C9)</f>
        <v>区域自然环境：北京动物园、官园公园；人文环境：北京天文馆、北京建筑大学；综合评价环境状况较好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7"/>
      <c r="Q20" s="1261" t="str">
        <f>B20</f>
        <v>自然及人文环境</v>
      </c>
      <c r="R20" s="666" t="s">
        <v>14</v>
      </c>
      <c r="S20" s="667">
        <f>F20</f>
        <v>100</v>
      </c>
      <c r="T20" s="666" t="s">
        <v>14</v>
      </c>
      <c r="U20" s="667">
        <f>H20</f>
        <v>100</v>
      </c>
      <c r="V20" s="666" t="s">
        <v>14</v>
      </c>
      <c r="W20" s="667">
        <f>J20</f>
        <v>100</v>
      </c>
      <c r="X20" s="1263"/>
      <c r="Y20" s="3367"/>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367"/>
      <c r="Q21" s="1261"/>
      <c r="R21" s="666"/>
      <c r="S21" s="667"/>
      <c r="T21" s="666"/>
      <c r="U21" s="667"/>
      <c r="V21" s="666"/>
      <c r="W21" s="667"/>
      <c r="X21" s="1263"/>
      <c r="Y21" s="3367"/>
      <c r="Z21" s="1262"/>
      <c r="AA21" s="1262">
        <v>1</v>
      </c>
      <c r="AB21" s="1262">
        <v>1</v>
      </c>
      <c r="AC21" s="1262">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7"/>
      <c r="Q22" s="1261" t="str">
        <f>B22</f>
        <v>楼层</v>
      </c>
      <c r="R22" s="666" t="s">
        <v>14</v>
      </c>
      <c r="S22" s="667">
        <f>F22</f>
        <v>100</v>
      </c>
      <c r="T22" s="666" t="s">
        <v>14</v>
      </c>
      <c r="U22" s="667">
        <f>H22</f>
        <v>100</v>
      </c>
      <c r="V22" s="666" t="s">
        <v>14</v>
      </c>
      <c r="W22" s="667">
        <f>J22</f>
        <v>100</v>
      </c>
      <c r="X22" s="1263"/>
      <c r="Y22" s="3367"/>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7"/>
      <c r="Q23" s="1261">
        <f>B23</f>
        <v>111</v>
      </c>
      <c r="R23" s="666" t="s">
        <v>14</v>
      </c>
      <c r="S23" s="667">
        <f>F23</f>
        <v>100</v>
      </c>
      <c r="T23" s="666" t="s">
        <v>14</v>
      </c>
      <c r="U23" s="667">
        <f>H23</f>
        <v>100</v>
      </c>
      <c r="V23" s="666" t="s">
        <v>14</v>
      </c>
      <c r="W23" s="667">
        <f>J23</f>
        <v>100</v>
      </c>
      <c r="X23" s="1263"/>
      <c r="Y23" s="3367"/>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7"/>
      <c r="Q24" s="1261">
        <f t="shared" ref="Q24:Q36" si="8">B24</f>
        <v>111</v>
      </c>
      <c r="R24" s="666" t="s">
        <v>14</v>
      </c>
      <c r="S24" s="667">
        <f>F24</f>
        <v>100</v>
      </c>
      <c r="T24" s="666" t="s">
        <v>14</v>
      </c>
      <c r="U24" s="667">
        <f>H24</f>
        <v>100</v>
      </c>
      <c r="V24" s="666" t="s">
        <v>14</v>
      </c>
      <c r="W24" s="667">
        <f>J24</f>
        <v>100</v>
      </c>
      <c r="X24" s="1263"/>
      <c r="Y24" s="3367"/>
      <c r="Z24" s="1262">
        <f>Q24</f>
        <v>111</v>
      </c>
      <c r="AA24" s="1262">
        <f t="shared" si="3"/>
        <v>1</v>
      </c>
      <c r="AB24" s="1262">
        <f t="shared" si="4"/>
        <v>1</v>
      </c>
      <c r="AC24" s="1262">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8"/>
      <c r="N25" s="2438"/>
      <c r="O25" s="2438"/>
      <c r="P25" s="3367"/>
      <c r="Q25" s="530">
        <f t="shared" si="8"/>
        <v>111</v>
      </c>
      <c r="R25" s="663" t="s">
        <v>14</v>
      </c>
      <c r="S25" s="664">
        <f>F25</f>
        <v>100</v>
      </c>
      <c r="T25" s="663" t="s">
        <v>14</v>
      </c>
      <c r="U25" s="664">
        <f>H25</f>
        <v>100</v>
      </c>
      <c r="V25" s="663" t="s">
        <v>14</v>
      </c>
      <c r="W25" s="664">
        <f>J25</f>
        <v>100</v>
      </c>
      <c r="X25" s="665"/>
      <c r="Y25" s="3367"/>
      <c r="Z25" s="50">
        <f>Q25</f>
        <v>111</v>
      </c>
      <c r="AA25" s="1262">
        <f>D25/F25</f>
        <v>1</v>
      </c>
      <c r="AB25" s="1262">
        <f>D25/H25</f>
        <v>1</v>
      </c>
      <c r="AC25" s="1262">
        <f>D25/J25</f>
        <v>1</v>
      </c>
    </row>
    <row r="26" spans="1:29" ht="28.5">
      <c r="A26" s="573" t="s">
        <v>1693</v>
      </c>
      <c r="B26" s="59" t="s">
        <v>1835</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7" t="s">
        <v>1695</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371" t="s">
        <v>1695</v>
      </c>
      <c r="Z26" s="1262" t="str">
        <f t="shared" ref="Z26:Z36" si="12">Q26</f>
        <v>配套类型</v>
      </c>
      <c r="AA26" s="1262" t="e">
        <f t="shared" si="3"/>
        <v>#DIV/0!</v>
      </c>
      <c r="AB26" s="1262" t="e">
        <f t="shared" si="4"/>
        <v>#DIV/0!</v>
      </c>
      <c r="AC26" s="1262"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371"/>
      <c r="Q27" s="531" t="str">
        <f t="shared" si="8"/>
        <v>项目停车位配比</v>
      </c>
      <c r="R27" s="668" t="s">
        <v>14</v>
      </c>
      <c r="S27" s="669">
        <f t="shared" si="9"/>
        <v>100</v>
      </c>
      <c r="T27" s="668" t="s">
        <v>14</v>
      </c>
      <c r="U27" s="669">
        <f t="shared" si="10"/>
        <v>100</v>
      </c>
      <c r="V27" s="668" t="s">
        <v>14</v>
      </c>
      <c r="W27" s="669">
        <f t="shared" si="11"/>
        <v>100</v>
      </c>
      <c r="X27" s="670"/>
      <c r="Y27" s="3371"/>
      <c r="Z27" s="671" t="str">
        <f t="shared" si="12"/>
        <v>项目停车位配比</v>
      </c>
      <c r="AA27" s="1262">
        <f t="shared" si="3"/>
        <v>1</v>
      </c>
      <c r="AB27" s="1262">
        <f t="shared" si="4"/>
        <v>1</v>
      </c>
      <c r="AC27" s="1262">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1"/>
      <c r="Q28" s="1261" t="str">
        <f t="shared" si="8"/>
        <v>公共部分装修</v>
      </c>
      <c r="R28" s="666" t="s">
        <v>14</v>
      </c>
      <c r="S28" s="667">
        <f t="shared" si="9"/>
        <v>100</v>
      </c>
      <c r="T28" s="666" t="s">
        <v>14</v>
      </c>
      <c r="U28" s="667">
        <f t="shared" si="10"/>
        <v>100</v>
      </c>
      <c r="V28" s="666" t="s">
        <v>14</v>
      </c>
      <c r="W28" s="667">
        <f t="shared" si="11"/>
        <v>100</v>
      </c>
      <c r="X28" s="1263"/>
      <c r="Y28" s="3371"/>
      <c r="Z28" s="1262" t="str">
        <f t="shared" si="12"/>
        <v>公共部分装修</v>
      </c>
      <c r="AA28" s="1262">
        <f t="shared" si="3"/>
        <v>1</v>
      </c>
      <c r="AB28" s="1262">
        <f t="shared" si="4"/>
        <v>1</v>
      </c>
      <c r="AC28" s="1262">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1"/>
      <c r="Q29" s="1261" t="str">
        <f t="shared" si="8"/>
        <v>成新率</v>
      </c>
      <c r="R29" s="666" t="s">
        <v>14</v>
      </c>
      <c r="S29" s="667" t="e">
        <f t="shared" si="9"/>
        <v>#N/A</v>
      </c>
      <c r="T29" s="666" t="s">
        <v>14</v>
      </c>
      <c r="U29" s="667" t="e">
        <f t="shared" si="10"/>
        <v>#N/A</v>
      </c>
      <c r="V29" s="666" t="s">
        <v>14</v>
      </c>
      <c r="W29" s="667" t="e">
        <f t="shared" si="11"/>
        <v>#N/A</v>
      </c>
      <c r="X29" s="1263"/>
      <c r="Y29" s="3371"/>
      <c r="Z29" s="1262" t="str">
        <f t="shared" si="12"/>
        <v>成新率</v>
      </c>
      <c r="AA29" s="1262" t="e">
        <f t="shared" si="3"/>
        <v>#N/A</v>
      </c>
      <c r="AB29" s="1262" t="e">
        <f t="shared" si="4"/>
        <v>#N/A</v>
      </c>
      <c r="AC29" s="1262"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371"/>
      <c r="Q30" s="1261" t="str">
        <f t="shared" si="8"/>
        <v>物业等级</v>
      </c>
      <c r="R30" s="666" t="s">
        <v>14</v>
      </c>
      <c r="S30" s="667">
        <f t="shared" si="9"/>
        <v>100</v>
      </c>
      <c r="T30" s="666" t="s">
        <v>14</v>
      </c>
      <c r="U30" s="667">
        <f t="shared" si="10"/>
        <v>100</v>
      </c>
      <c r="V30" s="666" t="s">
        <v>14</v>
      </c>
      <c r="W30" s="667">
        <f t="shared" si="11"/>
        <v>100</v>
      </c>
      <c r="X30" s="1263"/>
      <c r="Y30" s="3371"/>
      <c r="Z30" s="1262" t="str">
        <f t="shared" si="12"/>
        <v>物业等级</v>
      </c>
      <c r="AA30" s="1262">
        <f t="shared" si="3"/>
        <v>1</v>
      </c>
      <c r="AB30" s="1262">
        <f t="shared" si="4"/>
        <v>1</v>
      </c>
      <c r="AC30" s="1262">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71"/>
      <c r="Q31" s="530" t="str">
        <f t="shared" si="8"/>
        <v>停车位面积</v>
      </c>
      <c r="R31" s="663" t="s">
        <v>14</v>
      </c>
      <c r="S31" s="664" t="e">
        <f t="shared" si="9"/>
        <v>#N/A</v>
      </c>
      <c r="T31" s="663" t="s">
        <v>14</v>
      </c>
      <c r="U31" s="664" t="e">
        <f t="shared" si="10"/>
        <v>#N/A</v>
      </c>
      <c r="V31" s="663" t="s">
        <v>14</v>
      </c>
      <c r="W31" s="664" t="e">
        <f t="shared" si="11"/>
        <v>#N/A</v>
      </c>
      <c r="X31" s="665"/>
      <c r="Y31" s="3371"/>
      <c r="Z31" s="50" t="str">
        <f t="shared" si="12"/>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1" t="s">
        <v>1695</v>
      </c>
      <c r="Q32" s="1261" t="str">
        <f t="shared" si="8"/>
        <v>车位类型</v>
      </c>
      <c r="R32" s="666" t="s">
        <v>14</v>
      </c>
      <c r="S32" s="667">
        <f t="shared" si="9"/>
        <v>100</v>
      </c>
      <c r="T32" s="666" t="s">
        <v>14</v>
      </c>
      <c r="U32" s="667">
        <f t="shared" si="10"/>
        <v>100</v>
      </c>
      <c r="V32" s="666" t="s">
        <v>14</v>
      </c>
      <c r="W32" s="667">
        <f t="shared" si="11"/>
        <v>100</v>
      </c>
      <c r="X32" s="1263"/>
      <c r="Y32" s="3371" t="s">
        <v>1695</v>
      </c>
      <c r="Z32" s="1262" t="str">
        <f t="shared" si="12"/>
        <v>车位类型</v>
      </c>
      <c r="AA32" s="1262">
        <f t="shared" si="3"/>
        <v>1</v>
      </c>
      <c r="AB32" s="1262">
        <f t="shared" si="4"/>
        <v>1</v>
      </c>
      <c r="AC32" s="1262">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1"/>
      <c r="Q33" s="1261" t="str">
        <f t="shared" si="8"/>
        <v>是否直接入户</v>
      </c>
      <c r="R33" s="666" t="s">
        <v>14</v>
      </c>
      <c r="S33" s="667">
        <f t="shared" si="9"/>
        <v>100</v>
      </c>
      <c r="T33" s="666" t="s">
        <v>14</v>
      </c>
      <c r="U33" s="667">
        <f t="shared" si="10"/>
        <v>100</v>
      </c>
      <c r="V33" s="666" t="s">
        <v>14</v>
      </c>
      <c r="W33" s="667">
        <f t="shared" si="11"/>
        <v>100</v>
      </c>
      <c r="X33" s="1263"/>
      <c r="Y33" s="3371"/>
      <c r="Z33" s="1262" t="str">
        <f t="shared" si="12"/>
        <v>是否直接入户</v>
      </c>
      <c r="AA33" s="1262">
        <f t="shared" si="3"/>
        <v>1</v>
      </c>
      <c r="AB33" s="1262">
        <f t="shared" si="4"/>
        <v>1</v>
      </c>
      <c r="AC33" s="1262">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1"/>
      <c r="Q34" s="1261">
        <f t="shared" si="8"/>
        <v>111</v>
      </c>
      <c r="R34" s="666" t="s">
        <v>14</v>
      </c>
      <c r="S34" s="667">
        <f t="shared" si="9"/>
        <v>100</v>
      </c>
      <c r="T34" s="666" t="s">
        <v>14</v>
      </c>
      <c r="U34" s="667">
        <f t="shared" si="10"/>
        <v>100</v>
      </c>
      <c r="V34" s="666" t="s">
        <v>14</v>
      </c>
      <c r="W34" s="667">
        <f t="shared" si="11"/>
        <v>100</v>
      </c>
      <c r="X34" s="1263"/>
      <c r="Y34" s="3371"/>
      <c r="Z34" s="1262">
        <f t="shared" si="12"/>
        <v>111</v>
      </c>
      <c r="AA34" s="1262">
        <f t="shared" si="3"/>
        <v>1</v>
      </c>
      <c r="AB34" s="1262">
        <f t="shared" si="4"/>
        <v>1</v>
      </c>
      <c r="AC34" s="1262">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1"/>
      <c r="Q35" s="531">
        <f t="shared" si="8"/>
        <v>111</v>
      </c>
      <c r="R35" s="668" t="s">
        <v>14</v>
      </c>
      <c r="S35" s="669">
        <f t="shared" si="9"/>
        <v>100</v>
      </c>
      <c r="T35" s="668" t="s">
        <v>14</v>
      </c>
      <c r="U35" s="669">
        <f t="shared" si="10"/>
        <v>100</v>
      </c>
      <c r="V35" s="668" t="s">
        <v>14</v>
      </c>
      <c r="W35" s="669">
        <f t="shared" si="11"/>
        <v>100</v>
      </c>
      <c r="X35" s="670"/>
      <c r="Y35" s="3371"/>
      <c r="Z35" s="671">
        <f t="shared" si="12"/>
        <v>111</v>
      </c>
      <c r="AA35" s="1262">
        <f t="shared" si="3"/>
        <v>1</v>
      </c>
      <c r="AB35" s="1262">
        <f t="shared" si="4"/>
        <v>1</v>
      </c>
      <c r="AC35" s="1262">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1"/>
      <c r="Q36" s="1261">
        <f t="shared" si="8"/>
        <v>111</v>
      </c>
      <c r="R36" s="666" t="s">
        <v>14</v>
      </c>
      <c r="S36" s="667">
        <f t="shared" si="9"/>
        <v>100</v>
      </c>
      <c r="T36" s="666" t="s">
        <v>14</v>
      </c>
      <c r="U36" s="667">
        <f t="shared" si="10"/>
        <v>100</v>
      </c>
      <c r="V36" s="666" t="s">
        <v>14</v>
      </c>
      <c r="W36" s="667">
        <f t="shared" si="11"/>
        <v>100</v>
      </c>
      <c r="X36" s="1263"/>
      <c r="Y36" s="3371"/>
      <c r="Z36" s="1262">
        <f t="shared" si="12"/>
        <v>111</v>
      </c>
      <c r="AA36" s="1262">
        <f t="shared" si="3"/>
        <v>1</v>
      </c>
      <c r="AB36" s="1262">
        <f t="shared" si="4"/>
        <v>1</v>
      </c>
      <c r="AC36" s="1262">
        <f t="shared" si="5"/>
        <v>1</v>
      </c>
    </row>
    <row r="37" spans="1:29" ht="15">
      <c r="A37" s="416" t="s">
        <v>1843</v>
      </c>
      <c r="B37" s="1819" t="s">
        <v>3350</v>
      </c>
      <c r="C37" s="1080" t="s">
        <v>0</v>
      </c>
      <c r="D37" s="418"/>
      <c r="E37" s="419"/>
      <c r="F37" s="420"/>
      <c r="G37" s="421"/>
      <c r="H37" s="422"/>
      <c r="I37" s="419"/>
      <c r="J37" s="422"/>
      <c r="K37" s="544"/>
      <c r="L37" s="2493"/>
      <c r="M37" s="2486"/>
      <c r="N37" s="2486"/>
      <c r="O37" s="2486"/>
      <c r="P37" s="3359" t="str">
        <f>A37</f>
        <v>成交单价</v>
      </c>
      <c r="Q37" s="3359"/>
      <c r="R37" s="3360">
        <f>E37</f>
        <v>0</v>
      </c>
      <c r="S37" s="3360"/>
      <c r="T37" s="3360">
        <f>G37</f>
        <v>0</v>
      </c>
      <c r="U37" s="3360"/>
      <c r="V37" s="3360">
        <f>I37</f>
        <v>0</v>
      </c>
      <c r="W37" s="3360"/>
      <c r="X37" s="385"/>
      <c r="Y37" s="672"/>
      <c r="Z37" s="385"/>
      <c r="AA37" s="385"/>
      <c r="AB37" s="385"/>
      <c r="AC37" s="385"/>
    </row>
    <row r="38" spans="1:29" ht="15.75" thickBot="1">
      <c r="A38" s="423" t="s">
        <v>1844</v>
      </c>
      <c r="B38" s="424" t="str">
        <f>B37</f>
        <v>元/平方米</v>
      </c>
      <c r="C38" s="1081" t="e">
        <f>R39</f>
        <v>#DIV/0!</v>
      </c>
      <c r="D38" s="2139" t="s">
        <v>2133</v>
      </c>
      <c r="E38" s="1082" t="e">
        <f>R38</f>
        <v>#DIV/0!</v>
      </c>
      <c r="F38" s="2140"/>
      <c r="G38" s="1081" t="e">
        <f>T38</f>
        <v>#DIV/0!</v>
      </c>
      <c r="H38" s="2140"/>
      <c r="I38" s="1082" t="e">
        <f>V38</f>
        <v>#DIV/0!</v>
      </c>
      <c r="J38" s="2140"/>
      <c r="K38" s="2142">
        <f>F38+H38+J38</f>
        <v>0</v>
      </c>
      <c r="L38" s="2493"/>
      <c r="M38" s="2486"/>
      <c r="N38" s="2486"/>
      <c r="O38" s="2486"/>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3"/>
      <c r="M39" s="2486"/>
      <c r="N39" s="2486"/>
      <c r="O39" s="2486"/>
      <c r="P39" s="3414" t="str">
        <f>A39</f>
        <v>估价对象XX用房的比较价值（楼面单价，元/平方米）</v>
      </c>
      <c r="Q39" s="3415"/>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1849</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1850</v>
      </c>
      <c r="B48" s="441"/>
      <c r="C48" s="1102" t="str">
        <f>YEAR(C7)&amp;"-"&amp;MONTH(C7)</f>
        <v>2023-5</v>
      </c>
      <c r="D48" s="1103">
        <f>EDATE(C48,-1)</f>
        <v>45017</v>
      </c>
      <c r="E48" s="1103">
        <f t="shared" ref="E48:O48" si="13">EDATE(D48,-1)</f>
        <v>44986</v>
      </c>
      <c r="F48" s="1103">
        <f t="shared" si="13"/>
        <v>44958</v>
      </c>
      <c r="G48" s="1103">
        <f t="shared" si="13"/>
        <v>44927</v>
      </c>
      <c r="H48" s="1103">
        <f t="shared" si="13"/>
        <v>44896</v>
      </c>
      <c r="I48" s="1103">
        <f t="shared" si="13"/>
        <v>44866</v>
      </c>
      <c r="J48" s="1103">
        <f t="shared" si="13"/>
        <v>44835</v>
      </c>
      <c r="K48" s="1103">
        <f t="shared" si="13"/>
        <v>44805</v>
      </c>
      <c r="L48" s="1103">
        <f t="shared" si="13"/>
        <v>44774</v>
      </c>
      <c r="M48" s="1103">
        <f t="shared" si="13"/>
        <v>44743</v>
      </c>
      <c r="N48" s="1103">
        <f t="shared" si="13"/>
        <v>44713</v>
      </c>
      <c r="O48" s="1103">
        <f t="shared" si="13"/>
        <v>44682</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1715</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1680</v>
      </c>
      <c r="B51" s="444"/>
      <c r="C51" s="456" t="s">
        <v>1775</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1718</v>
      </c>
      <c r="B53" s="460" t="s">
        <v>1684</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1687</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1726</v>
      </c>
      <c r="C65" s="509" t="s">
        <v>1720</v>
      </c>
      <c r="D65" s="509" t="s">
        <v>1721</v>
      </c>
      <c r="E65" s="509" t="s">
        <v>1722</v>
      </c>
      <c r="F65" s="509" t="s">
        <v>1723</v>
      </c>
      <c r="G65" s="509" t="s">
        <v>1724</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1812</v>
      </c>
      <c r="C67" s="580" t="s">
        <v>1798</v>
      </c>
      <c r="D67" s="580" t="s">
        <v>1799</v>
      </c>
      <c r="E67" s="580" t="s">
        <v>1800</v>
      </c>
      <c r="F67" s="580" t="s">
        <v>1801</v>
      </c>
      <c r="G67" s="580" t="s">
        <v>1802</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1732</v>
      </c>
      <c r="C69" s="509" t="s">
        <v>1720</v>
      </c>
      <c r="D69" s="509" t="s">
        <v>1721</v>
      </c>
      <c r="E69" s="509" t="s">
        <v>1722</v>
      </c>
      <c r="F69" s="509" t="s">
        <v>1723</v>
      </c>
      <c r="G69" s="509" t="s">
        <v>1724</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1851</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1693</v>
      </c>
      <c r="B79" s="460" t="s">
        <v>1852</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1853</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1739</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1855</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1856</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1857</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1858</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3330</v>
      </c>
      <c r="C1" s="1140" t="s">
        <v>1661</v>
      </c>
      <c r="D1" s="1141"/>
      <c r="E1" s="3130"/>
      <c r="F1" s="1733"/>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1768</v>
      </c>
      <c r="B4" s="346"/>
      <c r="C4" s="3376" t="s">
        <v>1769</v>
      </c>
      <c r="D4" s="3377"/>
      <c r="E4" s="3378" t="s">
        <v>1770</v>
      </c>
      <c r="F4" s="3379"/>
      <c r="G4" s="3376" t="s">
        <v>1771</v>
      </c>
      <c r="H4" s="3377"/>
      <c r="I4" s="3376" t="s">
        <v>1772</v>
      </c>
      <c r="J4" s="3377"/>
      <c r="K4" s="537" t="s">
        <v>1773</v>
      </c>
      <c r="L4" s="2485"/>
      <c r="M4" s="2486"/>
      <c r="N4" s="2486"/>
      <c r="O4" s="2486"/>
      <c r="P4" s="3418" t="s">
        <v>1774</v>
      </c>
      <c r="Q4" s="3419"/>
      <c r="R4" s="3422" t="s">
        <v>1770</v>
      </c>
      <c r="S4" s="3423"/>
      <c r="T4" s="3422" t="s">
        <v>1771</v>
      </c>
      <c r="U4" s="3423"/>
      <c r="V4" s="3360" t="s">
        <v>1772</v>
      </c>
      <c r="W4" s="3360"/>
      <c r="X4" s="1263"/>
      <c r="Y4" s="3422" t="s">
        <v>1774</v>
      </c>
      <c r="Z4" s="3423"/>
      <c r="AA4" s="3417" t="s">
        <v>1770</v>
      </c>
      <c r="AB4" s="3406" t="s">
        <v>1771</v>
      </c>
      <c r="AC4" s="3417" t="s">
        <v>1772</v>
      </c>
    </row>
    <row r="5" spans="1:29" ht="15">
      <c r="A5" s="348"/>
      <c r="B5" s="349"/>
      <c r="C5" s="3401" t="s">
        <v>1672</v>
      </c>
      <c r="D5" s="3402"/>
      <c r="E5" s="3446" t="s">
        <v>1673</v>
      </c>
      <c r="F5" s="3396"/>
      <c r="G5" s="3401" t="s">
        <v>1674</v>
      </c>
      <c r="H5" s="3402"/>
      <c r="I5" s="3401" t="s">
        <v>1675</v>
      </c>
      <c r="J5" s="3402"/>
      <c r="K5" s="537"/>
      <c r="L5" s="2485"/>
      <c r="M5" s="2486"/>
      <c r="N5" s="2486"/>
      <c r="O5" s="2486"/>
      <c r="P5" s="3420"/>
      <c r="Q5" s="3383"/>
      <c r="R5" s="3388"/>
      <c r="S5" s="3389"/>
      <c r="T5" s="3388"/>
      <c r="U5" s="3389"/>
      <c r="V5" s="3360"/>
      <c r="W5" s="3360"/>
      <c r="X5" s="1263"/>
      <c r="Y5" s="3388"/>
      <c r="Z5" s="3389"/>
      <c r="AA5" s="3406"/>
      <c r="AB5" s="3406"/>
      <c r="AC5" s="3406"/>
    </row>
    <row r="6" spans="1:29" ht="15.75" thickBot="1">
      <c r="A6" s="350"/>
      <c r="B6" s="351"/>
      <c r="C6" s="3393" t="s">
        <v>1676</v>
      </c>
      <c r="D6" s="3394"/>
      <c r="E6" s="3403" t="s">
        <v>1676</v>
      </c>
      <c r="F6" s="3404"/>
      <c r="G6" s="3393" t="s">
        <v>1676</v>
      </c>
      <c r="H6" s="3394"/>
      <c r="I6" s="3393" t="s">
        <v>1676</v>
      </c>
      <c r="J6" s="3394"/>
      <c r="K6" s="537" t="s">
        <v>1677</v>
      </c>
      <c r="L6" s="2485"/>
      <c r="M6" s="2486"/>
      <c r="N6" s="2486"/>
      <c r="O6" s="2486"/>
      <c r="P6" s="3421"/>
      <c r="Q6" s="3385"/>
      <c r="R6" s="3388"/>
      <c r="S6" s="3389"/>
      <c r="T6" s="3390"/>
      <c r="U6" s="3391"/>
      <c r="V6" s="3360"/>
      <c r="W6" s="3360"/>
      <c r="X6" s="1263"/>
      <c r="Y6" s="3390"/>
      <c r="Z6" s="3391"/>
      <c r="AA6" s="3407"/>
      <c r="AB6" s="3407"/>
      <c r="AC6" s="3407"/>
    </row>
    <row r="7" spans="1:29" s="102" customFormat="1" ht="15.75" thickBot="1">
      <c r="A7" s="352" t="s">
        <v>1678</v>
      </c>
      <c r="B7" s="353"/>
      <c r="C7" s="354">
        <f>'数据-取费表'!B2</f>
        <v>45065</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99" t="s">
        <v>1679</v>
      </c>
      <c r="Q7" s="3400"/>
      <c r="R7" s="663" t="s">
        <v>14</v>
      </c>
      <c r="S7" s="664">
        <f t="shared" ref="S7:S14" si="0">F7</f>
        <v>0</v>
      </c>
      <c r="T7" s="663" t="s">
        <v>14</v>
      </c>
      <c r="U7" s="664">
        <f t="shared" ref="U7:U14" si="1">H7</f>
        <v>0</v>
      </c>
      <c r="V7" s="663" t="s">
        <v>14</v>
      </c>
      <c r="W7" s="664">
        <f t="shared" ref="W7:W14" si="2">J7</f>
        <v>0</v>
      </c>
      <c r="X7" s="665"/>
      <c r="Y7" s="3399" t="s">
        <v>1679</v>
      </c>
      <c r="Z7" s="3398"/>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99" t="s">
        <v>1682</v>
      </c>
      <c r="Q8" s="3398"/>
      <c r="R8" s="663" t="s">
        <v>14</v>
      </c>
      <c r="S8" s="664">
        <f t="shared" si="0"/>
        <v>100</v>
      </c>
      <c r="T8" s="663" t="s">
        <v>14</v>
      </c>
      <c r="U8" s="664">
        <f t="shared" si="1"/>
        <v>100</v>
      </c>
      <c r="V8" s="663" t="s">
        <v>14</v>
      </c>
      <c r="W8" s="664">
        <f t="shared" si="2"/>
        <v>100</v>
      </c>
      <c r="X8" s="665"/>
      <c r="Y8" s="3399" t="s">
        <v>1682</v>
      </c>
      <c r="Z8" s="3398"/>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59" t="s">
        <v>1685</v>
      </c>
      <c r="Q9" s="530" t="str">
        <f t="shared" ref="Q9:Q14" si="6">B9</f>
        <v>用途</v>
      </c>
      <c r="R9" s="663" t="s">
        <v>14</v>
      </c>
      <c r="S9" s="664">
        <f t="shared" si="0"/>
        <v>100</v>
      </c>
      <c r="T9" s="663" t="s">
        <v>14</v>
      </c>
      <c r="U9" s="664">
        <f t="shared" si="1"/>
        <v>100</v>
      </c>
      <c r="V9" s="663" t="s">
        <v>14</v>
      </c>
      <c r="W9" s="664">
        <f t="shared" si="2"/>
        <v>100</v>
      </c>
      <c r="X9" s="665"/>
      <c r="Y9" s="3257" t="s">
        <v>1686</v>
      </c>
      <c r="Z9" s="50" t="str">
        <f t="shared" ref="Z9:Z14" si="7">Q9</f>
        <v>用途</v>
      </c>
      <c r="AA9" s="50">
        <f t="shared" si="3"/>
        <v>1</v>
      </c>
      <c r="AB9" s="50">
        <f t="shared" si="4"/>
        <v>1</v>
      </c>
      <c r="AC9" s="50">
        <f t="shared" si="5"/>
        <v>1</v>
      </c>
    </row>
    <row r="10" spans="1:29" s="366" customFormat="1" ht="27">
      <c r="A10" s="363"/>
      <c r="B10" s="364" t="s">
        <v>1687</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9"/>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9"/>
      <c r="Q11" s="530">
        <f t="shared" si="6"/>
        <v>111</v>
      </c>
      <c r="R11" s="663" t="s">
        <v>14</v>
      </c>
      <c r="S11" s="664">
        <f t="shared" si="0"/>
        <v>100</v>
      </c>
      <c r="T11" s="663" t="s">
        <v>14</v>
      </c>
      <c r="U11" s="664">
        <f t="shared" si="1"/>
        <v>100</v>
      </c>
      <c r="V11" s="663" t="s">
        <v>14</v>
      </c>
      <c r="W11" s="664">
        <f t="shared" si="2"/>
        <v>100</v>
      </c>
      <c r="X11" s="665"/>
      <c r="Y11" s="32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59"/>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59"/>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142.5">
      <c r="A14" s="379" t="s">
        <v>1689</v>
      </c>
      <c r="B14" s="58" t="s">
        <v>1832</v>
      </c>
      <c r="C14" s="1817" t="str">
        <f>IF(B1="工业",估价对象房地状况!G4,估价对象房地状况!C6)</f>
        <v>估价对象周边道路状况较好、有7、16、105等公交线路及地铁2、4号线经过，公共交通通达情况较好、停车便捷程度一般，综合评价交通便捷度较好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6" t="s">
        <v>1690</v>
      </c>
      <c r="Q14" s="1261" t="str">
        <f t="shared" si="6"/>
        <v>交通便捷度</v>
      </c>
      <c r="R14" s="666" t="s">
        <v>14</v>
      </c>
      <c r="S14" s="667">
        <f t="shared" si="0"/>
        <v>100</v>
      </c>
      <c r="T14" s="666" t="s">
        <v>14</v>
      </c>
      <c r="U14" s="667">
        <f t="shared" si="1"/>
        <v>100</v>
      </c>
      <c r="V14" s="666" t="s">
        <v>14</v>
      </c>
      <c r="W14" s="667">
        <f t="shared" si="2"/>
        <v>100</v>
      </c>
      <c r="X14" s="1263"/>
      <c r="Y14" s="3366" t="s">
        <v>1690</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367"/>
      <c r="Q15" s="1261"/>
      <c r="R15" s="666"/>
      <c r="S15" s="667"/>
      <c r="T15" s="666"/>
      <c r="U15" s="667"/>
      <c r="V15" s="666"/>
      <c r="W15" s="667"/>
      <c r="X15" s="1263"/>
      <c r="Y15" s="3367"/>
      <c r="Z15" s="1262"/>
      <c r="AA15" s="1262">
        <v>1</v>
      </c>
      <c r="AB15" s="1262">
        <v>1</v>
      </c>
      <c r="AC15" s="1262">
        <v>1</v>
      </c>
    </row>
    <row r="16" spans="1:29" ht="42.75">
      <c r="A16" s="367"/>
      <c r="B16" s="390" t="s">
        <v>1811</v>
      </c>
      <c r="C16" s="1752"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7"/>
      <c r="Q16" s="1261" t="str">
        <f>B16</f>
        <v>公共配套设施</v>
      </c>
      <c r="R16" s="666" t="s">
        <v>14</v>
      </c>
      <c r="S16" s="667">
        <f>F16</f>
        <v>100</v>
      </c>
      <c r="T16" s="666" t="s">
        <v>14</v>
      </c>
      <c r="U16" s="667">
        <f>H16</f>
        <v>100</v>
      </c>
      <c r="V16" s="666" t="s">
        <v>14</v>
      </c>
      <c r="W16" s="667">
        <f>J16</f>
        <v>100</v>
      </c>
      <c r="X16" s="1263"/>
      <c r="Y16" s="3367"/>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367"/>
      <c r="Q17" s="1261"/>
      <c r="R17" s="666"/>
      <c r="S17" s="667"/>
      <c r="T17" s="666"/>
      <c r="U17" s="667"/>
      <c r="V17" s="666"/>
      <c r="W17" s="667"/>
      <c r="X17" s="1263"/>
      <c r="Y17" s="3367"/>
      <c r="Z17" s="1262"/>
      <c r="AA17" s="1262">
        <v>1</v>
      </c>
      <c r="AB17" s="1262">
        <v>1</v>
      </c>
      <c r="AC17" s="1262">
        <v>1</v>
      </c>
    </row>
    <row r="18" spans="1:29" ht="42.75">
      <c r="A18" s="367"/>
      <c r="B18" s="585" t="s">
        <v>1812</v>
      </c>
      <c r="C18" s="1752"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7"/>
      <c r="Q18" s="1261" t="str">
        <f>B18</f>
        <v>基础设施水平</v>
      </c>
      <c r="R18" s="666" t="s">
        <v>14</v>
      </c>
      <c r="S18" s="667">
        <f>F18</f>
        <v>100</v>
      </c>
      <c r="T18" s="666" t="s">
        <v>14</v>
      </c>
      <c r="U18" s="667">
        <f>H18</f>
        <v>100</v>
      </c>
      <c r="V18" s="666" t="s">
        <v>14</v>
      </c>
      <c r="W18" s="667">
        <f>J18</f>
        <v>100</v>
      </c>
      <c r="X18" s="1263"/>
      <c r="Y18" s="3367"/>
      <c r="Z18" s="1262" t="str">
        <f>Q18</f>
        <v>基础设施水平</v>
      </c>
      <c r="AA18" s="1262">
        <f>D18/F18</f>
        <v>1</v>
      </c>
      <c r="AB18" s="1262">
        <f>D18/H18</f>
        <v>1</v>
      </c>
      <c r="AC18" s="1262">
        <f>D18/J18</f>
        <v>1</v>
      </c>
    </row>
    <row r="19" spans="1:29" ht="15">
      <c r="A19" s="367"/>
      <c r="B19" s="585"/>
      <c r="C19" s="1753"/>
      <c r="D19" s="389"/>
      <c r="E19" s="1753"/>
      <c r="F19" s="392"/>
      <c r="G19" s="1753"/>
      <c r="H19" s="387"/>
      <c r="I19" s="386"/>
      <c r="J19" s="387"/>
      <c r="K19" s="1063"/>
      <c r="L19" s="2491"/>
      <c r="M19" s="2486"/>
      <c r="N19" s="2486"/>
      <c r="O19" s="2541"/>
      <c r="P19" s="3367"/>
      <c r="Q19" s="1261"/>
      <c r="R19" s="666"/>
      <c r="S19" s="667"/>
      <c r="T19" s="666"/>
      <c r="U19" s="667"/>
      <c r="V19" s="666"/>
      <c r="W19" s="667"/>
      <c r="X19" s="1263"/>
      <c r="Y19" s="3367"/>
      <c r="Z19" s="1262"/>
      <c r="AA19" s="1262">
        <v>1</v>
      </c>
      <c r="AB19" s="1262">
        <v>1</v>
      </c>
      <c r="AC19" s="1262">
        <v>1</v>
      </c>
    </row>
    <row r="20" spans="1:29" ht="99.75">
      <c r="A20" s="367"/>
      <c r="B20" s="390" t="s">
        <v>1833</v>
      </c>
      <c r="C20" s="1752" t="str">
        <f>IF(B1="工业",估价对象房地状况!G7,估价对象房地状况!C9)</f>
        <v>区域自然环境：北京动物园、官园公园；人文环境：北京天文馆、北京建筑大学；综合评价环境状况较好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7"/>
      <c r="Q20" s="1261" t="str">
        <f>B20</f>
        <v>自然及人文环境</v>
      </c>
      <c r="R20" s="666" t="s">
        <v>14</v>
      </c>
      <c r="S20" s="667">
        <f>F20</f>
        <v>100</v>
      </c>
      <c r="T20" s="666" t="s">
        <v>14</v>
      </c>
      <c r="U20" s="667">
        <f>H20</f>
        <v>100</v>
      </c>
      <c r="V20" s="666" t="s">
        <v>14</v>
      </c>
      <c r="W20" s="667">
        <f>J20</f>
        <v>100</v>
      </c>
      <c r="X20" s="1263"/>
      <c r="Y20" s="3367"/>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367"/>
      <c r="Q21" s="1261"/>
      <c r="R21" s="666"/>
      <c r="S21" s="667"/>
      <c r="T21" s="666"/>
      <c r="U21" s="667"/>
      <c r="V21" s="666"/>
      <c r="W21" s="667"/>
      <c r="X21" s="1263"/>
      <c r="Y21" s="3367"/>
      <c r="Z21" s="1262"/>
      <c r="AA21" s="1262">
        <v>1</v>
      </c>
      <c r="AB21" s="1262">
        <v>1</v>
      </c>
      <c r="AC21" s="1262">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7"/>
      <c r="Q22" s="1261" t="str">
        <f>B22</f>
        <v>楼层</v>
      </c>
      <c r="R22" s="666" t="s">
        <v>14</v>
      </c>
      <c r="S22" s="667">
        <f>F22</f>
        <v>100</v>
      </c>
      <c r="T22" s="666" t="s">
        <v>14</v>
      </c>
      <c r="U22" s="667">
        <f>H22</f>
        <v>100</v>
      </c>
      <c r="V22" s="666" t="s">
        <v>14</v>
      </c>
      <c r="W22" s="667">
        <f>J22</f>
        <v>100</v>
      </c>
      <c r="X22" s="1263"/>
      <c r="Y22" s="3367"/>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7"/>
      <c r="Q23" s="1261">
        <f>B23</f>
        <v>111</v>
      </c>
      <c r="R23" s="666" t="s">
        <v>14</v>
      </c>
      <c r="S23" s="667">
        <f>F23</f>
        <v>100</v>
      </c>
      <c r="T23" s="666" t="s">
        <v>14</v>
      </c>
      <c r="U23" s="667">
        <f>H23</f>
        <v>100</v>
      </c>
      <c r="V23" s="666" t="s">
        <v>14</v>
      </c>
      <c r="W23" s="667">
        <f>J23</f>
        <v>100</v>
      </c>
      <c r="X23" s="1263"/>
      <c r="Y23" s="3367"/>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7"/>
      <c r="Q24" s="1261">
        <f t="shared" ref="Q24:Q34" si="8">B24</f>
        <v>111</v>
      </c>
      <c r="R24" s="666" t="s">
        <v>14</v>
      </c>
      <c r="S24" s="667">
        <f>F24</f>
        <v>100</v>
      </c>
      <c r="T24" s="666" t="s">
        <v>14</v>
      </c>
      <c r="U24" s="667">
        <f>H24</f>
        <v>100</v>
      </c>
      <c r="V24" s="666" t="s">
        <v>14</v>
      </c>
      <c r="W24" s="667">
        <f>J24</f>
        <v>100</v>
      </c>
      <c r="X24" s="1263"/>
      <c r="Y24" s="3367"/>
      <c r="Z24" s="1262">
        <f>Q24</f>
        <v>111</v>
      </c>
      <c r="AA24" s="1262">
        <f t="shared" si="3"/>
        <v>1</v>
      </c>
      <c r="AB24" s="1262">
        <f t="shared" si="4"/>
        <v>1</v>
      </c>
      <c r="AC24" s="1262">
        <f t="shared" si="5"/>
        <v>1</v>
      </c>
    </row>
    <row r="25" spans="1:29" s="102" customFormat="1" ht="15.75"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7"/>
      <c r="M25" s="2438"/>
      <c r="N25" s="2438"/>
      <c r="O25" s="2539"/>
      <c r="P25" s="3367"/>
      <c r="Q25" s="530">
        <f t="shared" si="8"/>
        <v>111</v>
      </c>
      <c r="R25" s="663" t="s">
        <v>14</v>
      </c>
      <c r="S25" s="664">
        <f>F25</f>
        <v>100</v>
      </c>
      <c r="T25" s="663" t="s">
        <v>14</v>
      </c>
      <c r="U25" s="664">
        <f>H25</f>
        <v>100</v>
      </c>
      <c r="V25" s="663" t="s">
        <v>14</v>
      </c>
      <c r="W25" s="664">
        <f>J25</f>
        <v>100</v>
      </c>
      <c r="X25" s="665"/>
      <c r="Y25" s="3367"/>
      <c r="Z25" s="50">
        <f>Q25</f>
        <v>111</v>
      </c>
      <c r="AA25" s="1262">
        <f>D25/F25</f>
        <v>1</v>
      </c>
      <c r="AB25" s="1262">
        <f>D25/H25</f>
        <v>1</v>
      </c>
      <c r="AC25" s="1262">
        <f>D25/J25</f>
        <v>1</v>
      </c>
    </row>
    <row r="26" spans="1:29" ht="28.5">
      <c r="A26" s="404" t="s">
        <v>1693</v>
      </c>
      <c r="B26" s="60" t="s">
        <v>1837</v>
      </c>
      <c r="C26" s="1762"/>
      <c r="D26" s="405">
        <v>100</v>
      </c>
      <c r="E26" s="1762"/>
      <c r="F26" s="586">
        <f>SUMIF(77:77,E26,78:78)-SUMIF(77:77,C26,78:78)+100</f>
        <v>100</v>
      </c>
      <c r="G26" s="1762"/>
      <c r="H26" s="405">
        <f>SUMIF(77:77,G26,78:78)-SUMIF(77:77,C26,78:78)+100</f>
        <v>100</v>
      </c>
      <c r="I26" s="1762"/>
      <c r="J26" s="405">
        <f>SUMIF(77:77,I26,78:78)-SUMIF(77:77,C26,78:78)+100</f>
        <v>100</v>
      </c>
      <c r="K26" s="538"/>
      <c r="L26" s="2491"/>
      <c r="M26" s="2486"/>
      <c r="N26" s="2486"/>
      <c r="O26" s="2541"/>
      <c r="P26" s="3447" t="s">
        <v>1695</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371" t="s">
        <v>1695</v>
      </c>
      <c r="Z26" s="1262" t="str">
        <f t="shared" ref="Z26:Z34" si="12">Q26</f>
        <v>公共部分装修</v>
      </c>
      <c r="AA26" s="1262">
        <f t="shared" si="3"/>
        <v>1</v>
      </c>
      <c r="AB26" s="1262">
        <f t="shared" si="4"/>
        <v>1</v>
      </c>
      <c r="AC26" s="1262">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1"/>
      <c r="Q27" s="531" t="str">
        <f t="shared" si="8"/>
        <v>成新率</v>
      </c>
      <c r="R27" s="668" t="s">
        <v>14</v>
      </c>
      <c r="S27" s="669" t="e">
        <f t="shared" si="9"/>
        <v>#N/A</v>
      </c>
      <c r="T27" s="668" t="s">
        <v>14</v>
      </c>
      <c r="U27" s="669" t="e">
        <f t="shared" si="10"/>
        <v>#N/A</v>
      </c>
      <c r="V27" s="668" t="s">
        <v>14</v>
      </c>
      <c r="W27" s="669" t="e">
        <f t="shared" si="11"/>
        <v>#N/A</v>
      </c>
      <c r="X27" s="670"/>
      <c r="Y27" s="3371"/>
      <c r="Z27" s="671" t="str">
        <f t="shared" si="12"/>
        <v>成新率</v>
      </c>
      <c r="AA27" s="1262" t="e">
        <f t="shared" si="3"/>
        <v>#N/A</v>
      </c>
      <c r="AB27" s="1262" t="e">
        <f t="shared" si="4"/>
        <v>#N/A</v>
      </c>
      <c r="AC27" s="1262"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1"/>
      <c r="Q28" s="1261" t="str">
        <f t="shared" si="8"/>
        <v>物业等级</v>
      </c>
      <c r="R28" s="666" t="s">
        <v>14</v>
      </c>
      <c r="S28" s="667">
        <f t="shared" si="9"/>
        <v>100</v>
      </c>
      <c r="T28" s="666" t="s">
        <v>14</v>
      </c>
      <c r="U28" s="667">
        <f t="shared" si="10"/>
        <v>100</v>
      </c>
      <c r="V28" s="666" t="s">
        <v>14</v>
      </c>
      <c r="W28" s="667">
        <f t="shared" si="11"/>
        <v>100</v>
      </c>
      <c r="X28" s="1263"/>
      <c r="Y28" s="3371"/>
      <c r="Z28" s="1262" t="str">
        <f t="shared" si="12"/>
        <v>物业等级</v>
      </c>
      <c r="AA28" s="1262">
        <f t="shared" si="3"/>
        <v>1</v>
      </c>
      <c r="AB28" s="1262">
        <f t="shared" si="4"/>
        <v>1</v>
      </c>
      <c r="AC28" s="1262">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371"/>
      <c r="Q29" s="1261" t="str">
        <f t="shared" si="8"/>
        <v>有无电梯</v>
      </c>
      <c r="R29" s="666" t="s">
        <v>14</v>
      </c>
      <c r="S29" s="667">
        <f t="shared" si="9"/>
        <v>100</v>
      </c>
      <c r="T29" s="666" t="s">
        <v>14</v>
      </c>
      <c r="U29" s="667">
        <f t="shared" si="10"/>
        <v>100</v>
      </c>
      <c r="V29" s="666" t="s">
        <v>14</v>
      </c>
      <c r="W29" s="667">
        <f t="shared" si="11"/>
        <v>100</v>
      </c>
      <c r="X29" s="1263"/>
      <c r="Y29" s="3371"/>
      <c r="Z29" s="1262" t="str">
        <f t="shared" si="12"/>
        <v>有无电梯</v>
      </c>
      <c r="AA29" s="1262">
        <f t="shared" si="3"/>
        <v>1</v>
      </c>
      <c r="AB29" s="1262">
        <f t="shared" si="4"/>
        <v>1</v>
      </c>
      <c r="AC29" s="1262">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1"/>
      <c r="Q30" s="1261" t="str">
        <f t="shared" si="8"/>
        <v>建筑面积</v>
      </c>
      <c r="R30" s="666" t="s">
        <v>14</v>
      </c>
      <c r="S30" s="667" t="e">
        <f t="shared" si="9"/>
        <v>#N/A</v>
      </c>
      <c r="T30" s="666" t="s">
        <v>14</v>
      </c>
      <c r="U30" s="667" t="e">
        <f t="shared" si="10"/>
        <v>#N/A</v>
      </c>
      <c r="V30" s="666" t="s">
        <v>14</v>
      </c>
      <c r="W30" s="667" t="e">
        <f t="shared" si="11"/>
        <v>#N/A</v>
      </c>
      <c r="X30" s="1263"/>
      <c r="Y30" s="3371"/>
      <c r="Z30" s="1262" t="str">
        <f t="shared" si="12"/>
        <v>建筑面积</v>
      </c>
      <c r="AA30" s="1262" t="e">
        <f t="shared" si="3"/>
        <v>#N/A</v>
      </c>
      <c r="AB30" s="1262" t="e">
        <f t="shared" si="4"/>
        <v>#N/A</v>
      </c>
      <c r="AC30" s="1262"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8"/>
      <c r="N31" s="2438"/>
      <c r="O31" s="2539"/>
      <c r="P31" s="3371"/>
      <c r="Q31" s="530" t="str">
        <f t="shared" si="8"/>
        <v>是否封闭</v>
      </c>
      <c r="R31" s="663" t="s">
        <v>14</v>
      </c>
      <c r="S31" s="664">
        <f t="shared" si="9"/>
        <v>100</v>
      </c>
      <c r="T31" s="663" t="s">
        <v>14</v>
      </c>
      <c r="U31" s="664">
        <f t="shared" si="10"/>
        <v>100</v>
      </c>
      <c r="V31" s="663" t="s">
        <v>14</v>
      </c>
      <c r="W31" s="664">
        <f t="shared" si="11"/>
        <v>100</v>
      </c>
      <c r="X31" s="665"/>
      <c r="Y31" s="3371"/>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1" t="s">
        <v>1695</v>
      </c>
      <c r="Q32" s="1261">
        <f t="shared" si="8"/>
        <v>111</v>
      </c>
      <c r="R32" s="666" t="s">
        <v>14</v>
      </c>
      <c r="S32" s="667">
        <f t="shared" si="9"/>
        <v>100</v>
      </c>
      <c r="T32" s="666" t="s">
        <v>14</v>
      </c>
      <c r="U32" s="667">
        <f t="shared" si="10"/>
        <v>100</v>
      </c>
      <c r="V32" s="666" t="s">
        <v>14</v>
      </c>
      <c r="W32" s="667">
        <f t="shared" si="11"/>
        <v>100</v>
      </c>
      <c r="X32" s="1263"/>
      <c r="Y32" s="3371" t="s">
        <v>1695</v>
      </c>
      <c r="Z32" s="1262">
        <f t="shared" si="12"/>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1"/>
      <c r="Q33" s="1261">
        <f t="shared" si="8"/>
        <v>111</v>
      </c>
      <c r="R33" s="666" t="s">
        <v>14</v>
      </c>
      <c r="S33" s="667">
        <f t="shared" si="9"/>
        <v>100</v>
      </c>
      <c r="T33" s="666" t="s">
        <v>14</v>
      </c>
      <c r="U33" s="667">
        <f t="shared" si="10"/>
        <v>100</v>
      </c>
      <c r="V33" s="666" t="s">
        <v>14</v>
      </c>
      <c r="W33" s="667">
        <f t="shared" si="11"/>
        <v>100</v>
      </c>
      <c r="X33" s="1263"/>
      <c r="Y33" s="3371"/>
      <c r="Z33" s="1262">
        <f t="shared" si="12"/>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71"/>
      <c r="Q34" s="1261">
        <f t="shared" si="8"/>
        <v>111</v>
      </c>
      <c r="R34" s="666" t="s">
        <v>14</v>
      </c>
      <c r="S34" s="667">
        <f t="shared" si="9"/>
        <v>100</v>
      </c>
      <c r="T34" s="666" t="s">
        <v>14</v>
      </c>
      <c r="U34" s="667">
        <f t="shared" si="10"/>
        <v>100</v>
      </c>
      <c r="V34" s="666" t="s">
        <v>14</v>
      </c>
      <c r="W34" s="667">
        <f t="shared" si="11"/>
        <v>100</v>
      </c>
      <c r="X34" s="1263"/>
      <c r="Y34" s="3371"/>
      <c r="Z34" s="1262">
        <f t="shared" si="12"/>
        <v>111</v>
      </c>
      <c r="AA34" s="1262">
        <f t="shared" si="3"/>
        <v>1</v>
      </c>
      <c r="AB34" s="1262">
        <f t="shared" si="4"/>
        <v>1</v>
      </c>
      <c r="AC34" s="1262">
        <f t="shared" si="5"/>
        <v>1</v>
      </c>
    </row>
    <row r="35" spans="1:30" ht="15">
      <c r="A35" s="416" t="s">
        <v>1707</v>
      </c>
      <c r="B35" s="417"/>
      <c r="C35" s="1080" t="s">
        <v>0</v>
      </c>
      <c r="D35" s="418"/>
      <c r="E35" s="419"/>
      <c r="F35" s="420"/>
      <c r="G35" s="421"/>
      <c r="H35" s="422"/>
      <c r="I35" s="419"/>
      <c r="J35" s="422"/>
      <c r="K35" s="673"/>
      <c r="L35" s="2493"/>
      <c r="M35" s="2486"/>
      <c r="N35" s="2486"/>
      <c r="O35" s="2486"/>
      <c r="P35" s="3359" t="str">
        <f>A35</f>
        <v>成交单价（元/平方米）</v>
      </c>
      <c r="Q35" s="3359"/>
      <c r="R35" s="3360">
        <f>E35</f>
        <v>0</v>
      </c>
      <c r="S35" s="3360"/>
      <c r="T35" s="3360">
        <f>G35</f>
        <v>0</v>
      </c>
      <c r="U35" s="3360"/>
      <c r="V35" s="3360">
        <f>I35</f>
        <v>0</v>
      </c>
      <c r="W35" s="3360"/>
      <c r="X35" s="385"/>
      <c r="Y35" s="672"/>
      <c r="Z35" s="385"/>
      <c r="AA35" s="385"/>
      <c r="AB35" s="385"/>
      <c r="AC35" s="385"/>
    </row>
    <row r="36" spans="1:30" ht="15.75" thickBot="1">
      <c r="A36" s="423" t="s">
        <v>1792</v>
      </c>
      <c r="B36" s="424"/>
      <c r="C36" s="1081" t="e">
        <f>R37</f>
        <v>#DIV/0!</v>
      </c>
      <c r="D36" s="2139" t="s">
        <v>2133</v>
      </c>
      <c r="E36" s="1082" t="e">
        <f>R36</f>
        <v>#DIV/0!</v>
      </c>
      <c r="F36" s="2140"/>
      <c r="G36" s="1081" t="e">
        <f>T36</f>
        <v>#DIV/0!</v>
      </c>
      <c r="H36" s="2140"/>
      <c r="I36" s="1082" t="e">
        <f>V36</f>
        <v>#DIV/0!</v>
      </c>
      <c r="J36" s="2140"/>
      <c r="K36" s="2142">
        <f>F36+H36+J36</f>
        <v>0</v>
      </c>
      <c r="L36" s="2493"/>
      <c r="M36" s="2486"/>
      <c r="N36" s="2486"/>
      <c r="O36" s="2486"/>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3"/>
      <c r="M37" s="2486"/>
      <c r="N37" s="2486"/>
      <c r="O37" s="2486"/>
      <c r="P37" s="3414" t="str">
        <f>A37</f>
        <v>估价对象XX用房的比较价值（楼面单价，元/平方米）</v>
      </c>
      <c r="Q37" s="3415"/>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1797</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1678</v>
      </c>
      <c r="B46" s="441"/>
      <c r="C46" s="1102" t="str">
        <f>YEAR(C7)&amp;"-"&amp;MONTH(C7)</f>
        <v>2023-5</v>
      </c>
      <c r="D46" s="1103">
        <f>EDATE(C46,-1)</f>
        <v>45017</v>
      </c>
      <c r="E46" s="1103">
        <f t="shared" ref="E46:O46" si="13">EDATE(D46,-1)</f>
        <v>44986</v>
      </c>
      <c r="F46" s="1103">
        <f t="shared" si="13"/>
        <v>44958</v>
      </c>
      <c r="G46" s="1103">
        <f t="shared" si="13"/>
        <v>44927</v>
      </c>
      <c r="H46" s="1103">
        <f t="shared" si="13"/>
        <v>44896</v>
      </c>
      <c r="I46" s="1103">
        <f t="shared" si="13"/>
        <v>44866</v>
      </c>
      <c r="J46" s="1103">
        <f t="shared" si="13"/>
        <v>44835</v>
      </c>
      <c r="K46" s="1103">
        <f t="shared" si="13"/>
        <v>44805</v>
      </c>
      <c r="L46" s="1103">
        <f t="shared" si="13"/>
        <v>44774</v>
      </c>
      <c r="M46" s="1103">
        <f t="shared" si="13"/>
        <v>44743</v>
      </c>
      <c r="N46" s="1103">
        <f t="shared" si="13"/>
        <v>44713</v>
      </c>
      <c r="O46" s="1103">
        <f t="shared" si="13"/>
        <v>44682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1715</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1680</v>
      </c>
      <c r="B49" s="444"/>
      <c r="C49" s="456" t="s">
        <v>1775</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1718</v>
      </c>
      <c r="B51" s="460" t="s">
        <v>1684</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1687</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1862</v>
      </c>
      <c r="C63" s="509" t="s">
        <v>1720</v>
      </c>
      <c r="D63" s="509" t="s">
        <v>1721</v>
      </c>
      <c r="E63" s="509" t="s">
        <v>1722</v>
      </c>
      <c r="F63" s="509" t="s">
        <v>1723</v>
      </c>
      <c r="G63" s="509" t="s">
        <v>1724</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1812</v>
      </c>
      <c r="C65" s="580" t="s">
        <v>1798</v>
      </c>
      <c r="D65" s="580" t="s">
        <v>1799</v>
      </c>
      <c r="E65" s="580" t="s">
        <v>1800</v>
      </c>
      <c r="F65" s="580" t="s">
        <v>1801</v>
      </c>
      <c r="G65" s="580" t="s">
        <v>1802</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1732</v>
      </c>
      <c r="C67" s="509" t="s">
        <v>1720</v>
      </c>
      <c r="D67" s="509" t="s">
        <v>1721</v>
      </c>
      <c r="E67" s="509" t="s">
        <v>1722</v>
      </c>
      <c r="F67" s="509" t="s">
        <v>1723</v>
      </c>
      <c r="G67" s="509" t="s">
        <v>1724</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1851</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1693</v>
      </c>
      <c r="B77" s="460" t="s">
        <v>1739</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1855</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1863</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1864</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1865</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1768</v>
      </c>
      <c r="B4" s="346"/>
      <c r="C4" s="3376" t="s">
        <v>1769</v>
      </c>
      <c r="D4" s="3377"/>
      <c r="E4" s="3378" t="s">
        <v>1770</v>
      </c>
      <c r="F4" s="3379"/>
      <c r="G4" s="3376" t="s">
        <v>1771</v>
      </c>
      <c r="H4" s="3377"/>
      <c r="I4" s="3376" t="s">
        <v>1772</v>
      </c>
      <c r="J4" s="3377"/>
      <c r="K4" s="537" t="s">
        <v>1773</v>
      </c>
      <c r="L4" s="2485"/>
      <c r="M4" s="2486"/>
      <c r="N4" s="2486"/>
      <c r="O4" s="2486"/>
      <c r="P4" s="3418" t="s">
        <v>1774</v>
      </c>
      <c r="Q4" s="3419"/>
      <c r="R4" s="3422" t="s">
        <v>1770</v>
      </c>
      <c r="S4" s="3423"/>
      <c r="T4" s="3422" t="s">
        <v>1771</v>
      </c>
      <c r="U4" s="3423"/>
      <c r="V4" s="3360" t="s">
        <v>1772</v>
      </c>
      <c r="W4" s="3360"/>
      <c r="X4" s="1263"/>
      <c r="Y4" s="3422" t="s">
        <v>1774</v>
      </c>
      <c r="Z4" s="3423"/>
      <c r="AA4" s="3417" t="s">
        <v>1770</v>
      </c>
      <c r="AB4" s="3406" t="s">
        <v>1771</v>
      </c>
      <c r="AC4" s="3417" t="s">
        <v>1772</v>
      </c>
    </row>
    <row r="5" spans="1:29" ht="15">
      <c r="A5" s="348"/>
      <c r="B5" s="349"/>
      <c r="C5" s="3401" t="s">
        <v>1672</v>
      </c>
      <c r="D5" s="3402"/>
      <c r="E5" s="3446" t="s">
        <v>1673</v>
      </c>
      <c r="F5" s="3396"/>
      <c r="G5" s="3401" t="s">
        <v>1674</v>
      </c>
      <c r="H5" s="3402"/>
      <c r="I5" s="3401" t="s">
        <v>1675</v>
      </c>
      <c r="J5" s="3402"/>
      <c r="K5" s="537"/>
      <c r="L5" s="2485"/>
      <c r="M5" s="2486"/>
      <c r="N5" s="2486"/>
      <c r="O5" s="2486"/>
      <c r="P5" s="3420"/>
      <c r="Q5" s="3383"/>
      <c r="R5" s="3388"/>
      <c r="S5" s="3389"/>
      <c r="T5" s="3388"/>
      <c r="U5" s="3389"/>
      <c r="V5" s="3360"/>
      <c r="W5" s="3360"/>
      <c r="X5" s="1263"/>
      <c r="Y5" s="3388"/>
      <c r="Z5" s="3389"/>
      <c r="AA5" s="3406"/>
      <c r="AB5" s="3406"/>
      <c r="AC5" s="3406"/>
    </row>
    <row r="6" spans="1:29" ht="15.75" thickBot="1">
      <c r="A6" s="350"/>
      <c r="B6" s="351"/>
      <c r="C6" s="3393" t="s">
        <v>1676</v>
      </c>
      <c r="D6" s="3394"/>
      <c r="E6" s="3403" t="s">
        <v>1676</v>
      </c>
      <c r="F6" s="3404"/>
      <c r="G6" s="3393" t="s">
        <v>1676</v>
      </c>
      <c r="H6" s="3394"/>
      <c r="I6" s="3393" t="s">
        <v>1676</v>
      </c>
      <c r="J6" s="3394"/>
      <c r="K6" s="537" t="s">
        <v>1677</v>
      </c>
      <c r="L6" s="2485"/>
      <c r="M6" s="2486"/>
      <c r="N6" s="2486"/>
      <c r="O6" s="2486"/>
      <c r="P6" s="3421"/>
      <c r="Q6" s="3385"/>
      <c r="R6" s="3388"/>
      <c r="S6" s="3389"/>
      <c r="T6" s="3390"/>
      <c r="U6" s="3391"/>
      <c r="V6" s="3360"/>
      <c r="W6" s="3360"/>
      <c r="X6" s="1263"/>
      <c r="Y6" s="3390"/>
      <c r="Z6" s="3391"/>
      <c r="AA6" s="3407"/>
      <c r="AB6" s="3407"/>
      <c r="AC6" s="3407"/>
    </row>
    <row r="7" spans="1:29" s="102" customFormat="1" ht="15.75" thickBot="1">
      <c r="A7" s="352" t="s">
        <v>1678</v>
      </c>
      <c r="B7" s="353"/>
      <c r="C7" s="354">
        <f>'数据-取费表'!B2</f>
        <v>45065</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99" t="s">
        <v>1679</v>
      </c>
      <c r="Q7" s="3400"/>
      <c r="R7" s="663" t="s">
        <v>14</v>
      </c>
      <c r="S7" s="664">
        <f t="shared" ref="S7:S15" si="0">F7</f>
        <v>0</v>
      </c>
      <c r="T7" s="663" t="s">
        <v>14</v>
      </c>
      <c r="U7" s="664">
        <f t="shared" ref="U7:U15" si="1">H7</f>
        <v>0</v>
      </c>
      <c r="V7" s="663" t="s">
        <v>14</v>
      </c>
      <c r="W7" s="664">
        <f t="shared" ref="W7:W15" si="2">J7</f>
        <v>0</v>
      </c>
      <c r="X7" s="665"/>
      <c r="Y7" s="3399" t="s">
        <v>1679</v>
      </c>
      <c r="Z7" s="3398"/>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99" t="s">
        <v>1682</v>
      </c>
      <c r="Q8" s="3398"/>
      <c r="R8" s="663" t="s">
        <v>14</v>
      </c>
      <c r="S8" s="664">
        <f t="shared" si="0"/>
        <v>0</v>
      </c>
      <c r="T8" s="663" t="s">
        <v>14</v>
      </c>
      <c r="U8" s="664">
        <f t="shared" si="1"/>
        <v>0</v>
      </c>
      <c r="V8" s="663" t="s">
        <v>14</v>
      </c>
      <c r="W8" s="664">
        <f t="shared" si="2"/>
        <v>0</v>
      </c>
      <c r="X8" s="665"/>
      <c r="Y8" s="3399" t="s">
        <v>1682</v>
      </c>
      <c r="Z8" s="3398"/>
      <c r="AA8" s="50" t="e">
        <f t="shared" ref="AA8:AA45" si="3">D8/F8</f>
        <v>#DIV/0!</v>
      </c>
      <c r="AB8" s="50" t="e">
        <f t="shared" ref="AB8:AB45" si="4">D8/H8</f>
        <v>#DIV/0!</v>
      </c>
      <c r="AC8" s="50" t="e">
        <f t="shared" ref="AC8:AC45" si="5">D8/J8</f>
        <v>#DIV/0!</v>
      </c>
    </row>
    <row r="9" spans="1:29" s="102" customFormat="1">
      <c r="A9" s="359" t="s">
        <v>1683</v>
      </c>
      <c r="B9" s="60" t="s">
        <v>1684</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59" t="s">
        <v>1685</v>
      </c>
      <c r="Q9" s="530" t="str">
        <f t="shared" ref="Q9:Q15" si="6">B9</f>
        <v>用途</v>
      </c>
      <c r="R9" s="663" t="s">
        <v>14</v>
      </c>
      <c r="S9" s="664">
        <f t="shared" si="0"/>
        <v>100</v>
      </c>
      <c r="T9" s="663" t="s">
        <v>14</v>
      </c>
      <c r="U9" s="664">
        <f t="shared" si="1"/>
        <v>100</v>
      </c>
      <c r="V9" s="663" t="s">
        <v>14</v>
      </c>
      <c r="W9" s="664">
        <f t="shared" si="2"/>
        <v>100</v>
      </c>
      <c r="X9" s="665"/>
      <c r="Y9" s="3257"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129</v>
      </c>
      <c r="G10" s="402"/>
      <c r="H10" s="119">
        <f>ROUND(100/'数据-取费表'!G16,0)</f>
        <v>129</v>
      </c>
      <c r="I10" s="402"/>
      <c r="J10" s="119">
        <f>ROUND(100/'数据-取费表'!G16,0)</f>
        <v>129</v>
      </c>
      <c r="K10" s="591"/>
      <c r="L10" s="2488"/>
      <c r="M10" s="2489"/>
      <c r="N10" s="2489"/>
      <c r="O10" s="2540"/>
      <c r="P10" s="3359"/>
      <c r="Q10" s="530" t="str">
        <f t="shared" si="6"/>
        <v>土地使用年限（年）</v>
      </c>
      <c r="R10" s="663" t="s">
        <v>14</v>
      </c>
      <c r="S10" s="664">
        <f t="shared" si="0"/>
        <v>129</v>
      </c>
      <c r="T10" s="663" t="s">
        <v>14</v>
      </c>
      <c r="U10" s="664">
        <f t="shared" si="1"/>
        <v>129</v>
      </c>
      <c r="V10" s="663" t="s">
        <v>14</v>
      </c>
      <c r="W10" s="664">
        <f t="shared" si="2"/>
        <v>129</v>
      </c>
      <c r="X10" s="665"/>
      <c r="Y10" s="3257"/>
      <c r="Z10" s="50" t="str">
        <f t="shared" si="7"/>
        <v>土地使用年限（年）</v>
      </c>
      <c r="AA10" s="50">
        <f t="shared" si="3"/>
        <v>0.77519379844961245</v>
      </c>
      <c r="AB10" s="50">
        <f t="shared" si="4"/>
        <v>0.77519379844961245</v>
      </c>
      <c r="AC10" s="50">
        <f t="shared" si="5"/>
        <v>0.77519379844961245</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59"/>
      <c r="Q11" s="530" t="str">
        <f t="shared" si="6"/>
        <v>容积率</v>
      </c>
      <c r="R11" s="663" t="s">
        <v>14</v>
      </c>
      <c r="S11" s="664" t="e">
        <f t="shared" si="0"/>
        <v>#N/A</v>
      </c>
      <c r="T11" s="663" t="s">
        <v>14</v>
      </c>
      <c r="U11" s="664" t="e">
        <f t="shared" si="1"/>
        <v>#N/A</v>
      </c>
      <c r="V11" s="663" t="s">
        <v>14</v>
      </c>
      <c r="W11" s="664" t="e">
        <f t="shared" si="2"/>
        <v>#N/A</v>
      </c>
      <c r="X11" s="665"/>
      <c r="Y11" s="3257"/>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8"/>
      <c r="N12" s="2438"/>
      <c r="O12" s="2539"/>
      <c r="P12" s="3359"/>
      <c r="Q12" s="530" t="str">
        <f t="shared" si="6"/>
        <v>配建</v>
      </c>
      <c r="R12" s="663" t="s">
        <v>14</v>
      </c>
      <c r="S12" s="664">
        <f t="shared" si="0"/>
        <v>100</v>
      </c>
      <c r="T12" s="663" t="s">
        <v>14</v>
      </c>
      <c r="U12" s="664">
        <f t="shared" si="1"/>
        <v>100</v>
      </c>
      <c r="V12" s="663" t="s">
        <v>14</v>
      </c>
      <c r="W12" s="664">
        <f t="shared" si="2"/>
        <v>100</v>
      </c>
      <c r="X12" s="665"/>
      <c r="Y12" s="32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59"/>
      <c r="Q13" s="530">
        <f t="shared" si="6"/>
        <v>111</v>
      </c>
      <c r="R13" s="663" t="s">
        <v>14</v>
      </c>
      <c r="S13" s="664">
        <f t="shared" si="0"/>
        <v>100</v>
      </c>
      <c r="T13" s="663" t="s">
        <v>14</v>
      </c>
      <c r="U13" s="664">
        <f t="shared" si="1"/>
        <v>100</v>
      </c>
      <c r="V13" s="663" t="s">
        <v>14</v>
      </c>
      <c r="W13" s="664">
        <f t="shared" si="2"/>
        <v>100</v>
      </c>
      <c r="X13" s="665"/>
      <c r="Y13" s="3257"/>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59"/>
      <c r="Q14" s="530">
        <f t="shared" si="6"/>
        <v>111</v>
      </c>
      <c r="R14" s="663" t="s">
        <v>14</v>
      </c>
      <c r="S14" s="664">
        <f t="shared" si="0"/>
        <v>100</v>
      </c>
      <c r="T14" s="663" t="s">
        <v>14</v>
      </c>
      <c r="U14" s="664">
        <f t="shared" si="1"/>
        <v>100</v>
      </c>
      <c r="V14" s="663" t="s">
        <v>14</v>
      </c>
      <c r="W14" s="664">
        <f t="shared" si="2"/>
        <v>100</v>
      </c>
      <c r="X14" s="665"/>
      <c r="Y14" s="3257"/>
      <c r="Z14" s="50">
        <f t="shared" si="7"/>
        <v>111</v>
      </c>
      <c r="AA14" s="50">
        <f>D14/F14</f>
        <v>1</v>
      </c>
      <c r="AB14" s="50">
        <f>D14/H14</f>
        <v>1</v>
      </c>
      <c r="AC14" s="50">
        <f>D14/J14</f>
        <v>1</v>
      </c>
    </row>
    <row r="15" spans="1:29" ht="15">
      <c r="A15" s="379" t="s">
        <v>1689</v>
      </c>
      <c r="B15" s="58" t="s">
        <v>1256</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366" t="s">
        <v>1690</v>
      </c>
      <c r="Q15" s="1261" t="str">
        <f t="shared" si="6"/>
        <v>居住社区成熟度</v>
      </c>
      <c r="R15" s="666" t="s">
        <v>14</v>
      </c>
      <c r="S15" s="667">
        <f t="shared" si="0"/>
        <v>100</v>
      </c>
      <c r="T15" s="666" t="s">
        <v>14</v>
      </c>
      <c r="U15" s="667">
        <f t="shared" si="1"/>
        <v>100</v>
      </c>
      <c r="V15" s="666" t="s">
        <v>14</v>
      </c>
      <c r="W15" s="667">
        <f t="shared" si="2"/>
        <v>100</v>
      </c>
      <c r="X15" s="1263"/>
      <c r="Y15" s="3366" t="s">
        <v>1690</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1"/>
      <c r="L16" s="2491"/>
      <c r="M16" s="2486"/>
      <c r="N16" s="2486"/>
      <c r="O16" s="2541"/>
      <c r="P16" s="3367"/>
      <c r="Q16" s="1261"/>
      <c r="R16" s="666"/>
      <c r="S16" s="667"/>
      <c r="T16" s="666"/>
      <c r="U16" s="667"/>
      <c r="V16" s="666"/>
      <c r="W16" s="667"/>
      <c r="X16" s="1263"/>
      <c r="Y16" s="3367"/>
      <c r="Z16" s="1262"/>
      <c r="AA16" s="1262">
        <v>1</v>
      </c>
      <c r="AB16" s="1262">
        <v>1</v>
      </c>
      <c r="AC16" s="1262">
        <v>1</v>
      </c>
    </row>
    <row r="17" spans="1:29" ht="114">
      <c r="A17" s="367"/>
      <c r="B17" s="390" t="s">
        <v>1776</v>
      </c>
      <c r="C17" s="1804" t="str">
        <f>估价对象房地状况!C16</f>
        <v>估价对象位于西直门商圈，周边商业氛围成熟，有凯德MALL、华联购物中心等，人流量较大，商业繁华度较好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367"/>
      <c r="Q17" s="1261" t="str">
        <f>B17</f>
        <v>商业繁华度</v>
      </c>
      <c r="R17" s="666" t="s">
        <v>14</v>
      </c>
      <c r="S17" s="667">
        <f>F17</f>
        <v>100</v>
      </c>
      <c r="T17" s="666" t="s">
        <v>14</v>
      </c>
      <c r="U17" s="667">
        <f>H17</f>
        <v>100</v>
      </c>
      <c r="V17" s="666" t="s">
        <v>14</v>
      </c>
      <c r="W17" s="667">
        <f>J17</f>
        <v>100</v>
      </c>
      <c r="X17" s="1263"/>
      <c r="Y17" s="3367"/>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1"/>
      <c r="L18" s="2491"/>
      <c r="M18" s="2486"/>
      <c r="N18" s="2486"/>
      <c r="O18" s="2541"/>
      <c r="P18" s="3367"/>
      <c r="Q18" s="1261"/>
      <c r="R18" s="666"/>
      <c r="S18" s="667"/>
      <c r="T18" s="666"/>
      <c r="U18" s="667"/>
      <c r="V18" s="666"/>
      <c r="W18" s="667"/>
      <c r="X18" s="1263"/>
      <c r="Y18" s="3367"/>
      <c r="Z18" s="1262"/>
      <c r="AA18" s="1262">
        <v>1</v>
      </c>
      <c r="AB18" s="1262">
        <v>1</v>
      </c>
      <c r="AC18" s="1262">
        <v>1</v>
      </c>
    </row>
    <row r="19" spans="1:29" ht="99.75">
      <c r="A19" s="367"/>
      <c r="B19" s="390" t="s">
        <v>1810</v>
      </c>
      <c r="C19" s="1804" t="str">
        <f>估价对象房地状况!C17</f>
        <v>估价对象周边办公楼项目较多，有金泰鑫侨大厦、阳光大厦、德宝大厦，入驻率较高，办公集聚程度较好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367"/>
      <c r="Q19" s="1261" t="str">
        <f>B19</f>
        <v>办公集聚程度</v>
      </c>
      <c r="R19" s="666" t="s">
        <v>14</v>
      </c>
      <c r="S19" s="667">
        <f>F19</f>
        <v>100</v>
      </c>
      <c r="T19" s="666" t="s">
        <v>14</v>
      </c>
      <c r="U19" s="667">
        <f>H19</f>
        <v>100</v>
      </c>
      <c r="V19" s="666" t="s">
        <v>14</v>
      </c>
      <c r="W19" s="667">
        <f>J19</f>
        <v>100</v>
      </c>
      <c r="X19" s="1263"/>
      <c r="Y19" s="3367"/>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1"/>
      <c r="L20" s="2491"/>
      <c r="M20" s="2486"/>
      <c r="N20" s="2486"/>
      <c r="O20" s="2541"/>
      <c r="P20" s="3367"/>
      <c r="Q20" s="1261"/>
      <c r="R20" s="666"/>
      <c r="S20" s="667"/>
      <c r="T20" s="666"/>
      <c r="U20" s="667"/>
      <c r="V20" s="666"/>
      <c r="W20" s="667"/>
      <c r="X20" s="1263"/>
      <c r="Y20" s="3367"/>
      <c r="Z20" s="1262"/>
      <c r="AA20" s="1262">
        <v>1</v>
      </c>
      <c r="AB20" s="1262">
        <v>1</v>
      </c>
      <c r="AC20" s="1262">
        <v>1</v>
      </c>
    </row>
    <row r="21" spans="1:29" ht="142.5">
      <c r="A21" s="367"/>
      <c r="B21" s="390" t="s">
        <v>1832</v>
      </c>
      <c r="C21" s="1752" t="str">
        <f>估价对象房地状况!C18</f>
        <v>估价对象周边道路状况较好、有7、16、105等公交线路及地铁2、4号线经过，公共交通通达情况较好、停车便捷程度一般，综合评价交通便捷度较好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367"/>
      <c r="Q21" s="1261" t="str">
        <f>B21</f>
        <v>交通便捷度</v>
      </c>
      <c r="R21" s="666" t="s">
        <v>14</v>
      </c>
      <c r="S21" s="667">
        <f>F21</f>
        <v>100</v>
      </c>
      <c r="T21" s="666" t="s">
        <v>14</v>
      </c>
      <c r="U21" s="667">
        <f>H21</f>
        <v>100</v>
      </c>
      <c r="V21" s="666" t="s">
        <v>14</v>
      </c>
      <c r="W21" s="667">
        <f>J21</f>
        <v>100</v>
      </c>
      <c r="X21" s="1263"/>
      <c r="Y21" s="3367"/>
      <c r="Z21" s="1262" t="str">
        <f>Q21</f>
        <v>交通便捷度</v>
      </c>
      <c r="AA21" s="1262">
        <f t="shared" si="3"/>
        <v>1</v>
      </c>
      <c r="AB21" s="1262">
        <f t="shared" si="4"/>
        <v>1</v>
      </c>
      <c r="AC21" s="1262">
        <f t="shared" si="5"/>
        <v>1</v>
      </c>
    </row>
    <row r="22" spans="1:29" ht="15">
      <c r="A22" s="367"/>
      <c r="B22" s="585"/>
      <c r="C22" s="386"/>
      <c r="D22" s="389"/>
      <c r="E22" s="1750"/>
      <c r="F22" s="387"/>
      <c r="G22" s="1750"/>
      <c r="H22" s="387"/>
      <c r="I22" s="1749"/>
      <c r="J22" s="387"/>
      <c r="K22" s="591"/>
      <c r="L22" s="2491"/>
      <c r="M22" s="2486"/>
      <c r="N22" s="2486"/>
      <c r="O22" s="2541"/>
      <c r="P22" s="3367"/>
      <c r="Q22" s="1261"/>
      <c r="R22" s="666"/>
      <c r="S22" s="667"/>
      <c r="T22" s="666"/>
      <c r="U22" s="667"/>
      <c r="V22" s="666"/>
      <c r="W22" s="667"/>
      <c r="X22" s="1263"/>
      <c r="Y22" s="3367"/>
      <c r="Z22" s="1262"/>
      <c r="AA22" s="1262">
        <v>1</v>
      </c>
      <c r="AB22" s="1262">
        <v>1</v>
      </c>
      <c r="AC22" s="1262">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367"/>
      <c r="Q23" s="1261" t="str">
        <f t="shared" ref="Q23:Q37" si="8">B23</f>
        <v>区域土地利用方向</v>
      </c>
      <c r="R23" s="666" t="s">
        <v>14</v>
      </c>
      <c r="S23" s="667">
        <f>F23</f>
        <v>100</v>
      </c>
      <c r="T23" s="666" t="s">
        <v>14</v>
      </c>
      <c r="U23" s="667">
        <f>H23</f>
        <v>100</v>
      </c>
      <c r="V23" s="666" t="s">
        <v>14</v>
      </c>
      <c r="W23" s="667">
        <f>J23</f>
        <v>100</v>
      </c>
      <c r="X23" s="1263"/>
      <c r="Y23" s="3367"/>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91"/>
      <c r="M24" s="2486"/>
      <c r="N24" s="2486"/>
      <c r="O24" s="2541"/>
      <c r="P24" s="3367"/>
      <c r="Q24" s="1261"/>
      <c r="R24" s="666"/>
      <c r="S24" s="667"/>
      <c r="T24" s="666"/>
      <c r="U24" s="667"/>
      <c r="V24" s="666"/>
      <c r="W24" s="667"/>
      <c r="X24" s="1263"/>
      <c r="Y24" s="3367"/>
      <c r="Z24" s="1262"/>
      <c r="AA24" s="1262"/>
      <c r="AB24" s="1262"/>
      <c r="AC24" s="1262"/>
    </row>
    <row r="25" spans="1:29" ht="99.75">
      <c r="A25" s="348"/>
      <c r="B25" s="585" t="s">
        <v>1871</v>
      </c>
      <c r="C25" s="1804" t="str">
        <f>估价对象房地状况!C20</f>
        <v>区域自然环境：北京动物园、官园公园；人文环境：北京天文馆、北京建筑大学；综合评价环境状况较好</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367"/>
      <c r="Q25" s="1261" t="str">
        <f t="shared" si="8"/>
        <v>自然及人文环境状况</v>
      </c>
      <c r="R25" s="666" t="s">
        <v>14</v>
      </c>
      <c r="S25" s="667">
        <f>F25</f>
        <v>100</v>
      </c>
      <c r="T25" s="666" t="s">
        <v>14</v>
      </c>
      <c r="U25" s="667">
        <f>H25</f>
        <v>100</v>
      </c>
      <c r="V25" s="666" t="s">
        <v>14</v>
      </c>
      <c r="W25" s="667">
        <f>J25</f>
        <v>100</v>
      </c>
      <c r="X25" s="1263"/>
      <c r="Y25" s="3367"/>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1"/>
      <c r="L26" s="2491"/>
      <c r="M26" s="2486"/>
      <c r="N26" s="2486"/>
      <c r="O26" s="2541"/>
      <c r="P26" s="3367"/>
      <c r="Q26" s="1261"/>
      <c r="R26" s="666"/>
      <c r="S26" s="667"/>
      <c r="T26" s="666"/>
      <c r="U26" s="667"/>
      <c r="V26" s="666"/>
      <c r="W26" s="667"/>
      <c r="X26" s="1263"/>
      <c r="Y26" s="3367"/>
      <c r="Z26" s="1262"/>
      <c r="AA26" s="1262">
        <v>1</v>
      </c>
      <c r="AB26" s="1262">
        <v>1</v>
      </c>
      <c r="AC26" s="1262">
        <v>1</v>
      </c>
    </row>
    <row r="27" spans="1:29" s="102" customFormat="1" ht="42.75">
      <c r="A27" s="443"/>
      <c r="B27" s="585" t="s">
        <v>1777</v>
      </c>
      <c r="C27" s="1752" t="str">
        <f>估价对象房地状况!C21</f>
        <v>估价对象所在区域公共配套设施齐备情况较好</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8"/>
      <c r="N27" s="2438"/>
      <c r="O27" s="2539"/>
      <c r="P27" s="3367"/>
      <c r="Q27" s="530" t="str">
        <f t="shared" si="8"/>
        <v>公共配套设施</v>
      </c>
      <c r="R27" s="663" t="s">
        <v>14</v>
      </c>
      <c r="S27" s="664">
        <f>F27</f>
        <v>100</v>
      </c>
      <c r="T27" s="663" t="s">
        <v>14</v>
      </c>
      <c r="U27" s="664">
        <f>H27</f>
        <v>100</v>
      </c>
      <c r="V27" s="663" t="s">
        <v>14</v>
      </c>
      <c r="W27" s="664">
        <f>J27</f>
        <v>100</v>
      </c>
      <c r="X27" s="665"/>
      <c r="Y27" s="3367"/>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1"/>
      <c r="L28" s="2487"/>
      <c r="M28" s="2438"/>
      <c r="N28" s="2438"/>
      <c r="O28" s="2539"/>
      <c r="P28" s="3367"/>
      <c r="Q28" s="530"/>
      <c r="R28" s="663"/>
      <c r="S28" s="664"/>
      <c r="T28" s="663"/>
      <c r="U28" s="664"/>
      <c r="V28" s="663"/>
      <c r="W28" s="664"/>
      <c r="X28" s="665"/>
      <c r="Y28" s="3367"/>
      <c r="Z28" s="50"/>
      <c r="AA28" s="1262">
        <v>1</v>
      </c>
      <c r="AB28" s="1262">
        <v>1</v>
      </c>
      <c r="AC28" s="1262">
        <v>1</v>
      </c>
    </row>
    <row r="29" spans="1:29" s="102" customFormat="1" ht="42.75">
      <c r="A29" s="443"/>
      <c r="B29" s="585" t="s">
        <v>1778</v>
      </c>
      <c r="C29" s="1752"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8"/>
      <c r="N29" s="2438"/>
      <c r="O29" s="2539"/>
      <c r="P29" s="3367"/>
      <c r="Q29" s="530" t="str">
        <f>B29</f>
        <v>基础设施水平</v>
      </c>
      <c r="R29" s="663" t="s">
        <v>14</v>
      </c>
      <c r="S29" s="664">
        <f>F29</f>
        <v>100</v>
      </c>
      <c r="T29" s="663" t="s">
        <v>14</v>
      </c>
      <c r="U29" s="664">
        <f>H29</f>
        <v>100</v>
      </c>
      <c r="V29" s="663" t="s">
        <v>14</v>
      </c>
      <c r="W29" s="664">
        <f>J29</f>
        <v>100</v>
      </c>
      <c r="X29" s="665"/>
      <c r="Y29" s="3367"/>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1"/>
      <c r="L30" s="2487"/>
      <c r="M30" s="2438"/>
      <c r="N30" s="2438"/>
      <c r="O30" s="2539"/>
      <c r="P30" s="3367"/>
      <c r="Q30" s="530"/>
      <c r="R30" s="663"/>
      <c r="S30" s="664"/>
      <c r="T30" s="663"/>
      <c r="U30" s="664"/>
      <c r="V30" s="663"/>
      <c r="W30" s="664"/>
      <c r="X30" s="665"/>
      <c r="Y30" s="3367"/>
      <c r="Z30" s="50"/>
      <c r="AA30" s="1262">
        <v>1</v>
      </c>
      <c r="AB30" s="1262">
        <v>1</v>
      </c>
      <c r="AC30" s="1262">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367"/>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367"/>
      <c r="Z31" s="1262" t="str">
        <f t="shared" ref="Z31:Z45" si="12">Q31</f>
        <v>临街状况</v>
      </c>
      <c r="AA31" s="1262">
        <f t="shared" si="3"/>
        <v>1</v>
      </c>
      <c r="AB31" s="1262">
        <f t="shared" si="4"/>
        <v>1</v>
      </c>
      <c r="AC31" s="1262">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367"/>
      <c r="Q32" s="1261" t="str">
        <f t="shared" si="8"/>
        <v>毗邻道路的类型与等级</v>
      </c>
      <c r="R32" s="666" t="s">
        <v>14</v>
      </c>
      <c r="S32" s="667">
        <f t="shared" si="9"/>
        <v>100</v>
      </c>
      <c r="T32" s="666" t="s">
        <v>14</v>
      </c>
      <c r="U32" s="667">
        <f t="shared" si="10"/>
        <v>100</v>
      </c>
      <c r="V32" s="666" t="s">
        <v>14</v>
      </c>
      <c r="W32" s="667">
        <f t="shared" si="11"/>
        <v>100</v>
      </c>
      <c r="X32" s="1263"/>
      <c r="Y32" s="3367"/>
      <c r="Z32" s="1262" t="str">
        <f t="shared" si="12"/>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367"/>
      <c r="Q33" s="1261"/>
      <c r="R33" s="666"/>
      <c r="S33" s="667"/>
      <c r="T33" s="666"/>
      <c r="U33" s="667"/>
      <c r="V33" s="666"/>
      <c r="W33" s="667"/>
      <c r="X33" s="1263"/>
      <c r="Y33" s="3367"/>
      <c r="Z33" s="1262"/>
      <c r="AA33" s="1262">
        <v>1</v>
      </c>
      <c r="AB33" s="1262">
        <v>1</v>
      </c>
      <c r="AC33" s="1262">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367"/>
      <c r="Q34" s="1261" t="str">
        <f t="shared" si="8"/>
        <v>土地级别</v>
      </c>
      <c r="R34" s="666" t="s">
        <v>14</v>
      </c>
      <c r="S34" s="667">
        <f t="shared" si="9"/>
        <v>100</v>
      </c>
      <c r="T34" s="666" t="s">
        <v>14</v>
      </c>
      <c r="U34" s="667">
        <f t="shared" si="10"/>
        <v>100</v>
      </c>
      <c r="V34" s="666" t="s">
        <v>14</v>
      </c>
      <c r="W34" s="667">
        <f t="shared" si="11"/>
        <v>100</v>
      </c>
      <c r="X34" s="1263"/>
      <c r="Y34" s="3367"/>
      <c r="Z34" s="1262" t="str">
        <f t="shared" si="12"/>
        <v>土地级别</v>
      </c>
      <c r="AA34" s="1262">
        <f t="shared" si="3"/>
        <v>1</v>
      </c>
      <c r="AB34" s="1262">
        <f t="shared" si="4"/>
        <v>1</v>
      </c>
      <c r="AC34" s="1262">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367"/>
      <c r="Q35" s="1261">
        <f t="shared" si="8"/>
        <v>111</v>
      </c>
      <c r="R35" s="666" t="s">
        <v>14</v>
      </c>
      <c r="S35" s="667">
        <f t="shared" si="9"/>
        <v>100</v>
      </c>
      <c r="T35" s="666" t="s">
        <v>14</v>
      </c>
      <c r="U35" s="667">
        <f t="shared" si="10"/>
        <v>100</v>
      </c>
      <c r="V35" s="666" t="s">
        <v>14</v>
      </c>
      <c r="W35" s="667">
        <f t="shared" si="11"/>
        <v>100</v>
      </c>
      <c r="X35" s="1263"/>
      <c r="Y35" s="3367"/>
      <c r="Z35" s="1262">
        <f t="shared" si="12"/>
        <v>111</v>
      </c>
      <c r="AA35" s="1262">
        <f t="shared" si="3"/>
        <v>1</v>
      </c>
      <c r="AB35" s="1262">
        <f t="shared" si="4"/>
        <v>1</v>
      </c>
      <c r="AC35" s="1262">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47" t="s">
        <v>1695</v>
      </c>
      <c r="Q36" s="1261">
        <f t="shared" si="8"/>
        <v>111</v>
      </c>
      <c r="R36" s="666" t="s">
        <v>14</v>
      </c>
      <c r="S36" s="667">
        <f t="shared" si="9"/>
        <v>100</v>
      </c>
      <c r="T36" s="666" t="s">
        <v>14</v>
      </c>
      <c r="U36" s="667">
        <f t="shared" si="10"/>
        <v>100</v>
      </c>
      <c r="V36" s="666" t="s">
        <v>14</v>
      </c>
      <c r="W36" s="667">
        <f t="shared" si="11"/>
        <v>100</v>
      </c>
      <c r="X36" s="1263"/>
      <c r="Y36" s="3371" t="s">
        <v>1695</v>
      </c>
      <c r="Z36" s="1262">
        <f t="shared" si="12"/>
        <v>111</v>
      </c>
      <c r="AA36" s="1262">
        <f t="shared" si="3"/>
        <v>1</v>
      </c>
      <c r="AB36" s="1262">
        <f t="shared" si="4"/>
        <v>1</v>
      </c>
      <c r="AC36" s="1262">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371"/>
      <c r="Q37" s="1261">
        <f t="shared" si="8"/>
        <v>111</v>
      </c>
      <c r="R37" s="668" t="s">
        <v>14</v>
      </c>
      <c r="S37" s="669">
        <f t="shared" si="9"/>
        <v>100</v>
      </c>
      <c r="T37" s="668" t="s">
        <v>14</v>
      </c>
      <c r="U37" s="669">
        <f t="shared" si="10"/>
        <v>100</v>
      </c>
      <c r="V37" s="668" t="s">
        <v>14</v>
      </c>
      <c r="W37" s="669">
        <f t="shared" si="11"/>
        <v>100</v>
      </c>
      <c r="X37" s="670"/>
      <c r="Y37" s="3371"/>
      <c r="Z37" s="671">
        <f t="shared" si="12"/>
        <v>111</v>
      </c>
      <c r="AA37" s="1262">
        <f t="shared" si="3"/>
        <v>1</v>
      </c>
      <c r="AB37" s="1262">
        <f t="shared" si="4"/>
        <v>1</v>
      </c>
      <c r="AC37" s="1262">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371"/>
      <c r="Q38" s="1261" t="str">
        <f>B38</f>
        <v>宗地面积</v>
      </c>
      <c r="R38" s="666" t="s">
        <v>14</v>
      </c>
      <c r="S38" s="667" t="e">
        <f t="shared" si="9"/>
        <v>#N/A</v>
      </c>
      <c r="T38" s="666" t="s">
        <v>14</v>
      </c>
      <c r="U38" s="667" t="e">
        <f t="shared" si="10"/>
        <v>#N/A</v>
      </c>
      <c r="V38" s="666" t="s">
        <v>14</v>
      </c>
      <c r="W38" s="667" t="e">
        <f t="shared" si="11"/>
        <v>#N/A</v>
      </c>
      <c r="X38" s="1263"/>
      <c r="Y38" s="3371"/>
      <c r="Z38" s="1262" t="str">
        <f t="shared" si="12"/>
        <v>宗地面积</v>
      </c>
      <c r="AA38" s="1262" t="e">
        <f t="shared" si="3"/>
        <v>#N/A</v>
      </c>
      <c r="AB38" s="1262" t="e">
        <f t="shared" si="4"/>
        <v>#N/A</v>
      </c>
      <c r="AC38" s="1262" t="e">
        <f t="shared" si="5"/>
        <v>#N/A</v>
      </c>
    </row>
    <row r="39" spans="1:29" ht="15">
      <c r="A39" s="409"/>
      <c r="B39" s="364" t="s">
        <v>1874</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71"/>
      <c r="Q39" s="1261" t="str">
        <f t="shared" ref="Q39:Q45" si="13">B39</f>
        <v>宗地形状</v>
      </c>
      <c r="R39" s="666" t="s">
        <v>14</v>
      </c>
      <c r="S39" s="667">
        <f t="shared" si="9"/>
        <v>100</v>
      </c>
      <c r="T39" s="666" t="s">
        <v>14</v>
      </c>
      <c r="U39" s="667">
        <f t="shared" si="10"/>
        <v>100</v>
      </c>
      <c r="V39" s="666" t="s">
        <v>14</v>
      </c>
      <c r="W39" s="667">
        <f t="shared" si="11"/>
        <v>100</v>
      </c>
      <c r="X39" s="1263"/>
      <c r="Y39" s="3371"/>
      <c r="Z39" s="1262" t="str">
        <f t="shared" si="12"/>
        <v>宗地形状</v>
      </c>
      <c r="AA39" s="1262">
        <f t="shared" si="3"/>
        <v>1</v>
      </c>
      <c r="AB39" s="1262">
        <f t="shared" si="4"/>
        <v>1</v>
      </c>
      <c r="AC39" s="1262">
        <f t="shared" si="5"/>
        <v>1</v>
      </c>
    </row>
    <row r="40" spans="1:29" ht="15">
      <c r="A40" s="409"/>
      <c r="B40" s="364" t="s">
        <v>1875</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71"/>
      <c r="Q40" s="1261" t="str">
        <f t="shared" si="13"/>
        <v>临街宽度及深度</v>
      </c>
      <c r="R40" s="666" t="s">
        <v>14</v>
      </c>
      <c r="S40" s="667">
        <f t="shared" si="9"/>
        <v>100</v>
      </c>
      <c r="T40" s="666" t="s">
        <v>14</v>
      </c>
      <c r="U40" s="667">
        <f t="shared" si="10"/>
        <v>100</v>
      </c>
      <c r="V40" s="666" t="s">
        <v>14</v>
      </c>
      <c r="W40" s="667">
        <f t="shared" si="11"/>
        <v>100</v>
      </c>
      <c r="X40" s="1263"/>
      <c r="Y40" s="3371"/>
      <c r="Z40" s="1262" t="str">
        <f t="shared" si="12"/>
        <v>临街宽度及深度</v>
      </c>
      <c r="AA40" s="1262">
        <f t="shared" si="3"/>
        <v>1</v>
      </c>
      <c r="AB40" s="1262">
        <f t="shared" si="4"/>
        <v>1</v>
      </c>
      <c r="AC40" s="1262">
        <f t="shared" si="5"/>
        <v>1</v>
      </c>
    </row>
    <row r="41" spans="1:29" s="102" customFormat="1" ht="15">
      <c r="A41" s="410"/>
      <c r="B41" s="364" t="s">
        <v>1876</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71"/>
      <c r="Q41" s="1261" t="str">
        <f t="shared" si="13"/>
        <v>宗地开发程度</v>
      </c>
      <c r="R41" s="663" t="s">
        <v>14</v>
      </c>
      <c r="S41" s="664">
        <f t="shared" si="9"/>
        <v>100</v>
      </c>
      <c r="T41" s="663" t="s">
        <v>14</v>
      </c>
      <c r="U41" s="664">
        <f t="shared" si="10"/>
        <v>100</v>
      </c>
      <c r="V41" s="663" t="s">
        <v>14</v>
      </c>
      <c r="W41" s="664">
        <f t="shared" si="11"/>
        <v>100</v>
      </c>
      <c r="X41" s="665"/>
      <c r="Y41" s="3371"/>
      <c r="Z41" s="50" t="str">
        <f t="shared" si="12"/>
        <v>宗地开发程度</v>
      </c>
      <c r="AA41" s="50">
        <f t="shared" si="3"/>
        <v>1</v>
      </c>
      <c r="AB41" s="50">
        <f t="shared" si="4"/>
        <v>1</v>
      </c>
      <c r="AC41" s="50">
        <f t="shared" si="5"/>
        <v>1</v>
      </c>
    </row>
    <row r="42" spans="1:29" ht="15">
      <c r="A42" s="409"/>
      <c r="B42" s="364" t="s">
        <v>1877</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71" t="s">
        <v>1695</v>
      </c>
      <c r="Q42" s="1261" t="str">
        <f t="shared" si="13"/>
        <v>工程地质条件</v>
      </c>
      <c r="R42" s="666" t="s">
        <v>14</v>
      </c>
      <c r="S42" s="667">
        <f t="shared" si="9"/>
        <v>100</v>
      </c>
      <c r="T42" s="666" t="s">
        <v>14</v>
      </c>
      <c r="U42" s="667">
        <f t="shared" si="10"/>
        <v>100</v>
      </c>
      <c r="V42" s="666" t="s">
        <v>14</v>
      </c>
      <c r="W42" s="667">
        <f t="shared" si="11"/>
        <v>100</v>
      </c>
      <c r="X42" s="1263"/>
      <c r="Y42" s="3371" t="s">
        <v>1695</v>
      </c>
      <c r="Z42" s="1262" t="str">
        <f t="shared" si="12"/>
        <v>工程地质条件</v>
      </c>
      <c r="AA42" s="1262">
        <f t="shared" si="3"/>
        <v>1</v>
      </c>
      <c r="AB42" s="1262">
        <f t="shared" si="4"/>
        <v>1</v>
      </c>
      <c r="AC42" s="1262">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371"/>
      <c r="Q43" s="1261">
        <f t="shared" si="13"/>
        <v>111</v>
      </c>
      <c r="R43" s="666" t="s">
        <v>14</v>
      </c>
      <c r="S43" s="667">
        <f t="shared" si="9"/>
        <v>100</v>
      </c>
      <c r="T43" s="666" t="s">
        <v>14</v>
      </c>
      <c r="U43" s="667">
        <f t="shared" si="10"/>
        <v>100</v>
      </c>
      <c r="V43" s="666" t="s">
        <v>14</v>
      </c>
      <c r="W43" s="667">
        <f t="shared" si="11"/>
        <v>100</v>
      </c>
      <c r="X43" s="1263"/>
      <c r="Y43" s="3371"/>
      <c r="Z43" s="1262">
        <f t="shared" si="12"/>
        <v>111</v>
      </c>
      <c r="AA43" s="1262">
        <f t="shared" si="3"/>
        <v>1</v>
      </c>
      <c r="AB43" s="1262">
        <f t="shared" si="4"/>
        <v>1</v>
      </c>
      <c r="AC43" s="1262">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371"/>
      <c r="Q44" s="1261">
        <f t="shared" si="13"/>
        <v>111</v>
      </c>
      <c r="R44" s="666" t="s">
        <v>14</v>
      </c>
      <c r="S44" s="667">
        <f t="shared" si="9"/>
        <v>100</v>
      </c>
      <c r="T44" s="666" t="s">
        <v>14</v>
      </c>
      <c r="U44" s="667">
        <f t="shared" si="10"/>
        <v>100</v>
      </c>
      <c r="V44" s="666" t="s">
        <v>14</v>
      </c>
      <c r="W44" s="667">
        <f t="shared" si="11"/>
        <v>100</v>
      </c>
      <c r="X44" s="1263"/>
      <c r="Y44" s="3371"/>
      <c r="Z44" s="1262">
        <f t="shared" si="12"/>
        <v>111</v>
      </c>
      <c r="AA44" s="1262">
        <f t="shared" si="3"/>
        <v>1</v>
      </c>
      <c r="AB44" s="1262">
        <f t="shared" si="4"/>
        <v>1</v>
      </c>
      <c r="AC44" s="1262">
        <f t="shared" si="5"/>
        <v>1</v>
      </c>
    </row>
    <row r="45" spans="1:29" s="408" customFormat="1" ht="15.75" thickBot="1">
      <c r="A45" s="406"/>
      <c r="B45" s="1066">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371"/>
      <c r="Q45" s="1261">
        <f t="shared" si="13"/>
        <v>111</v>
      </c>
      <c r="R45" s="668" t="s">
        <v>14</v>
      </c>
      <c r="S45" s="669">
        <f t="shared" si="9"/>
        <v>100</v>
      </c>
      <c r="T45" s="668" t="s">
        <v>14</v>
      </c>
      <c r="U45" s="669">
        <f t="shared" si="10"/>
        <v>100</v>
      </c>
      <c r="V45" s="668" t="s">
        <v>14</v>
      </c>
      <c r="W45" s="669">
        <f t="shared" si="11"/>
        <v>100</v>
      </c>
      <c r="X45" s="670"/>
      <c r="Y45" s="3371"/>
      <c r="Z45" s="671">
        <f t="shared" si="12"/>
        <v>111</v>
      </c>
      <c r="AA45" s="1262">
        <f t="shared" si="3"/>
        <v>1</v>
      </c>
      <c r="AB45" s="1262">
        <f t="shared" si="4"/>
        <v>1</v>
      </c>
      <c r="AC45" s="1262">
        <f t="shared" si="5"/>
        <v>1</v>
      </c>
    </row>
    <row r="46" spans="1:29" ht="15">
      <c r="A46" s="416" t="s">
        <v>1843</v>
      </c>
      <c r="B46" s="1828" t="s">
        <v>1878</v>
      </c>
      <c r="C46" s="601" t="s">
        <v>0</v>
      </c>
      <c r="D46" s="418"/>
      <c r="E46" s="419"/>
      <c r="F46" s="420"/>
      <c r="G46" s="421"/>
      <c r="H46" s="422"/>
      <c r="I46" s="419"/>
      <c r="J46" s="422"/>
      <c r="K46" s="673"/>
      <c r="L46" s="2493"/>
      <c r="M46" s="2486"/>
      <c r="N46" s="2486"/>
      <c r="O46" s="2486"/>
      <c r="P46" s="3359" t="str">
        <f>A46</f>
        <v>成交单价</v>
      </c>
      <c r="Q46" s="3359"/>
      <c r="R46" s="3360">
        <f>E46</f>
        <v>0</v>
      </c>
      <c r="S46" s="3360"/>
      <c r="T46" s="3360">
        <f>G46</f>
        <v>0</v>
      </c>
      <c r="U46" s="3360"/>
      <c r="V46" s="3360">
        <f>I46</f>
        <v>0</v>
      </c>
      <c r="W46" s="3360"/>
      <c r="X46" s="385"/>
      <c r="Y46" s="672"/>
      <c r="Z46" s="385"/>
      <c r="AA46" s="385"/>
      <c r="AB46" s="385"/>
      <c r="AC46" s="385"/>
    </row>
    <row r="47" spans="1:29" ht="15.75" thickBot="1">
      <c r="A47" s="423" t="s">
        <v>1792</v>
      </c>
      <c r="B47" s="602"/>
      <c r="C47" s="426" t="e">
        <f>R48</f>
        <v>#DIV/0!</v>
      </c>
      <c r="D47" s="2139" t="s">
        <v>2133</v>
      </c>
      <c r="E47" s="426" t="e">
        <f>R47</f>
        <v>#DIV/0!</v>
      </c>
      <c r="F47" s="2140"/>
      <c r="G47" s="425" t="e">
        <f>T47</f>
        <v>#DIV/0!</v>
      </c>
      <c r="H47" s="2140"/>
      <c r="I47" s="426" t="e">
        <f>V47</f>
        <v>#DIV/0!</v>
      </c>
      <c r="J47" s="2140"/>
      <c r="K47" s="2142">
        <f>F47+H47+J47</f>
        <v>0</v>
      </c>
      <c r="L47" s="2493"/>
      <c r="M47" s="2486"/>
      <c r="N47" s="2486"/>
      <c r="O47" s="2486"/>
      <c r="P47" s="3359" t="str">
        <f>A47</f>
        <v>比较价值（元/平方米）</v>
      </c>
      <c r="Q47" s="3359"/>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3"/>
      <c r="M48" s="2486"/>
      <c r="N48" s="2486"/>
      <c r="O48" s="2486"/>
      <c r="P48" s="3414" t="str">
        <f>A48</f>
        <v>估价对象XX用房的比较价值（楼面单价，元/平方米）</v>
      </c>
      <c r="Q48" s="3415"/>
      <c r="R48" s="3450" t="e">
        <f>ROUND(IF(D47="简单平均",AVERAGE(R47:W47),R47*F47+T47*H47+V47*J47),0)</f>
        <v>#DIV/0!</v>
      </c>
      <c r="S48" s="3450"/>
      <c r="T48" s="3450"/>
      <c r="U48" s="3450"/>
      <c r="V48" s="3450"/>
      <c r="W48" s="345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1880</v>
      </c>
      <c r="B55" s="604" t="s">
        <v>1881</v>
      </c>
      <c r="C55" s="1829" t="s">
        <v>1882</v>
      </c>
      <c r="D55" s="1830" t="s">
        <v>1883</v>
      </c>
      <c r="E55" s="605" t="s">
        <v>1884</v>
      </c>
      <c r="F55" s="836" t="s">
        <v>1885</v>
      </c>
      <c r="G55" s="3376" t="s">
        <v>1886</v>
      </c>
      <c r="H55" s="3451"/>
      <c r="I55" s="127" t="s">
        <v>1887</v>
      </c>
      <c r="J55" s="1831">
        <f>项目基本情况!F35</f>
        <v>0</v>
      </c>
      <c r="K55" s="1832" t="s">
        <v>1888</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1889</v>
      </c>
      <c r="B56" s="608" t="e">
        <f>C48</f>
        <v>#DIV/0!</v>
      </c>
      <c r="C56" s="609">
        <v>1</v>
      </c>
      <c r="D56" s="889">
        <v>1</v>
      </c>
      <c r="E56" s="609">
        <f>'数据-汇总表'!E8+'数据-汇总表'!E9</f>
        <v>391.32000000000005</v>
      </c>
      <c r="F56" s="832" t="e">
        <f t="shared" ref="F56:F64" si="14">ROUND(B56*E56/10000,0)</f>
        <v>#DIV/0!</v>
      </c>
      <c r="G56" s="3358"/>
      <c r="H56" s="3359"/>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1890</v>
      </c>
      <c r="B57" s="210" t="e">
        <f>ROUND($C$48*C57*D57,0)</f>
        <v>#DIV/0!</v>
      </c>
      <c r="C57" s="163">
        <f t="shared" ref="C57:C64" si="15">IF($C$55="北京市系数",I57,J57)</f>
        <v>0</v>
      </c>
      <c r="D57" s="890">
        <v>0.25</v>
      </c>
      <c r="E57" s="613"/>
      <c r="F57" s="832" t="e">
        <f t="shared" si="14"/>
        <v>#DIV/0!</v>
      </c>
      <c r="G57" s="2749" t="s">
        <v>1891</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1892</v>
      </c>
      <c r="B58" s="210" t="e">
        <f t="shared" ref="B58:B64" si="16">ROUND($C$48*C58*D58,0)</f>
        <v>#DIV/0!</v>
      </c>
      <c r="C58" s="163">
        <f t="shared" si="15"/>
        <v>0</v>
      </c>
      <c r="D58" s="890">
        <v>0.25</v>
      </c>
      <c r="E58" s="613"/>
      <c r="F58" s="832" t="e">
        <f t="shared" si="14"/>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1893</v>
      </c>
      <c r="B59" s="210" t="e">
        <f t="shared" si="16"/>
        <v>#DIV/0!</v>
      </c>
      <c r="C59" s="163">
        <f t="shared" si="15"/>
        <v>0</v>
      </c>
      <c r="D59" s="890">
        <v>0.25</v>
      </c>
      <c r="E59" s="613"/>
      <c r="F59" s="832" t="e">
        <f t="shared" si="14"/>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1894</v>
      </c>
      <c r="B60" s="210" t="e">
        <f t="shared" si="16"/>
        <v>#DIV/0!</v>
      </c>
      <c r="C60" s="163">
        <f t="shared" si="15"/>
        <v>0</v>
      </c>
      <c r="D60" s="890">
        <v>0.25</v>
      </c>
      <c r="E60" s="209">
        <f>'数据-汇总表'!E11</f>
        <v>0</v>
      </c>
      <c r="F60" s="832" t="e">
        <f t="shared" si="14"/>
        <v>#DIV/0!</v>
      </c>
      <c r="G60" s="1833" t="s">
        <v>1895</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1896</v>
      </c>
      <c r="B61" s="210" t="e">
        <f t="shared" si="16"/>
        <v>#DIV/0!</v>
      </c>
      <c r="C61" s="163">
        <f t="shared" si="15"/>
        <v>0</v>
      </c>
      <c r="D61" s="890">
        <v>0.25</v>
      </c>
      <c r="E61" s="209">
        <f>'数据-汇总表'!E12</f>
        <v>0</v>
      </c>
      <c r="F61" s="832" t="e">
        <f t="shared" si="14"/>
        <v>#DIV/0!</v>
      </c>
      <c r="G61" s="838" t="s">
        <v>1897</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1898</v>
      </c>
      <c r="B62" s="210" t="e">
        <f t="shared" si="16"/>
        <v>#DIV/0!</v>
      </c>
      <c r="C62" s="163">
        <f t="shared" si="15"/>
        <v>0</v>
      </c>
      <c r="D62" s="890">
        <v>0.25</v>
      </c>
      <c r="E62" s="209">
        <f>'数据-汇总表'!E13</f>
        <v>0</v>
      </c>
      <c r="F62" s="832" t="e">
        <f t="shared" si="14"/>
        <v>#DIV/0!</v>
      </c>
      <c r="G62" s="838" t="s">
        <v>1899</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1900</v>
      </c>
      <c r="B63" s="210" t="e">
        <f t="shared" si="16"/>
        <v>#DIV/0!</v>
      </c>
      <c r="C63" s="163">
        <f t="shared" si="15"/>
        <v>0</v>
      </c>
      <c r="D63" s="890">
        <v>0.25</v>
      </c>
      <c r="E63" s="209">
        <f>'数据-汇总表'!E14</f>
        <v>0</v>
      </c>
      <c r="F63" s="832" t="e">
        <f t="shared" si="14"/>
        <v>#DIV/0!</v>
      </c>
      <c r="G63" s="1833" t="s">
        <v>1891</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1901</v>
      </c>
      <c r="B64" s="210" t="e">
        <f t="shared" si="16"/>
        <v>#DIV/0!</v>
      </c>
      <c r="C64" s="163">
        <f t="shared" si="15"/>
        <v>0</v>
      </c>
      <c r="D64" s="890">
        <v>0.25</v>
      </c>
      <c r="E64" s="209">
        <f>'数据-汇总表'!E15</f>
        <v>0</v>
      </c>
      <c r="F64" s="832" t="e">
        <f t="shared" si="14"/>
        <v>#DIV/0!</v>
      </c>
      <c r="G64" s="1834" t="s">
        <v>1895</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1902</v>
      </c>
      <c r="B65" s="615" t="s">
        <v>22</v>
      </c>
      <c r="C65" s="615" t="s">
        <v>23</v>
      </c>
      <c r="D65" s="615" t="s">
        <v>392</v>
      </c>
      <c r="E65" s="615">
        <f>IF(B46="楼面地价",SUM(E56:E64),'数据-汇总表'!D3)</f>
        <v>391.32000000000005</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2023-5-1</v>
      </c>
      <c r="D67" s="655">
        <f>EDATE(C67,-3)</f>
        <v>44958</v>
      </c>
      <c r="E67" s="655">
        <f>EDATE(D67,-3)</f>
        <v>44866</v>
      </c>
      <c r="F67" s="655">
        <f t="shared" ref="F67:O67" si="17">EDATE(E67,-3)</f>
        <v>44774</v>
      </c>
      <c r="G67" s="655">
        <f t="shared" si="17"/>
        <v>44682</v>
      </c>
      <c r="H67" s="655">
        <f t="shared" si="17"/>
        <v>44593</v>
      </c>
      <c r="I67" s="655">
        <f t="shared" si="17"/>
        <v>44501</v>
      </c>
      <c r="J67" s="655">
        <f t="shared" si="17"/>
        <v>44409</v>
      </c>
      <c r="K67" s="655">
        <f t="shared" si="17"/>
        <v>44317</v>
      </c>
      <c r="L67" s="655">
        <f t="shared" si="17"/>
        <v>44228</v>
      </c>
      <c r="M67" s="655">
        <f t="shared" si="17"/>
        <v>44136</v>
      </c>
      <c r="N67" s="655">
        <f t="shared" si="17"/>
        <v>44044</v>
      </c>
      <c r="O67" s="655">
        <f t="shared" si="17"/>
        <v>43952</v>
      </c>
      <c r="P67" s="2486"/>
      <c r="Q67" s="2486"/>
      <c r="R67" s="2486"/>
      <c r="S67" s="2486"/>
      <c r="T67" s="2486"/>
      <c r="U67" s="2486"/>
      <c r="V67" s="2486"/>
      <c r="W67" s="2486"/>
      <c r="X67" s="2486"/>
      <c r="Y67" s="2486"/>
      <c r="Z67" s="2486"/>
      <c r="AA67" s="2486"/>
      <c r="AB67" s="2486"/>
      <c r="AC67" s="2486"/>
    </row>
    <row r="68" spans="1:29" ht="21.75" thickBot="1">
      <c r="A68" s="657" t="s">
        <v>1797</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8" t="s">
        <v>1903</v>
      </c>
      <c r="B69" s="1045"/>
      <c r="C69" s="1100" t="str">
        <f>YEAR(C67)&amp;"-"&amp;ROUNDUP(MONTH(C67)/3,0)</f>
        <v>2023-2</v>
      </c>
      <c r="D69" s="1100" t="str">
        <f>YEAR(D67)&amp;"-"&amp;ROUNDUP(MONTH(D67)/3,0)</f>
        <v>2023-1</v>
      </c>
      <c r="E69" s="1100" t="str">
        <f t="shared" ref="E69:O69" si="18">YEAR(E67)&amp;"-"&amp;ROUNDUP(MONTH(E67)/3,0)</f>
        <v>2022-4</v>
      </c>
      <c r="F69" s="1100" t="str">
        <f t="shared" si="18"/>
        <v>2022-3</v>
      </c>
      <c r="G69" s="1100" t="str">
        <f t="shared" si="18"/>
        <v>2022-2</v>
      </c>
      <c r="H69" s="1100" t="str">
        <f t="shared" si="18"/>
        <v>2022-1</v>
      </c>
      <c r="I69" s="1100" t="str">
        <f t="shared" si="18"/>
        <v>2021-4</v>
      </c>
      <c r="J69" s="1100" t="str">
        <f t="shared" si="18"/>
        <v>2021-3</v>
      </c>
      <c r="K69" s="1100" t="str">
        <f t="shared" si="18"/>
        <v>2021-2</v>
      </c>
      <c r="L69" s="1100" t="str">
        <f t="shared" si="18"/>
        <v>2021-1</v>
      </c>
      <c r="M69" s="1100" t="str">
        <f t="shared" si="18"/>
        <v>2020-4</v>
      </c>
      <c r="N69" s="1100" t="str">
        <f t="shared" si="18"/>
        <v>2020-3</v>
      </c>
      <c r="O69" s="1100" t="str">
        <f t="shared" si="18"/>
        <v>2020-2</v>
      </c>
      <c r="P69" s="2509"/>
      <c r="Q69" s="2509"/>
      <c r="R69" s="2509"/>
      <c r="S69" s="2509"/>
      <c r="T69" s="2509"/>
      <c r="U69" s="2509"/>
      <c r="V69" s="2509"/>
      <c r="W69" s="2509"/>
      <c r="X69" s="2509"/>
      <c r="Y69" s="2509"/>
      <c r="Z69" s="2509"/>
      <c r="AA69" s="2509"/>
      <c r="AB69" s="2509"/>
      <c r="AC69" s="2509"/>
    </row>
    <row r="70" spans="1:29" s="102" customFormat="1" ht="30" customHeight="1">
      <c r="A70" s="1835"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75" thickBot="1">
      <c r="A71" s="449" t="s">
        <v>1715</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1680</v>
      </c>
      <c r="B72" s="444"/>
      <c r="C72" s="456" t="s">
        <v>1775</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1718</v>
      </c>
      <c r="B74" s="460" t="s">
        <v>1684</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1687</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1688</v>
      </c>
      <c r="C78" s="478" t="str">
        <f>C79&amp;"（含）"&amp;"-"&amp;D79</f>
        <v>（含）-</v>
      </c>
      <c r="D78" s="478" t="str">
        <f t="shared" ref="D78:L78" si="19">D79&amp;"（含）"&amp;"-"&amp;E79</f>
        <v>（含）-</v>
      </c>
      <c r="E78" s="478" t="str">
        <f t="shared" si="19"/>
        <v>（含）-</v>
      </c>
      <c r="F78" s="478" t="str">
        <f t="shared" si="19"/>
        <v>（含）-</v>
      </c>
      <c r="G78" s="478" t="str">
        <f t="shared" si="19"/>
        <v>（含）-</v>
      </c>
      <c r="H78" s="478" t="str">
        <f t="shared" si="19"/>
        <v>（含）-</v>
      </c>
      <c r="I78" s="478" t="str">
        <f t="shared" si="19"/>
        <v>（含）-</v>
      </c>
      <c r="J78" s="478" t="str">
        <f t="shared" si="19"/>
        <v>（含）-</v>
      </c>
      <c r="K78" s="478" t="str">
        <f t="shared" si="19"/>
        <v>（含）-</v>
      </c>
      <c r="L78" s="478" t="str">
        <f t="shared" si="19"/>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0">IF($B$46="单位面积地价",C80+$K11,C80-$K11)</f>
        <v>100</v>
      </c>
      <c r="E80" s="475">
        <f t="shared" si="20"/>
        <v>100</v>
      </c>
      <c r="F80" s="475">
        <f t="shared" si="20"/>
        <v>100</v>
      </c>
      <c r="G80" s="475">
        <f t="shared" si="20"/>
        <v>100</v>
      </c>
      <c r="H80" s="475">
        <f t="shared" si="20"/>
        <v>100</v>
      </c>
      <c r="I80" s="475">
        <f t="shared" si="20"/>
        <v>100</v>
      </c>
      <c r="J80" s="475">
        <f t="shared" si="20"/>
        <v>100</v>
      </c>
      <c r="K80" s="475">
        <f t="shared" si="20"/>
        <v>100</v>
      </c>
      <c r="L80" s="475">
        <f t="shared" si="20"/>
        <v>100</v>
      </c>
      <c r="M80" s="475">
        <f t="shared" si="20"/>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1689</v>
      </c>
      <c r="B87" s="460" t="s">
        <v>1719</v>
      </c>
      <c r="C87" s="504" t="s">
        <v>1720</v>
      </c>
      <c r="D87" s="504" t="s">
        <v>1721</v>
      </c>
      <c r="E87" s="504" t="s">
        <v>1722</v>
      </c>
      <c r="F87" s="504" t="s">
        <v>1723</v>
      </c>
      <c r="G87" s="504" t="s">
        <v>1724</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1905</v>
      </c>
      <c r="C89" s="509" t="s">
        <v>1720</v>
      </c>
      <c r="D89" s="509" t="s">
        <v>1721</v>
      </c>
      <c r="E89" s="509" t="s">
        <v>1722</v>
      </c>
      <c r="F89" s="509" t="s">
        <v>1723</v>
      </c>
      <c r="G89" s="509" t="s">
        <v>1724</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1820</v>
      </c>
      <c r="C91" s="509" t="s">
        <v>1720</v>
      </c>
      <c r="D91" s="509" t="s">
        <v>1721</v>
      </c>
      <c r="E91" s="509" t="s">
        <v>1722</v>
      </c>
      <c r="F91" s="509" t="s">
        <v>1723</v>
      </c>
      <c r="G91" s="509" t="s">
        <v>1724</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1725</v>
      </c>
      <c r="C93" s="509" t="s">
        <v>1720</v>
      </c>
      <c r="D93" s="509" t="s">
        <v>1721</v>
      </c>
      <c r="E93" s="509" t="s">
        <v>1722</v>
      </c>
      <c r="F93" s="509" t="s">
        <v>1723</v>
      </c>
      <c r="G93" s="509" t="s">
        <v>1724</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1">C104-$K31</f>
        <v>100</v>
      </c>
      <c r="E104" s="475">
        <f t="shared" si="21"/>
        <v>100</v>
      </c>
      <c r="F104" s="475">
        <f t="shared" si="21"/>
        <v>100</v>
      </c>
      <c r="G104" s="475">
        <f t="shared" si="21"/>
        <v>100</v>
      </c>
      <c r="H104" s="475">
        <f t="shared" si="21"/>
        <v>100</v>
      </c>
      <c r="I104" s="475">
        <f t="shared" si="21"/>
        <v>100</v>
      </c>
      <c r="J104" s="475">
        <f t="shared" si="21"/>
        <v>100</v>
      </c>
      <c r="K104" s="475">
        <f t="shared" si="21"/>
        <v>100</v>
      </c>
      <c r="L104" s="475">
        <f t="shared" si="21"/>
        <v>100</v>
      </c>
      <c r="M104" s="475">
        <f t="shared" si="21"/>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1814</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2">C106-$K32</f>
        <v>100</v>
      </c>
      <c r="E106" s="475">
        <f t="shared" si="22"/>
        <v>100</v>
      </c>
      <c r="F106" s="475">
        <f t="shared" si="22"/>
        <v>100</v>
      </c>
      <c r="G106" s="475">
        <f t="shared" si="22"/>
        <v>100</v>
      </c>
      <c r="H106" s="475">
        <f t="shared" si="22"/>
        <v>100</v>
      </c>
      <c r="I106" s="475">
        <f t="shared" si="22"/>
        <v>100</v>
      </c>
      <c r="J106" s="475">
        <f t="shared" si="22"/>
        <v>100</v>
      </c>
      <c r="K106" s="475">
        <f t="shared" si="22"/>
        <v>100</v>
      </c>
      <c r="L106" s="475">
        <f t="shared" si="22"/>
        <v>100</v>
      </c>
      <c r="M106" s="475">
        <f t="shared" si="22"/>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1872</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3">C108-$K34</f>
        <v>100</v>
      </c>
      <c r="E108" s="475">
        <f t="shared" si="23"/>
        <v>100</v>
      </c>
      <c r="F108" s="475">
        <f t="shared" si="23"/>
        <v>100</v>
      </c>
      <c r="G108" s="475">
        <f t="shared" si="23"/>
        <v>100</v>
      </c>
      <c r="H108" s="475">
        <f t="shared" si="23"/>
        <v>100</v>
      </c>
      <c r="I108" s="475">
        <f t="shared" si="23"/>
        <v>100</v>
      </c>
      <c r="J108" s="475">
        <f t="shared" si="23"/>
        <v>100</v>
      </c>
      <c r="K108" s="475">
        <f t="shared" si="23"/>
        <v>100</v>
      </c>
      <c r="L108" s="475">
        <f t="shared" si="23"/>
        <v>100</v>
      </c>
      <c r="M108" s="475">
        <f t="shared" si="23"/>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1693</v>
      </c>
      <c r="B115" s="460" t="s">
        <v>1912</v>
      </c>
      <c r="C115" s="461" t="str">
        <f>C116&amp;"(含)"&amp;"-"&amp;D116</f>
        <v>(含)-</v>
      </c>
      <c r="D115" s="461" t="str">
        <f t="shared" ref="D115:M115" si="24">D116&amp;"(含)"&amp;"-"&amp;E116</f>
        <v>(含)-</v>
      </c>
      <c r="E115" s="461" t="str">
        <f t="shared" si="24"/>
        <v>(含)-</v>
      </c>
      <c r="F115" s="461" t="str">
        <f t="shared" si="24"/>
        <v>(含)-</v>
      </c>
      <c r="G115" s="461" t="str">
        <f t="shared" si="24"/>
        <v>(含)-</v>
      </c>
      <c r="H115" s="461" t="str">
        <f t="shared" si="24"/>
        <v>(含)-</v>
      </c>
      <c r="I115" s="461" t="str">
        <f t="shared" si="24"/>
        <v>(含)-</v>
      </c>
      <c r="J115" s="461" t="str">
        <f t="shared" si="24"/>
        <v>(含)-</v>
      </c>
      <c r="K115" s="461" t="str">
        <f t="shared" si="24"/>
        <v>(含)-</v>
      </c>
      <c r="L115" s="461" t="str">
        <f t="shared" si="24"/>
        <v>(含)-</v>
      </c>
      <c r="M115" s="461" t="str">
        <f t="shared" si="24"/>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1913</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5">C119-$K39</f>
        <v>100</v>
      </c>
      <c r="E119" s="475">
        <f t="shared" si="25"/>
        <v>100</v>
      </c>
      <c r="F119" s="475">
        <f t="shared" si="25"/>
        <v>100</v>
      </c>
      <c r="G119" s="475">
        <f t="shared" si="25"/>
        <v>100</v>
      </c>
      <c r="H119" s="475">
        <f t="shared" si="25"/>
        <v>100</v>
      </c>
      <c r="I119" s="475">
        <f t="shared" si="25"/>
        <v>100</v>
      </c>
      <c r="J119" s="475">
        <f t="shared" si="25"/>
        <v>100</v>
      </c>
      <c r="K119" s="475">
        <f t="shared" si="25"/>
        <v>100</v>
      </c>
      <c r="L119" s="475">
        <f t="shared" si="25"/>
        <v>100</v>
      </c>
      <c r="M119" s="476">
        <f t="shared" si="25"/>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1914</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6">C121-$K40</f>
        <v>100</v>
      </c>
      <c r="E121" s="475">
        <f t="shared" si="26"/>
        <v>100</v>
      </c>
      <c r="F121" s="475">
        <f t="shared" si="26"/>
        <v>100</v>
      </c>
      <c r="G121" s="475">
        <f t="shared" si="26"/>
        <v>100</v>
      </c>
      <c r="H121" s="475">
        <f t="shared" si="26"/>
        <v>100</v>
      </c>
      <c r="I121" s="475">
        <f t="shared" si="26"/>
        <v>100</v>
      </c>
      <c r="J121" s="475">
        <f t="shared" si="26"/>
        <v>100</v>
      </c>
      <c r="K121" s="475">
        <f t="shared" si="26"/>
        <v>100</v>
      </c>
      <c r="L121" s="475">
        <f t="shared" si="26"/>
        <v>100</v>
      </c>
      <c r="M121" s="476">
        <f t="shared" si="26"/>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1915</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7">C123-$K41</f>
        <v>100</v>
      </c>
      <c r="E123" s="475">
        <f t="shared" si="27"/>
        <v>100</v>
      </c>
      <c r="F123" s="475">
        <f t="shared" si="27"/>
        <v>100</v>
      </c>
      <c r="G123" s="475">
        <f t="shared" si="27"/>
        <v>100</v>
      </c>
      <c r="H123" s="475">
        <f t="shared" si="27"/>
        <v>100</v>
      </c>
      <c r="I123" s="475">
        <f t="shared" si="27"/>
        <v>100</v>
      </c>
      <c r="J123" s="475">
        <f t="shared" si="27"/>
        <v>100</v>
      </c>
      <c r="K123" s="475">
        <f t="shared" si="27"/>
        <v>100</v>
      </c>
      <c r="L123" s="475">
        <f t="shared" si="27"/>
        <v>100</v>
      </c>
      <c r="M123" s="476">
        <f t="shared" si="27"/>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1916</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8">C125-$K42</f>
        <v>100</v>
      </c>
      <c r="E125" s="475">
        <f t="shared" si="28"/>
        <v>100</v>
      </c>
      <c r="F125" s="475">
        <f t="shared" si="28"/>
        <v>100</v>
      </c>
      <c r="G125" s="475">
        <f t="shared" si="28"/>
        <v>100</v>
      </c>
      <c r="H125" s="475">
        <f t="shared" si="28"/>
        <v>100</v>
      </c>
      <c r="I125" s="475">
        <f t="shared" si="28"/>
        <v>100</v>
      </c>
      <c r="J125" s="475">
        <f t="shared" si="28"/>
        <v>100</v>
      </c>
      <c r="K125" s="475">
        <f t="shared" si="28"/>
        <v>100</v>
      </c>
      <c r="L125" s="475">
        <f t="shared" si="28"/>
        <v>100</v>
      </c>
      <c r="M125" s="476">
        <f t="shared" si="28"/>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1768</v>
      </c>
      <c r="B4" s="346"/>
      <c r="C4" s="3376" t="s">
        <v>1769</v>
      </c>
      <c r="D4" s="3377"/>
      <c r="E4" s="3378" t="s">
        <v>1770</v>
      </c>
      <c r="F4" s="3379"/>
      <c r="G4" s="3376" t="s">
        <v>1771</v>
      </c>
      <c r="H4" s="3377"/>
      <c r="I4" s="3376" t="s">
        <v>1772</v>
      </c>
      <c r="J4" s="3377"/>
      <c r="K4" s="537" t="s">
        <v>1773</v>
      </c>
      <c r="L4" s="2485"/>
      <c r="M4" s="2486"/>
      <c r="N4" s="2486"/>
      <c r="O4" s="2486"/>
      <c r="P4" s="3418" t="s">
        <v>1774</v>
      </c>
      <c r="Q4" s="3419"/>
      <c r="R4" s="3422" t="s">
        <v>1770</v>
      </c>
      <c r="S4" s="3423"/>
      <c r="T4" s="3422" t="s">
        <v>1771</v>
      </c>
      <c r="U4" s="3423"/>
      <c r="V4" s="3360" t="s">
        <v>1772</v>
      </c>
      <c r="W4" s="3360"/>
      <c r="X4" s="1263"/>
      <c r="Y4" s="3422" t="s">
        <v>1774</v>
      </c>
      <c r="Z4" s="3423"/>
      <c r="AA4" s="3417" t="s">
        <v>1770</v>
      </c>
      <c r="AB4" s="3406" t="s">
        <v>1771</v>
      </c>
      <c r="AC4" s="3417" t="s">
        <v>1772</v>
      </c>
    </row>
    <row r="5" spans="1:29" ht="15">
      <c r="A5" s="348"/>
      <c r="B5" s="349"/>
      <c r="C5" s="3401" t="s">
        <v>1672</v>
      </c>
      <c r="D5" s="3402"/>
      <c r="E5" s="3446" t="s">
        <v>1673</v>
      </c>
      <c r="F5" s="3396"/>
      <c r="G5" s="3401" t="s">
        <v>1674</v>
      </c>
      <c r="H5" s="3402"/>
      <c r="I5" s="3401" t="s">
        <v>1675</v>
      </c>
      <c r="J5" s="3402"/>
      <c r="K5" s="537"/>
      <c r="L5" s="2485"/>
      <c r="M5" s="2486"/>
      <c r="N5" s="2486"/>
      <c r="O5" s="2486"/>
      <c r="P5" s="3420"/>
      <c r="Q5" s="3383"/>
      <c r="R5" s="3388"/>
      <c r="S5" s="3389"/>
      <c r="T5" s="3388"/>
      <c r="U5" s="3389"/>
      <c r="V5" s="3360"/>
      <c r="W5" s="3360"/>
      <c r="X5" s="1263"/>
      <c r="Y5" s="3388"/>
      <c r="Z5" s="3389"/>
      <c r="AA5" s="3406"/>
      <c r="AB5" s="3406"/>
      <c r="AC5" s="3406"/>
    </row>
    <row r="6" spans="1:29" ht="15.75" thickBot="1">
      <c r="A6" s="350"/>
      <c r="B6" s="351"/>
      <c r="C6" s="3452" t="s">
        <v>1918</v>
      </c>
      <c r="D6" s="3453"/>
      <c r="E6" s="3454" t="s">
        <v>1918</v>
      </c>
      <c r="F6" s="3455"/>
      <c r="G6" s="3452" t="s">
        <v>1918</v>
      </c>
      <c r="H6" s="3453"/>
      <c r="I6" s="3452" t="s">
        <v>1918</v>
      </c>
      <c r="J6" s="3453"/>
      <c r="K6" s="537" t="s">
        <v>1677</v>
      </c>
      <c r="L6" s="2485"/>
      <c r="M6" s="2486"/>
      <c r="N6" s="2486"/>
      <c r="O6" s="2486"/>
      <c r="P6" s="3421"/>
      <c r="Q6" s="3385"/>
      <c r="R6" s="3388"/>
      <c r="S6" s="3389"/>
      <c r="T6" s="3390"/>
      <c r="U6" s="3391"/>
      <c r="V6" s="3360"/>
      <c r="W6" s="3360"/>
      <c r="X6" s="1263"/>
      <c r="Y6" s="3390"/>
      <c r="Z6" s="3391"/>
      <c r="AA6" s="3407"/>
      <c r="AB6" s="3407"/>
      <c r="AC6" s="3407"/>
    </row>
    <row r="7" spans="1:29" s="102" customFormat="1" ht="15.75" thickBot="1">
      <c r="A7" s="352" t="s">
        <v>1678</v>
      </c>
      <c r="B7" s="353"/>
      <c r="C7" s="354">
        <f>'数据-取费表'!B2</f>
        <v>45065</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99" t="s">
        <v>1679</v>
      </c>
      <c r="Q7" s="3400"/>
      <c r="R7" s="663" t="s">
        <v>14</v>
      </c>
      <c r="S7" s="664">
        <f t="shared" ref="S7:S15" si="0">F7</f>
        <v>0</v>
      </c>
      <c r="T7" s="663" t="s">
        <v>14</v>
      </c>
      <c r="U7" s="664">
        <f t="shared" ref="U7:U15" si="1">H7</f>
        <v>0</v>
      </c>
      <c r="V7" s="663" t="s">
        <v>14</v>
      </c>
      <c r="W7" s="664">
        <f t="shared" ref="W7:W15" si="2">J7</f>
        <v>0</v>
      </c>
      <c r="X7" s="665"/>
      <c r="Y7" s="3399" t="s">
        <v>1679</v>
      </c>
      <c r="Z7" s="3398"/>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99" t="s">
        <v>1682</v>
      </c>
      <c r="Q8" s="3398"/>
      <c r="R8" s="663" t="s">
        <v>14</v>
      </c>
      <c r="S8" s="664">
        <f t="shared" si="0"/>
        <v>0</v>
      </c>
      <c r="T8" s="663" t="s">
        <v>14</v>
      </c>
      <c r="U8" s="664">
        <f t="shared" si="1"/>
        <v>0</v>
      </c>
      <c r="V8" s="663" t="s">
        <v>14</v>
      </c>
      <c r="W8" s="664">
        <f t="shared" si="2"/>
        <v>0</v>
      </c>
      <c r="X8" s="665"/>
      <c r="Y8" s="3399" t="s">
        <v>1682</v>
      </c>
      <c r="Z8" s="3398"/>
      <c r="AA8" s="50" t="e">
        <f t="shared" ref="AA8:AA40" si="3">D8/F8</f>
        <v>#DIV/0!</v>
      </c>
      <c r="AB8" s="50" t="e">
        <f t="shared" ref="AB8:AB40" si="4">D8/H8</f>
        <v>#DIV/0!</v>
      </c>
      <c r="AC8" s="50" t="e">
        <f t="shared" ref="AC8:AC40" si="5">D8/J8</f>
        <v>#DIV/0!</v>
      </c>
    </row>
    <row r="9" spans="1:29" s="102" customFormat="1">
      <c r="A9" s="359" t="s">
        <v>1683</v>
      </c>
      <c r="B9" s="60" t="s">
        <v>1684</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59" t="s">
        <v>1685</v>
      </c>
      <c r="Q9" s="530" t="str">
        <f t="shared" ref="Q9:Q15" si="6">B9</f>
        <v>用途</v>
      </c>
      <c r="R9" s="663" t="s">
        <v>14</v>
      </c>
      <c r="S9" s="664">
        <f t="shared" si="0"/>
        <v>100</v>
      </c>
      <c r="T9" s="663" t="s">
        <v>14</v>
      </c>
      <c r="U9" s="664">
        <f t="shared" si="1"/>
        <v>100</v>
      </c>
      <c r="V9" s="663" t="s">
        <v>14</v>
      </c>
      <c r="W9" s="664">
        <f t="shared" si="2"/>
        <v>100</v>
      </c>
      <c r="X9" s="665"/>
      <c r="Y9" s="3257"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129</v>
      </c>
      <c r="G10" s="371"/>
      <c r="H10" s="119">
        <f>ROUND(100/'数据-取费表'!G16,0)</f>
        <v>129</v>
      </c>
      <c r="I10" s="371"/>
      <c r="J10" s="119">
        <f>ROUND(100/'数据-取费表'!G16,0)</f>
        <v>129</v>
      </c>
      <c r="K10" s="591"/>
      <c r="L10" s="2488"/>
      <c r="M10" s="2489"/>
      <c r="N10" s="2489"/>
      <c r="O10" s="2540"/>
      <c r="P10" s="3359"/>
      <c r="Q10" s="530" t="str">
        <f t="shared" si="6"/>
        <v>土地使用年限（年）</v>
      </c>
      <c r="R10" s="663" t="s">
        <v>14</v>
      </c>
      <c r="S10" s="664">
        <f t="shared" si="0"/>
        <v>129</v>
      </c>
      <c r="T10" s="663" t="s">
        <v>14</v>
      </c>
      <c r="U10" s="664">
        <f t="shared" si="1"/>
        <v>129</v>
      </c>
      <c r="V10" s="663" t="s">
        <v>14</v>
      </c>
      <c r="W10" s="664">
        <f t="shared" si="2"/>
        <v>129</v>
      </c>
      <c r="X10" s="665"/>
      <c r="Y10" s="3257"/>
      <c r="Z10" s="50" t="str">
        <f t="shared" si="7"/>
        <v>土地使用年限（年）</v>
      </c>
      <c r="AA10" s="50">
        <f t="shared" si="3"/>
        <v>0.77519379844961245</v>
      </c>
      <c r="AB10" s="50">
        <f t="shared" si="4"/>
        <v>0.77519379844961245</v>
      </c>
      <c r="AC10" s="50">
        <f t="shared" si="5"/>
        <v>0.77519379844961245</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59"/>
      <c r="Q11" s="530" t="str">
        <f t="shared" si="6"/>
        <v>容积率</v>
      </c>
      <c r="R11" s="663" t="s">
        <v>14</v>
      </c>
      <c r="S11" s="664" t="e">
        <f t="shared" si="0"/>
        <v>#N/A</v>
      </c>
      <c r="T11" s="663" t="s">
        <v>14</v>
      </c>
      <c r="U11" s="664" t="e">
        <f t="shared" si="1"/>
        <v>#N/A</v>
      </c>
      <c r="V11" s="663" t="s">
        <v>14</v>
      </c>
      <c r="W11" s="664" t="e">
        <f t="shared" si="2"/>
        <v>#N/A</v>
      </c>
      <c r="X11" s="665"/>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8"/>
      <c r="N12" s="2438"/>
      <c r="O12" s="2539"/>
      <c r="P12" s="3359"/>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59"/>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59"/>
      <c r="Q14" s="530">
        <f t="shared" si="6"/>
        <v>111</v>
      </c>
      <c r="R14" s="663" t="s">
        <v>14</v>
      </c>
      <c r="S14" s="664">
        <f t="shared" si="0"/>
        <v>100</v>
      </c>
      <c r="T14" s="663" t="s">
        <v>14</v>
      </c>
      <c r="U14" s="664">
        <f t="shared" si="1"/>
        <v>100</v>
      </c>
      <c r="V14" s="663" t="s">
        <v>14</v>
      </c>
      <c r="W14" s="664">
        <f t="shared" si="2"/>
        <v>100</v>
      </c>
      <c r="X14" s="665"/>
      <c r="Y14" s="3257"/>
      <c r="Z14" s="50">
        <f t="shared" si="7"/>
        <v>111</v>
      </c>
      <c r="AA14" s="50">
        <f t="shared" si="3"/>
        <v>1</v>
      </c>
      <c r="AB14" s="50">
        <f t="shared" si="4"/>
        <v>1</v>
      </c>
      <c r="AC14" s="50">
        <f t="shared" si="5"/>
        <v>1</v>
      </c>
    </row>
    <row r="15" spans="1:29" ht="57">
      <c r="A15" s="379" t="s">
        <v>1689</v>
      </c>
      <c r="B15" s="553" t="s">
        <v>1919</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366" t="s">
        <v>1690</v>
      </c>
      <c r="Q15" s="1261" t="str">
        <f t="shared" si="6"/>
        <v>产业集聚程度</v>
      </c>
      <c r="R15" s="666" t="s">
        <v>14</v>
      </c>
      <c r="S15" s="667">
        <f t="shared" si="0"/>
        <v>100</v>
      </c>
      <c r="T15" s="666" t="s">
        <v>14</v>
      </c>
      <c r="U15" s="667">
        <f t="shared" si="1"/>
        <v>100</v>
      </c>
      <c r="V15" s="666" t="s">
        <v>14</v>
      </c>
      <c r="W15" s="667">
        <f t="shared" si="2"/>
        <v>100</v>
      </c>
      <c r="X15" s="1263"/>
      <c r="Y15" s="3366" t="s">
        <v>1690</v>
      </c>
      <c r="Z15" s="1262" t="str">
        <f t="shared" si="7"/>
        <v>产业集聚程度</v>
      </c>
      <c r="AA15" s="1262">
        <f t="shared" si="3"/>
        <v>1</v>
      </c>
      <c r="AB15" s="1262">
        <f t="shared" si="4"/>
        <v>1</v>
      </c>
      <c r="AC15" s="1262">
        <f t="shared" si="5"/>
        <v>1</v>
      </c>
    </row>
    <row r="16" spans="1:29" ht="15">
      <c r="A16" s="367"/>
      <c r="B16" s="554"/>
      <c r="C16" s="386"/>
      <c r="D16" s="387"/>
      <c r="E16" s="1756"/>
      <c r="F16" s="387"/>
      <c r="G16" s="1756"/>
      <c r="H16" s="389"/>
      <c r="I16" s="1756"/>
      <c r="J16" s="387"/>
      <c r="K16" s="591"/>
      <c r="L16" s="2491"/>
      <c r="M16" s="2486"/>
      <c r="N16" s="2486"/>
      <c r="O16" s="2541"/>
      <c r="P16" s="3367"/>
      <c r="Q16" s="1261"/>
      <c r="R16" s="666"/>
      <c r="S16" s="667"/>
      <c r="T16" s="666"/>
      <c r="U16" s="667"/>
      <c r="V16" s="666"/>
      <c r="W16" s="667"/>
      <c r="X16" s="1263"/>
      <c r="Y16" s="3367"/>
      <c r="Z16" s="1262"/>
      <c r="AA16" s="1262">
        <v>1</v>
      </c>
      <c r="AB16" s="1262">
        <v>1</v>
      </c>
      <c r="AC16" s="1262">
        <v>1</v>
      </c>
    </row>
    <row r="17" spans="1:29" ht="85.5">
      <c r="A17" s="367"/>
      <c r="B17" s="555" t="s">
        <v>1832</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367"/>
      <c r="Q17" s="1261" t="str">
        <f>B17</f>
        <v>交通便捷度</v>
      </c>
      <c r="R17" s="666" t="s">
        <v>14</v>
      </c>
      <c r="S17" s="667">
        <f>F17</f>
        <v>100</v>
      </c>
      <c r="T17" s="666" t="s">
        <v>14</v>
      </c>
      <c r="U17" s="667">
        <f>H17</f>
        <v>100</v>
      </c>
      <c r="V17" s="666" t="s">
        <v>14</v>
      </c>
      <c r="W17" s="667">
        <f>J17</f>
        <v>100</v>
      </c>
      <c r="X17" s="1263"/>
      <c r="Y17" s="3367"/>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1"/>
      <c r="L18" s="2491"/>
      <c r="M18" s="2486"/>
      <c r="N18" s="2486"/>
      <c r="O18" s="2541"/>
      <c r="P18" s="3367"/>
      <c r="Q18" s="1261"/>
      <c r="R18" s="666"/>
      <c r="S18" s="667"/>
      <c r="T18" s="666"/>
      <c r="U18" s="667"/>
      <c r="V18" s="666"/>
      <c r="W18" s="667"/>
      <c r="X18" s="1263"/>
      <c r="Y18" s="3367"/>
      <c r="Z18" s="1262"/>
      <c r="AA18" s="1262">
        <v>1</v>
      </c>
      <c r="AB18" s="1262">
        <v>1</v>
      </c>
      <c r="AC18" s="1262">
        <v>1</v>
      </c>
    </row>
    <row r="19" spans="1:29" ht="15">
      <c r="A19" s="367"/>
      <c r="B19" s="555" t="s">
        <v>1870</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367"/>
      <c r="Q19" s="1261" t="str">
        <f t="shared" ref="Q19:Q33" si="8">B19</f>
        <v>区域土地利用方向</v>
      </c>
      <c r="R19" s="666" t="s">
        <v>14</v>
      </c>
      <c r="S19" s="667">
        <f>F19</f>
        <v>100</v>
      </c>
      <c r="T19" s="666" t="s">
        <v>14</v>
      </c>
      <c r="U19" s="667">
        <f>H19</f>
        <v>100</v>
      </c>
      <c r="V19" s="666" t="s">
        <v>14</v>
      </c>
      <c r="W19" s="667">
        <f>J19</f>
        <v>100</v>
      </c>
      <c r="X19" s="1263"/>
      <c r="Y19" s="3367"/>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7"/>
      <c r="L20" s="2491"/>
      <c r="M20" s="2486"/>
      <c r="N20" s="2486"/>
      <c r="O20" s="2541"/>
      <c r="P20" s="3367"/>
      <c r="Q20" s="1261"/>
      <c r="R20" s="666"/>
      <c r="S20" s="667"/>
      <c r="T20" s="666"/>
      <c r="U20" s="667"/>
      <c r="V20" s="666"/>
      <c r="W20" s="667"/>
      <c r="X20" s="1263"/>
      <c r="Y20" s="3367"/>
      <c r="Z20" s="1262"/>
      <c r="AA20" s="1262"/>
      <c r="AB20" s="1262"/>
      <c r="AC20" s="1262"/>
    </row>
    <row r="21" spans="1:29" ht="71.25">
      <c r="A21" s="348"/>
      <c r="B21" s="555" t="s">
        <v>1920</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367"/>
      <c r="Q21" s="1261" t="str">
        <f t="shared" si="8"/>
        <v>环境状况</v>
      </c>
      <c r="R21" s="666" t="s">
        <v>14</v>
      </c>
      <c r="S21" s="667">
        <f>F21</f>
        <v>100</v>
      </c>
      <c r="T21" s="666" t="s">
        <v>14</v>
      </c>
      <c r="U21" s="667">
        <f>H21</f>
        <v>100</v>
      </c>
      <c r="V21" s="666" t="s">
        <v>14</v>
      </c>
      <c r="W21" s="667">
        <f>J21</f>
        <v>100</v>
      </c>
      <c r="X21" s="1263"/>
      <c r="Y21" s="3367"/>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1"/>
      <c r="L22" s="2491"/>
      <c r="M22" s="2486"/>
      <c r="N22" s="2486"/>
      <c r="O22" s="2541"/>
      <c r="P22" s="3367"/>
      <c r="Q22" s="1261"/>
      <c r="R22" s="666"/>
      <c r="S22" s="667"/>
      <c r="T22" s="666"/>
      <c r="U22" s="667"/>
      <c r="V22" s="666"/>
      <c r="W22" s="667"/>
      <c r="X22" s="1263"/>
      <c r="Y22" s="3367"/>
      <c r="Z22" s="1262"/>
      <c r="AA22" s="1262">
        <v>1</v>
      </c>
      <c r="AB22" s="1262">
        <v>1</v>
      </c>
      <c r="AC22" s="1262">
        <v>1</v>
      </c>
    </row>
    <row r="23" spans="1:29" s="102" customFormat="1" ht="42.75">
      <c r="A23" s="443"/>
      <c r="B23" s="556" t="s">
        <v>1777</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8"/>
      <c r="N23" s="2438"/>
      <c r="O23" s="2539"/>
      <c r="P23" s="3367"/>
      <c r="Q23" s="530" t="str">
        <f t="shared" si="8"/>
        <v>公共配套设施</v>
      </c>
      <c r="R23" s="663" t="s">
        <v>14</v>
      </c>
      <c r="S23" s="664">
        <f>F23</f>
        <v>100</v>
      </c>
      <c r="T23" s="663" t="s">
        <v>14</v>
      </c>
      <c r="U23" s="664">
        <f>H23</f>
        <v>100</v>
      </c>
      <c r="V23" s="663" t="s">
        <v>14</v>
      </c>
      <c r="W23" s="664">
        <f>J23</f>
        <v>100</v>
      </c>
      <c r="X23" s="665"/>
      <c r="Y23" s="3367"/>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1"/>
      <c r="L24" s="2487"/>
      <c r="M24" s="2438"/>
      <c r="N24" s="2438"/>
      <c r="O24" s="2539"/>
      <c r="P24" s="3367"/>
      <c r="Q24" s="530"/>
      <c r="R24" s="663"/>
      <c r="S24" s="664"/>
      <c r="T24" s="663"/>
      <c r="U24" s="664"/>
      <c r="V24" s="663"/>
      <c r="W24" s="664"/>
      <c r="X24" s="665"/>
      <c r="Y24" s="3367"/>
      <c r="Z24" s="50"/>
      <c r="AA24" s="50">
        <v>1</v>
      </c>
      <c r="AB24" s="50">
        <v>1</v>
      </c>
      <c r="AC24" s="50">
        <v>1</v>
      </c>
    </row>
    <row r="25" spans="1:29" s="102" customFormat="1" ht="28.5">
      <c r="A25" s="443"/>
      <c r="B25" s="556" t="s">
        <v>1778</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8"/>
      <c r="N25" s="2438"/>
      <c r="O25" s="2539"/>
      <c r="P25" s="3367"/>
      <c r="Q25" s="530" t="str">
        <f>B25</f>
        <v>基础设施水平</v>
      </c>
      <c r="R25" s="663" t="s">
        <v>14</v>
      </c>
      <c r="S25" s="664">
        <f>F25</f>
        <v>100</v>
      </c>
      <c r="T25" s="663" t="s">
        <v>14</v>
      </c>
      <c r="U25" s="664">
        <f>H25</f>
        <v>100</v>
      </c>
      <c r="V25" s="663" t="s">
        <v>14</v>
      </c>
      <c r="W25" s="664">
        <f>J25</f>
        <v>100</v>
      </c>
      <c r="X25" s="665"/>
      <c r="Y25" s="3367"/>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1"/>
      <c r="L26" s="2487"/>
      <c r="M26" s="2438"/>
      <c r="N26" s="2438"/>
      <c r="O26" s="2539"/>
      <c r="P26" s="3367"/>
      <c r="Q26" s="530"/>
      <c r="R26" s="663"/>
      <c r="S26" s="664"/>
      <c r="T26" s="663"/>
      <c r="U26" s="664"/>
      <c r="V26" s="663"/>
      <c r="W26" s="664"/>
      <c r="X26" s="665"/>
      <c r="Y26" s="3367"/>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367"/>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367"/>
      <c r="Z27" s="1262" t="str">
        <f t="shared" ref="Z27:Z40" si="12">Q27</f>
        <v>临街状况</v>
      </c>
      <c r="AA27" s="1262">
        <f t="shared" si="3"/>
        <v>1</v>
      </c>
      <c r="AB27" s="1262">
        <f t="shared" si="4"/>
        <v>1</v>
      </c>
      <c r="AC27" s="1262">
        <f t="shared" si="5"/>
        <v>1</v>
      </c>
    </row>
    <row r="28" spans="1:29" ht="27">
      <c r="A28" s="367"/>
      <c r="B28" s="556" t="s">
        <v>1814</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367"/>
      <c r="Q28" s="1261" t="str">
        <f t="shared" si="8"/>
        <v>毗邻道路的类型与等级</v>
      </c>
      <c r="R28" s="666" t="s">
        <v>14</v>
      </c>
      <c r="S28" s="667">
        <f t="shared" si="9"/>
        <v>100</v>
      </c>
      <c r="T28" s="666" t="s">
        <v>14</v>
      </c>
      <c r="U28" s="667">
        <f t="shared" si="10"/>
        <v>100</v>
      </c>
      <c r="V28" s="666" t="s">
        <v>14</v>
      </c>
      <c r="W28" s="667">
        <f t="shared" si="11"/>
        <v>100</v>
      </c>
      <c r="X28" s="1263"/>
      <c r="Y28" s="3367"/>
      <c r="Z28" s="1262" t="str">
        <f t="shared" si="12"/>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367"/>
      <c r="Q29" s="1261"/>
      <c r="R29" s="666"/>
      <c r="S29" s="667"/>
      <c r="T29" s="666"/>
      <c r="U29" s="667"/>
      <c r="V29" s="666"/>
      <c r="W29" s="667"/>
      <c r="X29" s="1263"/>
      <c r="Y29" s="3367"/>
      <c r="Z29" s="1262"/>
      <c r="AA29" s="1262">
        <v>1</v>
      </c>
      <c r="AB29" s="1262">
        <v>1</v>
      </c>
      <c r="AC29" s="1262">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367"/>
      <c r="Q30" s="1261" t="str">
        <f t="shared" si="8"/>
        <v>土地级别</v>
      </c>
      <c r="R30" s="666" t="s">
        <v>14</v>
      </c>
      <c r="S30" s="667">
        <f t="shared" si="9"/>
        <v>100</v>
      </c>
      <c r="T30" s="666" t="s">
        <v>14</v>
      </c>
      <c r="U30" s="667">
        <f t="shared" si="10"/>
        <v>100</v>
      </c>
      <c r="V30" s="666" t="s">
        <v>14</v>
      </c>
      <c r="W30" s="667">
        <f t="shared" si="11"/>
        <v>100</v>
      </c>
      <c r="X30" s="1263"/>
      <c r="Y30" s="3367"/>
      <c r="Z30" s="1262" t="str">
        <f t="shared" si="12"/>
        <v>土地级别</v>
      </c>
      <c r="AA30" s="1262">
        <f t="shared" si="3"/>
        <v>1</v>
      </c>
      <c r="AB30" s="1262">
        <f t="shared" si="4"/>
        <v>1</v>
      </c>
      <c r="AC30" s="1262">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7"/>
      <c r="Q31" s="1261">
        <f t="shared" si="8"/>
        <v>111</v>
      </c>
      <c r="R31" s="666" t="s">
        <v>14</v>
      </c>
      <c r="S31" s="667">
        <f t="shared" si="9"/>
        <v>100</v>
      </c>
      <c r="T31" s="666" t="s">
        <v>14</v>
      </c>
      <c r="U31" s="667">
        <f t="shared" si="10"/>
        <v>100</v>
      </c>
      <c r="V31" s="666" t="s">
        <v>14</v>
      </c>
      <c r="W31" s="667">
        <f t="shared" si="11"/>
        <v>100</v>
      </c>
      <c r="X31" s="1263"/>
      <c r="Y31" s="3367"/>
      <c r="Z31" s="1262">
        <f t="shared" si="12"/>
        <v>111</v>
      </c>
      <c r="AA31" s="1262">
        <f t="shared" si="3"/>
        <v>1</v>
      </c>
      <c r="AB31" s="1262">
        <f t="shared" si="4"/>
        <v>1</v>
      </c>
      <c r="AC31" s="1262">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47" t="s">
        <v>1695</v>
      </c>
      <c r="Q32" s="1261">
        <f t="shared" si="8"/>
        <v>111</v>
      </c>
      <c r="R32" s="666" t="s">
        <v>14</v>
      </c>
      <c r="S32" s="667">
        <f t="shared" si="9"/>
        <v>100</v>
      </c>
      <c r="T32" s="666" t="s">
        <v>14</v>
      </c>
      <c r="U32" s="667">
        <f t="shared" si="10"/>
        <v>100</v>
      </c>
      <c r="V32" s="666" t="s">
        <v>14</v>
      </c>
      <c r="W32" s="667">
        <f t="shared" si="11"/>
        <v>100</v>
      </c>
      <c r="X32" s="1263"/>
      <c r="Y32" s="3371" t="s">
        <v>1695</v>
      </c>
      <c r="Z32" s="1262">
        <f t="shared" si="12"/>
        <v>111</v>
      </c>
      <c r="AA32" s="1262">
        <f t="shared" si="3"/>
        <v>1</v>
      </c>
      <c r="AB32" s="1262">
        <f t="shared" si="4"/>
        <v>1</v>
      </c>
      <c r="AC32" s="1262">
        <f t="shared" si="5"/>
        <v>1</v>
      </c>
    </row>
    <row r="33" spans="1:31" s="408" customFormat="1" ht="15.75"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371"/>
      <c r="Q33" s="1261">
        <f t="shared" si="8"/>
        <v>111</v>
      </c>
      <c r="R33" s="668" t="s">
        <v>14</v>
      </c>
      <c r="S33" s="669">
        <f t="shared" si="9"/>
        <v>100</v>
      </c>
      <c r="T33" s="668" t="s">
        <v>14</v>
      </c>
      <c r="U33" s="669">
        <f t="shared" si="10"/>
        <v>100</v>
      </c>
      <c r="V33" s="668" t="s">
        <v>14</v>
      </c>
      <c r="W33" s="669">
        <f t="shared" si="11"/>
        <v>100</v>
      </c>
      <c r="X33" s="670"/>
      <c r="Y33" s="3371"/>
      <c r="Z33" s="671">
        <f t="shared" si="12"/>
        <v>111</v>
      </c>
      <c r="AA33" s="1262">
        <f t="shared" si="3"/>
        <v>1</v>
      </c>
      <c r="AB33" s="1262">
        <f t="shared" si="4"/>
        <v>1</v>
      </c>
      <c r="AC33" s="1262">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371"/>
      <c r="Q34" s="1261" t="str">
        <f>B34</f>
        <v>宗地面积</v>
      </c>
      <c r="R34" s="666" t="s">
        <v>14</v>
      </c>
      <c r="S34" s="667" t="e">
        <f t="shared" si="9"/>
        <v>#N/A</v>
      </c>
      <c r="T34" s="666" t="s">
        <v>14</v>
      </c>
      <c r="U34" s="667" t="e">
        <f t="shared" si="10"/>
        <v>#N/A</v>
      </c>
      <c r="V34" s="666" t="s">
        <v>14</v>
      </c>
      <c r="W34" s="667" t="e">
        <f t="shared" si="11"/>
        <v>#N/A</v>
      </c>
      <c r="X34" s="1263"/>
      <c r="Y34" s="3371"/>
      <c r="Z34" s="1262" t="str">
        <f t="shared" si="12"/>
        <v>宗地面积</v>
      </c>
      <c r="AA34" s="1262" t="e">
        <f t="shared" si="3"/>
        <v>#N/A</v>
      </c>
      <c r="AB34" s="1262" t="e">
        <f t="shared" si="4"/>
        <v>#N/A</v>
      </c>
      <c r="AC34" s="1262" t="e">
        <f t="shared" si="5"/>
        <v>#N/A</v>
      </c>
    </row>
    <row r="35" spans="1:31" ht="15">
      <c r="A35" s="409"/>
      <c r="B35" s="364" t="s">
        <v>1874</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71"/>
      <c r="Q35" s="1261" t="str">
        <f t="shared" ref="Q35:Q40" si="13">B35</f>
        <v>宗地形状</v>
      </c>
      <c r="R35" s="666" t="s">
        <v>14</v>
      </c>
      <c r="S35" s="667">
        <f t="shared" si="9"/>
        <v>100</v>
      </c>
      <c r="T35" s="666" t="s">
        <v>14</v>
      </c>
      <c r="U35" s="667">
        <f t="shared" si="10"/>
        <v>100</v>
      </c>
      <c r="V35" s="666" t="s">
        <v>14</v>
      </c>
      <c r="W35" s="667">
        <f t="shared" si="11"/>
        <v>100</v>
      </c>
      <c r="X35" s="1263"/>
      <c r="Y35" s="3371"/>
      <c r="Z35" s="1262" t="str">
        <f t="shared" si="12"/>
        <v>宗地形状</v>
      </c>
      <c r="AA35" s="1262">
        <f t="shared" si="3"/>
        <v>1</v>
      </c>
      <c r="AB35" s="1262">
        <f t="shared" si="4"/>
        <v>1</v>
      </c>
      <c r="AC35" s="1262">
        <f t="shared" si="5"/>
        <v>1</v>
      </c>
    </row>
    <row r="36" spans="1:31" s="102" customFormat="1" ht="15">
      <c r="A36" s="410"/>
      <c r="B36" s="364" t="s">
        <v>1876</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71"/>
      <c r="Q36" s="1261" t="str">
        <f t="shared" si="13"/>
        <v>宗地开发程度</v>
      </c>
      <c r="R36" s="663" t="s">
        <v>14</v>
      </c>
      <c r="S36" s="664">
        <f t="shared" si="9"/>
        <v>100</v>
      </c>
      <c r="T36" s="663" t="s">
        <v>14</v>
      </c>
      <c r="U36" s="664">
        <f t="shared" si="10"/>
        <v>100</v>
      </c>
      <c r="V36" s="663" t="s">
        <v>14</v>
      </c>
      <c r="W36" s="664">
        <f t="shared" si="11"/>
        <v>100</v>
      </c>
      <c r="X36" s="665"/>
      <c r="Y36" s="3371"/>
      <c r="Z36" s="50" t="str">
        <f t="shared" si="12"/>
        <v>宗地开发程度</v>
      </c>
      <c r="AA36" s="50">
        <f t="shared" si="3"/>
        <v>1</v>
      </c>
      <c r="AB36" s="50">
        <f t="shared" si="4"/>
        <v>1</v>
      </c>
      <c r="AC36" s="50">
        <f t="shared" si="5"/>
        <v>1</v>
      </c>
    </row>
    <row r="37" spans="1:31" ht="15">
      <c r="A37" s="409"/>
      <c r="B37" s="364" t="s">
        <v>1877</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71" t="s">
        <v>1695</v>
      </c>
      <c r="Q37" s="1261" t="str">
        <f t="shared" si="13"/>
        <v>工程地质条件</v>
      </c>
      <c r="R37" s="666" t="s">
        <v>14</v>
      </c>
      <c r="S37" s="667">
        <f t="shared" si="9"/>
        <v>100</v>
      </c>
      <c r="T37" s="666" t="s">
        <v>14</v>
      </c>
      <c r="U37" s="667">
        <f t="shared" si="10"/>
        <v>100</v>
      </c>
      <c r="V37" s="666" t="s">
        <v>14</v>
      </c>
      <c r="W37" s="667">
        <f t="shared" si="11"/>
        <v>100</v>
      </c>
      <c r="X37" s="1263"/>
      <c r="Y37" s="3371" t="s">
        <v>1695</v>
      </c>
      <c r="Z37" s="1262" t="str">
        <f t="shared" si="12"/>
        <v>工程地质条件</v>
      </c>
      <c r="AA37" s="1262">
        <f t="shared" si="3"/>
        <v>1</v>
      </c>
      <c r="AB37" s="1262">
        <f t="shared" si="4"/>
        <v>1</v>
      </c>
      <c r="AC37" s="1262">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371"/>
      <c r="Q38" s="1261">
        <f t="shared" si="13"/>
        <v>111</v>
      </c>
      <c r="R38" s="666" t="s">
        <v>14</v>
      </c>
      <c r="S38" s="667">
        <f t="shared" si="9"/>
        <v>100</v>
      </c>
      <c r="T38" s="666" t="s">
        <v>14</v>
      </c>
      <c r="U38" s="667">
        <f t="shared" si="10"/>
        <v>100</v>
      </c>
      <c r="V38" s="666" t="s">
        <v>14</v>
      </c>
      <c r="W38" s="667">
        <f t="shared" si="11"/>
        <v>100</v>
      </c>
      <c r="X38" s="1263"/>
      <c r="Y38" s="3371"/>
      <c r="Z38" s="1262">
        <f t="shared" si="12"/>
        <v>111</v>
      </c>
      <c r="AA38" s="1262">
        <f t="shared" si="3"/>
        <v>1</v>
      </c>
      <c r="AB38" s="1262">
        <f t="shared" si="4"/>
        <v>1</v>
      </c>
      <c r="AC38" s="1262">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371"/>
      <c r="Q39" s="1261">
        <f t="shared" si="13"/>
        <v>111</v>
      </c>
      <c r="R39" s="666" t="s">
        <v>14</v>
      </c>
      <c r="S39" s="667">
        <f t="shared" si="9"/>
        <v>100</v>
      </c>
      <c r="T39" s="666" t="s">
        <v>14</v>
      </c>
      <c r="U39" s="667">
        <f t="shared" si="10"/>
        <v>100</v>
      </c>
      <c r="V39" s="666" t="s">
        <v>14</v>
      </c>
      <c r="W39" s="667">
        <f t="shared" si="11"/>
        <v>100</v>
      </c>
      <c r="X39" s="1263"/>
      <c r="Y39" s="3371"/>
      <c r="Z39" s="1262">
        <f t="shared" si="12"/>
        <v>111</v>
      </c>
      <c r="AA39" s="1262">
        <f t="shared" si="3"/>
        <v>1</v>
      </c>
      <c r="AB39" s="1262">
        <f t="shared" si="4"/>
        <v>1</v>
      </c>
      <c r="AC39" s="1262">
        <f t="shared" si="5"/>
        <v>1</v>
      </c>
    </row>
    <row r="40" spans="1:31" s="408" customFormat="1" ht="15.75" thickBot="1">
      <c r="A40" s="406"/>
      <c r="B40" s="1066">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371"/>
      <c r="Q40" s="1261">
        <f t="shared" si="13"/>
        <v>111</v>
      </c>
      <c r="R40" s="668" t="s">
        <v>14</v>
      </c>
      <c r="S40" s="669">
        <f t="shared" si="9"/>
        <v>100</v>
      </c>
      <c r="T40" s="668" t="s">
        <v>14</v>
      </c>
      <c r="U40" s="669">
        <f t="shared" si="10"/>
        <v>100</v>
      </c>
      <c r="V40" s="668" t="s">
        <v>14</v>
      </c>
      <c r="W40" s="669">
        <f t="shared" si="11"/>
        <v>100</v>
      </c>
      <c r="X40" s="670"/>
      <c r="Y40" s="3371"/>
      <c r="Z40" s="671">
        <f t="shared" si="12"/>
        <v>111</v>
      </c>
      <c r="AA40" s="1262">
        <f t="shared" si="3"/>
        <v>1</v>
      </c>
      <c r="AB40" s="1262">
        <f t="shared" si="4"/>
        <v>1</v>
      </c>
      <c r="AC40" s="1262">
        <f t="shared" si="5"/>
        <v>1</v>
      </c>
    </row>
    <row r="41" spans="1:31" ht="15">
      <c r="A41" s="416" t="s">
        <v>1843</v>
      </c>
      <c r="B41" s="1828" t="s">
        <v>1921</v>
      </c>
      <c r="C41" s="601" t="s">
        <v>0</v>
      </c>
      <c r="D41" s="418"/>
      <c r="E41" s="419"/>
      <c r="F41" s="420"/>
      <c r="G41" s="421"/>
      <c r="H41" s="422"/>
      <c r="I41" s="419"/>
      <c r="J41" s="422"/>
      <c r="K41" s="673"/>
      <c r="L41" s="2493"/>
      <c r="M41" s="2486"/>
      <c r="N41" s="2486"/>
      <c r="O41" s="2486"/>
      <c r="P41" s="3359" t="str">
        <f>A41</f>
        <v>成交单价</v>
      </c>
      <c r="Q41" s="3359"/>
      <c r="R41" s="3360">
        <f>E41</f>
        <v>0</v>
      </c>
      <c r="S41" s="3360"/>
      <c r="T41" s="3360">
        <f>G41</f>
        <v>0</v>
      </c>
      <c r="U41" s="3360"/>
      <c r="V41" s="3360">
        <f>I41</f>
        <v>0</v>
      </c>
      <c r="W41" s="3360"/>
      <c r="X41" s="385"/>
      <c r="Y41" s="672"/>
      <c r="Z41" s="385"/>
      <c r="AA41" s="385"/>
      <c r="AB41" s="385"/>
      <c r="AC41" s="385"/>
    </row>
    <row r="42" spans="1:31" ht="15.75" thickBot="1">
      <c r="A42" s="423" t="s">
        <v>1792</v>
      </c>
      <c r="B42" s="602"/>
      <c r="C42" s="426" t="e">
        <f>R43</f>
        <v>#DIV/0!</v>
      </c>
      <c r="D42" s="2139" t="s">
        <v>2133</v>
      </c>
      <c r="E42" s="426" t="e">
        <f>R42</f>
        <v>#DIV/0!</v>
      </c>
      <c r="F42" s="2140"/>
      <c r="G42" s="425" t="e">
        <f>T42</f>
        <v>#DIV/0!</v>
      </c>
      <c r="H42" s="2140"/>
      <c r="I42" s="426" t="e">
        <f>V42</f>
        <v>#DIV/0!</v>
      </c>
      <c r="J42" s="2140"/>
      <c r="K42" s="2142">
        <f>F42+H42+J42</f>
        <v>0</v>
      </c>
      <c r="L42" s="2493"/>
      <c r="M42" s="2486"/>
      <c r="N42" s="2486"/>
      <c r="O42" s="2486"/>
      <c r="P42" s="3359" t="str">
        <f>A42</f>
        <v>比较价值（元/平方米）</v>
      </c>
      <c r="Q42" s="3359"/>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3"/>
      <c r="M43" s="2486"/>
      <c r="N43" s="2486"/>
      <c r="O43" s="2486"/>
      <c r="P43" s="3414" t="str">
        <f>A43</f>
        <v>估价对象XX用房的比较价值（楼面单价，元/平方米）</v>
      </c>
      <c r="Q43" s="3415"/>
      <c r="R43" s="3450" t="e">
        <f>ROUND(IF(D42="简单平均",AVERAGE(R42:W42),R42*F42+T42*H42+V42*J42),0)</f>
        <v>#DIV/0!</v>
      </c>
      <c r="S43" s="3450"/>
      <c r="T43" s="3450"/>
      <c r="U43" s="3450"/>
      <c r="V43" s="3450"/>
      <c r="W43" s="345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1880</v>
      </c>
      <c r="B50" s="604" t="s">
        <v>1881</v>
      </c>
      <c r="C50" s="1829" t="s">
        <v>1882</v>
      </c>
      <c r="D50" s="1830" t="s">
        <v>1883</v>
      </c>
      <c r="E50" s="605" t="s">
        <v>1884</v>
      </c>
      <c r="F50" s="606" t="s">
        <v>1885</v>
      </c>
      <c r="G50" s="3376" t="s">
        <v>1886</v>
      </c>
      <c r="H50" s="3451"/>
      <c r="I50" s="1262" t="s">
        <v>1922</v>
      </c>
      <c r="J50" s="1262">
        <f>项目基本情况!F35</f>
        <v>0</v>
      </c>
      <c r="K50" s="1832"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1889</v>
      </c>
      <c r="B51" s="608" t="e">
        <f>C43</f>
        <v>#DIV/0!</v>
      </c>
      <c r="C51" s="609">
        <v>1</v>
      </c>
      <c r="D51" s="889">
        <v>1</v>
      </c>
      <c r="E51" s="609">
        <f>'数据-汇总表'!E8+'数据-汇总表'!E9</f>
        <v>391.32000000000005</v>
      </c>
      <c r="F51" s="610" t="e">
        <f t="shared" ref="F51:F60" si="14">ROUND(B51*E51/10000,0)</f>
        <v>#DIV/0!</v>
      </c>
      <c r="G51" s="3358"/>
      <c r="H51" s="3359"/>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1890</v>
      </c>
      <c r="B52" s="210" t="e">
        <f>ROUND($C$43*C52*D52,0)</f>
        <v>#DIV/0!</v>
      </c>
      <c r="C52" s="163">
        <f t="shared" ref="C52:C60" si="15">IF($C$50="北京市系数",I52,J52)</f>
        <v>0</v>
      </c>
      <c r="D52" s="890">
        <v>0.25</v>
      </c>
      <c r="E52" s="613"/>
      <c r="F52" s="610" t="e">
        <f t="shared" si="14"/>
        <v>#DIV/0!</v>
      </c>
      <c r="G52" s="2749" t="s">
        <v>1891</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1892</v>
      </c>
      <c r="B53" s="210" t="e">
        <f t="shared" ref="B53:B60" si="16">ROUND($C$43*C53*D53,0)</f>
        <v>#DIV/0!</v>
      </c>
      <c r="C53" s="163">
        <f t="shared" si="15"/>
        <v>0</v>
      </c>
      <c r="D53" s="890">
        <v>0.25</v>
      </c>
      <c r="E53" s="613"/>
      <c r="F53" s="610" t="e">
        <f t="shared" si="14"/>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1893</v>
      </c>
      <c r="B54" s="210" t="e">
        <f t="shared" si="16"/>
        <v>#DIV/0!</v>
      </c>
      <c r="C54" s="163">
        <f t="shared" si="15"/>
        <v>0</v>
      </c>
      <c r="D54" s="890">
        <v>0.25</v>
      </c>
      <c r="E54" s="613"/>
      <c r="F54" s="610" t="e">
        <f t="shared" si="14"/>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1894</v>
      </c>
      <c r="B56" s="210" t="e">
        <f t="shared" si="16"/>
        <v>#DIV/0!</v>
      </c>
      <c r="C56" s="163">
        <f t="shared" si="15"/>
        <v>0</v>
      </c>
      <c r="D56" s="890">
        <v>0.25</v>
      </c>
      <c r="E56" s="209">
        <f>'数据-汇总表'!E11</f>
        <v>0</v>
      </c>
      <c r="F56" s="610" t="e">
        <f t="shared" si="14"/>
        <v>#DIV/0!</v>
      </c>
      <c r="G56" s="1833" t="s">
        <v>1895</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1896</v>
      </c>
      <c r="B57" s="210" t="e">
        <f t="shared" si="16"/>
        <v>#DIV/0!</v>
      </c>
      <c r="C57" s="163">
        <f t="shared" si="15"/>
        <v>0</v>
      </c>
      <c r="D57" s="890">
        <v>0.25</v>
      </c>
      <c r="E57" s="209">
        <f>'数据-汇总表'!E12</f>
        <v>0</v>
      </c>
      <c r="F57" s="610" t="e">
        <f t="shared" si="14"/>
        <v>#DIV/0!</v>
      </c>
      <c r="G57" s="838" t="s">
        <v>1897</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1898</v>
      </c>
      <c r="B58" s="210" t="e">
        <f t="shared" si="16"/>
        <v>#DIV/0!</v>
      </c>
      <c r="C58" s="163">
        <f t="shared" si="15"/>
        <v>0</v>
      </c>
      <c r="D58" s="890">
        <v>0.25</v>
      </c>
      <c r="E58" s="209">
        <f>'数据-汇总表'!E13</f>
        <v>0</v>
      </c>
      <c r="F58" s="610" t="e">
        <f t="shared" si="14"/>
        <v>#DIV/0!</v>
      </c>
      <c r="G58" s="838" t="s">
        <v>1899</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1900</v>
      </c>
      <c r="B59" s="210" t="e">
        <f t="shared" si="16"/>
        <v>#DIV/0!</v>
      </c>
      <c r="C59" s="163">
        <f t="shared" si="15"/>
        <v>0</v>
      </c>
      <c r="D59" s="890">
        <v>0.25</v>
      </c>
      <c r="E59" s="209">
        <f>'数据-汇总表'!E14</f>
        <v>0</v>
      </c>
      <c r="F59" s="610" t="e">
        <f t="shared" si="14"/>
        <v>#DIV/0!</v>
      </c>
      <c r="G59" s="1833" t="s">
        <v>1891</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1901</v>
      </c>
      <c r="B60" s="210" t="e">
        <f t="shared" si="16"/>
        <v>#DIV/0!</v>
      </c>
      <c r="C60" s="163">
        <f t="shared" si="15"/>
        <v>0</v>
      </c>
      <c r="D60" s="890">
        <v>0.25</v>
      </c>
      <c r="E60" s="209">
        <f>'数据-汇总表'!E15</f>
        <v>0</v>
      </c>
      <c r="F60" s="610" t="e">
        <f t="shared" si="14"/>
        <v>#DIV/0!</v>
      </c>
      <c r="G60" s="1834" t="s">
        <v>1895</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1902</v>
      </c>
      <c r="B61" s="615" t="s">
        <v>22</v>
      </c>
      <c r="C61" s="615" t="s">
        <v>23</v>
      </c>
      <c r="D61" s="615" t="s">
        <v>392</v>
      </c>
      <c r="E61" s="615">
        <f>IF(B41="楼面地价",SUM(E51:E60),'数据-汇总表'!D3)</f>
        <v>2389.9</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2023-5-1</v>
      </c>
      <c r="D63" s="655">
        <f>EDATE(C63,-3)</f>
        <v>44958</v>
      </c>
      <c r="E63" s="655">
        <f>EDATE(D63,-3)</f>
        <v>44866</v>
      </c>
      <c r="F63" s="655">
        <f t="shared" ref="F63:O63" si="17">EDATE(E63,-3)</f>
        <v>44774</v>
      </c>
      <c r="G63" s="655">
        <f t="shared" si="17"/>
        <v>44682</v>
      </c>
      <c r="H63" s="655">
        <f t="shared" si="17"/>
        <v>44593</v>
      </c>
      <c r="I63" s="655">
        <f t="shared" si="17"/>
        <v>44501</v>
      </c>
      <c r="J63" s="655">
        <f t="shared" si="17"/>
        <v>44409</v>
      </c>
      <c r="K63" s="655">
        <f t="shared" si="17"/>
        <v>44317</v>
      </c>
      <c r="L63" s="655">
        <f t="shared" si="17"/>
        <v>44228</v>
      </c>
      <c r="M63" s="655">
        <f t="shared" si="17"/>
        <v>44136</v>
      </c>
      <c r="N63" s="655">
        <f t="shared" si="17"/>
        <v>44044</v>
      </c>
      <c r="O63" s="655">
        <f t="shared" si="17"/>
        <v>43952</v>
      </c>
      <c r="P63" s="2486"/>
      <c r="Q63" s="2486"/>
      <c r="R63" s="2486"/>
      <c r="S63" s="2486"/>
      <c r="T63" s="2486"/>
      <c r="U63" s="2486"/>
      <c r="V63" s="2486"/>
      <c r="W63" s="2486"/>
      <c r="X63" s="2486"/>
      <c r="Y63" s="2486"/>
      <c r="Z63" s="2486"/>
      <c r="AA63" s="2486"/>
      <c r="AB63" s="2486"/>
      <c r="AC63" s="2486"/>
      <c r="AD63" s="2486"/>
      <c r="AE63" s="2486"/>
    </row>
    <row r="64" spans="1:31" ht="21.75" thickBot="1">
      <c r="A64" s="657" t="s">
        <v>1797</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8" t="s">
        <v>1903</v>
      </c>
      <c r="B65" s="1045"/>
      <c r="C65" s="1100" t="str">
        <f>YEAR(C63)&amp;"-"&amp;ROUNDUP(MONTH(C63)/3,0)</f>
        <v>2023-2</v>
      </c>
      <c r="D65" s="1100" t="str">
        <f t="shared" ref="D65:O65" si="18">YEAR(D63)&amp;"-"&amp;ROUNDUP(MONTH(D63)/3,0)</f>
        <v>2023-1</v>
      </c>
      <c r="E65" s="1100" t="str">
        <f t="shared" si="18"/>
        <v>2022-4</v>
      </c>
      <c r="F65" s="1100" t="str">
        <f t="shared" si="18"/>
        <v>2022-3</v>
      </c>
      <c r="G65" s="1100" t="str">
        <f t="shared" si="18"/>
        <v>2022-2</v>
      </c>
      <c r="H65" s="1100" t="str">
        <f t="shared" si="18"/>
        <v>2022-1</v>
      </c>
      <c r="I65" s="1100" t="str">
        <f t="shared" si="18"/>
        <v>2021-4</v>
      </c>
      <c r="J65" s="1100" t="str">
        <f t="shared" si="18"/>
        <v>2021-3</v>
      </c>
      <c r="K65" s="1100" t="str">
        <f t="shared" si="18"/>
        <v>2021-2</v>
      </c>
      <c r="L65" s="1100" t="str">
        <f t="shared" si="18"/>
        <v>2021-1</v>
      </c>
      <c r="M65" s="1100" t="str">
        <f t="shared" si="18"/>
        <v>2020-4</v>
      </c>
      <c r="N65" s="1100" t="str">
        <f t="shared" si="18"/>
        <v>2020-3</v>
      </c>
      <c r="O65" s="1100" t="str">
        <f t="shared" si="18"/>
        <v>2020-2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1715</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1680</v>
      </c>
      <c r="B68" s="444"/>
      <c r="C68" s="456" t="s">
        <v>1775</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1718</v>
      </c>
      <c r="B70" s="460" t="s">
        <v>1684</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1687</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1688</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1689</v>
      </c>
      <c r="B83" s="460" t="s">
        <v>1828</v>
      </c>
      <c r="C83" s="504" t="s">
        <v>1720</v>
      </c>
      <c r="D83" s="504" t="s">
        <v>1721</v>
      </c>
      <c r="E83" s="504" t="s">
        <v>1722</v>
      </c>
      <c r="F83" s="504" t="s">
        <v>1723</v>
      </c>
      <c r="G83" s="504" t="s">
        <v>1724</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1725</v>
      </c>
      <c r="C85" s="509" t="s">
        <v>1720</v>
      </c>
      <c r="D85" s="509" t="s">
        <v>1721</v>
      </c>
      <c r="E85" s="509" t="s">
        <v>1722</v>
      </c>
      <c r="F85" s="509" t="s">
        <v>1723</v>
      </c>
      <c r="G85" s="509" t="s">
        <v>1724</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1814</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1872</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1693</v>
      </c>
      <c r="B107" s="460" t="s">
        <v>1912</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5" t="str">
        <f t="shared" si="24"/>
        <v>(含)-</v>
      </c>
      <c r="L107" s="1245" t="str">
        <f t="shared" si="24"/>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1913</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1915</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1916</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2080</v>
      </c>
      <c r="B1" s="4"/>
      <c r="C1" s="4"/>
      <c r="D1" s="4"/>
      <c r="E1" s="4"/>
      <c r="F1" s="2543"/>
      <c r="G1" s="2543"/>
      <c r="H1" s="2543"/>
      <c r="I1" s="2543"/>
      <c r="J1" s="2543"/>
      <c r="K1" s="2543"/>
      <c r="L1" s="2543"/>
      <c r="M1" s="2543"/>
      <c r="N1" s="2543"/>
      <c r="O1" s="2543"/>
      <c r="P1" s="2543"/>
    </row>
    <row r="2" spans="1:16" ht="15.75">
      <c r="A2" s="1982" t="s">
        <v>2072</v>
      </c>
      <c r="B2" s="2386" t="e">
        <f ca="1">SUMIF(B6:B13,"&lt;&gt;#ref!",B6:B13)</f>
        <v>#DIV/0!</v>
      </c>
      <c r="C2" s="1982" t="s">
        <v>2073</v>
      </c>
      <c r="D2" s="1982" t="s">
        <v>2074</v>
      </c>
      <c r="E2" s="2396">
        <f ca="1">SUMIF(E6:E13,"&lt;&gt;#ref!",E6:E13)</f>
        <v>0</v>
      </c>
      <c r="F2" s="2543"/>
      <c r="G2" s="2543"/>
      <c r="H2" s="2543"/>
      <c r="I2" s="2543"/>
      <c r="J2" s="2543"/>
      <c r="K2" s="2543"/>
      <c r="L2" s="2543"/>
      <c r="M2" s="2543"/>
      <c r="N2" s="2543"/>
      <c r="O2" s="2543"/>
      <c r="P2" s="2543"/>
    </row>
    <row r="3" spans="1:16" ht="15.75">
      <c r="A3" s="1982" t="s">
        <v>2075</v>
      </c>
      <c r="B3" s="2386" t="e">
        <f ca="1">ROUND(B2*10000/E2,0)</f>
        <v>#DIV/0!</v>
      </c>
      <c r="C3" s="1982" t="s">
        <v>2081</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2076</v>
      </c>
      <c r="B5" s="2394" t="s">
        <v>2077</v>
      </c>
      <c r="C5" s="1983"/>
      <c r="D5" s="2543"/>
      <c r="E5" s="2395" t="s">
        <v>2078</v>
      </c>
      <c r="F5" s="2543"/>
      <c r="G5" s="2543"/>
      <c r="H5" s="2543"/>
      <c r="I5" s="2543"/>
      <c r="J5" s="2543"/>
      <c r="K5" s="2543"/>
      <c r="L5" s="2543"/>
      <c r="M5" s="2543"/>
      <c r="N5" s="2543"/>
      <c r="O5" s="2543"/>
      <c r="P5" s="2543"/>
    </row>
    <row r="6" spans="1:16" ht="15.75">
      <c r="A6" s="2393" t="s">
        <v>2079</v>
      </c>
      <c r="B6" s="2386" t="e">
        <f ca="1">SUMIF(INDIRECT("'"&amp;A6&amp;"'"&amp;"!A:A"),"总价",INDIRECT("'"&amp;A6&amp;"'"&amp;"!B:B"))</f>
        <v>#DIV/0!</v>
      </c>
      <c r="C6" s="1982" t="s">
        <v>2073</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2073</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2073</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2073</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2073</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2073</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2073</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2073</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1925</v>
      </c>
      <c r="B1" s="189"/>
      <c r="C1" s="193" t="s">
        <v>1926</v>
      </c>
      <c r="D1" s="333">
        <f>SUM(D33:D34,D37:D42)</f>
        <v>0</v>
      </c>
      <c r="E1" s="1840"/>
      <c r="F1" s="1840"/>
      <c r="G1" s="1840"/>
      <c r="H1" s="1840"/>
      <c r="I1" s="1840"/>
      <c r="J1" s="1840"/>
      <c r="K1" s="1055"/>
      <c r="L1" s="1841" t="s">
        <v>1927</v>
      </c>
      <c r="M1" s="809">
        <f>SUMPRODUCT((区片价!B5:B9=I2)*(区片价!C3:G3=E2)*(区片价!C5:G9))</f>
        <v>0</v>
      </c>
      <c r="N1" s="812">
        <f>SUMPRODUCT((因素修正幅度!B5:B9=I2)*(因素修正幅度!C3:G3=E2)*(因素修正幅度!C5:G9))</f>
        <v>0</v>
      </c>
      <c r="O1" s="1842"/>
      <c r="P1" s="1842"/>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4" t="s">
        <v>1934</v>
      </c>
      <c r="D2" s="162" t="s">
        <v>1935</v>
      </c>
      <c r="E2" s="3119"/>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0"/>
      <c r="K2" s="1055"/>
      <c r="L2" s="1845"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4" t="s">
        <v>1940</v>
      </c>
      <c r="D3" s="162" t="s">
        <v>1941</v>
      </c>
      <c r="E3" s="3117"/>
      <c r="F3" s="1846"/>
      <c r="G3" s="707">
        <f>IF(F3="宗地容积率",'数据-汇总表'!I4,IF(F3="估价对象容积率",'数据-汇总表'!I6,'数据-汇总表'!I7))</f>
        <v>0</v>
      </c>
      <c r="H3" s="162" t="s">
        <v>1942</v>
      </c>
      <c r="I3" s="728"/>
      <c r="J3" s="1840" t="s">
        <v>1943</v>
      </c>
      <c r="K3" s="1055"/>
      <c r="L3" s="1845" t="s">
        <v>1944</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63"/>
      <c r="B4" s="3464"/>
      <c r="C4" s="3464"/>
      <c r="D4" s="3465"/>
      <c r="E4" s="3465"/>
      <c r="F4" s="3465"/>
      <c r="G4" s="3465"/>
      <c r="H4" s="3465"/>
      <c r="I4" s="3465"/>
      <c r="J4" s="3466"/>
      <c r="K4" s="1055"/>
      <c r="L4" s="1845"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1946</v>
      </c>
      <c r="C5" s="708" t="e">
        <f>ROUND(IF(E2="商业",C6*C7*C17+C20,(IF(E2="住宅",C6*C13*C17+C20,IF(E2="办公",C6*C12*C17+C20,C6+C20)))),0)</f>
        <v>#DIV/0!</v>
      </c>
      <c r="D5" s="1250" t="e">
        <f>ROUND(C6*C17+C20,0)</f>
        <v>#DIV/0!</v>
      </c>
      <c r="E5" s="1250"/>
      <c r="F5" s="1849"/>
      <c r="G5" s="1850"/>
      <c r="H5" s="1850"/>
      <c r="I5" s="1850"/>
      <c r="J5" s="1851"/>
      <c r="K5" s="1852"/>
      <c r="L5" s="1845"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3"/>
      <c r="AD5" s="1854"/>
      <c r="AE5" s="1854"/>
      <c r="AF5" s="1854"/>
      <c r="AG5" s="1854"/>
      <c r="AH5" s="1854"/>
      <c r="AI5" s="1854"/>
      <c r="AJ5" s="1855"/>
    </row>
    <row r="6" spans="1:36" ht="15.75" thickBot="1">
      <c r="A6" s="1857" t="s">
        <v>1948</v>
      </c>
      <c r="B6" s="1858" t="s">
        <v>1949</v>
      </c>
      <c r="C6" s="709">
        <f>SUMIF(L1:L12,G2,M1:M12)</f>
        <v>0</v>
      </c>
      <c r="D6" s="1859"/>
      <c r="E6" s="1860"/>
      <c r="F6" s="1860"/>
      <c r="G6" s="1861"/>
      <c r="H6" s="1861"/>
      <c r="I6" s="1861"/>
      <c r="J6" s="1862"/>
      <c r="K6" s="1290"/>
      <c r="L6" s="1845"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3"/>
      <c r="AD6" s="1854"/>
      <c r="AE6" s="1854"/>
      <c r="AF6" s="1854"/>
      <c r="AG6" s="1854"/>
      <c r="AH6" s="1854"/>
      <c r="AI6" s="1854"/>
      <c r="AJ6" s="1855"/>
    </row>
    <row r="7" spans="1:36" ht="24.75" thickBot="1">
      <c r="A7" s="3011" t="s">
        <v>3233</v>
      </c>
      <c r="B7" s="1863" t="s">
        <v>1951</v>
      </c>
      <c r="C7" s="710" t="e">
        <f>IF(C8="不临65条商业街",1,ROUND(1+(1.6*E8+1.2*E9+0.8*E10+0.4*E11)*C9,4))</f>
        <v>#DIV/0!</v>
      </c>
      <c r="D7" s="1864" t="s">
        <v>1952</v>
      </c>
      <c r="E7" s="729"/>
      <c r="F7" s="1865"/>
      <c r="G7" s="1866"/>
      <c r="H7" s="1866"/>
      <c r="I7" s="1866"/>
      <c r="J7" s="1867"/>
      <c r="K7" s="1290"/>
      <c r="L7" s="1845"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t="e">
        <f t="shared" si="0"/>
        <v>#DIV/0!</v>
      </c>
      <c r="U7" s="1129"/>
      <c r="V7" s="3062" t="e">
        <f t="shared" si="1"/>
        <v>#DIV/0!</v>
      </c>
      <c r="W7" s="1265" t="s">
        <v>1954</v>
      </c>
      <c r="X7" s="1130">
        <f>G2</f>
        <v>0</v>
      </c>
      <c r="Y7" s="1130" t="s">
        <v>1955</v>
      </c>
      <c r="Z7" s="1131">
        <f>G3</f>
        <v>0</v>
      </c>
      <c r="AA7" s="1132"/>
      <c r="AB7" s="1132"/>
      <c r="AC7" s="1133"/>
      <c r="AD7" s="1134"/>
      <c r="AE7" s="1134"/>
      <c r="AF7" s="1134"/>
      <c r="AG7" s="1134"/>
      <c r="AH7" s="1134"/>
      <c r="AI7" s="1134"/>
      <c r="AJ7" s="1135"/>
    </row>
    <row r="8" spans="1:36" ht="15">
      <c r="A8" s="3008"/>
      <c r="B8" s="162" t="s">
        <v>1956</v>
      </c>
      <c r="C8" s="1868"/>
      <c r="D8" s="711" t="s">
        <v>112</v>
      </c>
      <c r="E8" s="712" t="e">
        <f>ROUND(C11/E7,4)</f>
        <v>#DIV/0!</v>
      </c>
      <c r="F8" s="1869" t="s">
        <v>1957</v>
      </c>
      <c r="G8" s="1870"/>
      <c r="H8" s="1870"/>
      <c r="I8" s="1870"/>
      <c r="J8" s="1871"/>
      <c r="K8" s="1055"/>
      <c r="L8" s="1845"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t="e">
        <f t="shared" si="0"/>
        <v>#DIV/0!</v>
      </c>
      <c r="U8" s="1129"/>
      <c r="V8" s="3062" t="e">
        <f t="shared" si="1"/>
        <v>#DIV/0!</v>
      </c>
      <c r="W8" s="3460" t="s">
        <v>1959</v>
      </c>
      <c r="X8" s="3461"/>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2" t="s">
        <v>1972</v>
      </c>
      <c r="C9" s="713">
        <f>SUMIF(修正!C71:C138,C8,修正!E71:E138)</f>
        <v>0</v>
      </c>
      <c r="D9" s="163" t="s">
        <v>113</v>
      </c>
      <c r="E9" s="163" t="e">
        <f>ROUND(C11/E7,4)</f>
        <v>#DIV/0!</v>
      </c>
      <c r="F9" s="1869" t="s">
        <v>1973</v>
      </c>
      <c r="G9" s="1870"/>
      <c r="H9" s="1870"/>
      <c r="I9" s="1870"/>
      <c r="J9" s="1871"/>
      <c r="K9" s="1055"/>
      <c r="L9" s="1845"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t="e">
        <f t="shared" si="0"/>
        <v>#DIV/0!</v>
      </c>
      <c r="U9" s="1129"/>
      <c r="V9" s="3062" t="e">
        <f t="shared" si="1"/>
        <v>#DIV/0!</v>
      </c>
      <c r="W9" s="3462"/>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1975</v>
      </c>
      <c r="C10" s="163">
        <f>SUMIF(修正!C71:C138,C8,修正!F71:F138)</f>
        <v>0</v>
      </c>
      <c r="D10" s="163" t="s">
        <v>114</v>
      </c>
      <c r="E10" s="163" t="e">
        <f>ROUND(C11/E7,4)</f>
        <v>#DIV/0!</v>
      </c>
      <c r="F10" s="1869" t="s">
        <v>1976</v>
      </c>
      <c r="G10" s="1870"/>
      <c r="H10" s="1870"/>
      <c r="I10" s="1870"/>
      <c r="J10" s="1871"/>
      <c r="K10" s="1055"/>
      <c r="L10" s="1845"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t="e">
        <f t="shared" si="0"/>
        <v>#DIV/0!</v>
      </c>
      <c r="U10" s="1129"/>
      <c r="V10" s="3062" t="e">
        <f t="shared" si="1"/>
        <v>#DIV/0!</v>
      </c>
      <c r="W10" s="346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1978</v>
      </c>
      <c r="C11" s="714">
        <f>C10/4</f>
        <v>0</v>
      </c>
      <c r="D11" s="714" t="s">
        <v>115</v>
      </c>
      <c r="E11" s="714" t="e">
        <f>ROUND(C11/E7,4)</f>
        <v>#DIV/0!</v>
      </c>
      <c r="F11" s="1873" t="s">
        <v>1979</v>
      </c>
      <c r="G11" s="1874"/>
      <c r="H11" s="1874"/>
      <c r="I11" s="1874"/>
      <c r="J11" s="1875"/>
      <c r="K11" s="1055"/>
      <c r="L11" s="1845"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3234</v>
      </c>
      <c r="B12" s="3012" t="s">
        <v>3235</v>
      </c>
      <c r="C12" s="3013"/>
      <c r="D12" s="3014" t="s">
        <v>3236</v>
      </c>
      <c r="E12" s="3015" t="s">
        <v>3237</v>
      </c>
      <c r="F12" s="3016"/>
      <c r="G12" s="3017"/>
      <c r="H12" s="3017"/>
      <c r="I12" s="3017"/>
      <c r="J12" s="3018"/>
      <c r="K12" s="1055"/>
      <c r="L12" s="1794"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3238</v>
      </c>
      <c r="B13" s="1876" t="s">
        <v>1981</v>
      </c>
      <c r="C13" s="710">
        <f>ROUND(C16*D16*E16*F16*G16*H16*I16*J16,4)</f>
        <v>0</v>
      </c>
      <c r="D13" s="1877" t="s">
        <v>1982</v>
      </c>
      <c r="E13" s="1878"/>
      <c r="F13" s="1878"/>
      <c r="G13" s="1879"/>
      <c r="H13" s="1879"/>
      <c r="I13" s="1879"/>
      <c r="J13" s="1880"/>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1" t="s">
        <v>1984</v>
      </c>
      <c r="C14" s="1882" t="s">
        <v>1985</v>
      </c>
      <c r="D14" s="1259" t="s">
        <v>1986</v>
      </c>
      <c r="E14" s="27" t="s">
        <v>1987</v>
      </c>
      <c r="F14" s="3019" t="s">
        <v>3239</v>
      </c>
      <c r="G14" s="3019" t="s">
        <v>3239</v>
      </c>
      <c r="H14" s="3019" t="s">
        <v>3239</v>
      </c>
      <c r="I14" s="3019" t="s">
        <v>3239</v>
      </c>
      <c r="J14" s="3019" t="s">
        <v>3239</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c r="F15" s="1468" t="s">
        <v>3240</v>
      </c>
      <c r="G15" s="1926"/>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2"/>
      <c r="M16" s="1842"/>
      <c r="N16" s="1842"/>
      <c r="O16" s="1842"/>
      <c r="P16" s="1842"/>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3241</v>
      </c>
      <c r="B17" s="3026" t="s">
        <v>3242</v>
      </c>
      <c r="C17" s="3035">
        <f>ROUND(IF(OR(E2="工业",E2="公共服务"),1,IF(AND(E18=0,E19=0),1,IF(AND(E18=J24,E19=G19),0.8,IF(E19=0,1+E17*(-0.2),1+E17*G17*(-0.2))))),4)</f>
        <v>1</v>
      </c>
      <c r="D17" s="3027" t="s">
        <v>3243</v>
      </c>
      <c r="E17" s="3035" t="e">
        <f>ROUND(G18/I18,2)</f>
        <v>#DIV/0!</v>
      </c>
      <c r="F17" s="3027" t="s">
        <v>3246</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7"/>
      <c r="B18" s="2308"/>
      <c r="C18" s="3033"/>
      <c r="D18" s="3028" t="s">
        <v>3244</v>
      </c>
      <c r="E18" s="2355"/>
      <c r="F18" s="3029" t="s">
        <v>3247</v>
      </c>
      <c r="G18" s="3033">
        <f>ROUND(1-(1/(POWER(1+G24,E18))),4)</f>
        <v>0</v>
      </c>
      <c r="H18" s="3029" t="s">
        <v>3249</v>
      </c>
      <c r="I18" s="3033">
        <f>ROUND(1-(1/(POWER(1+G24,J24))),4)</f>
        <v>0</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5" thickBot="1">
      <c r="A19" s="3039"/>
      <c r="B19" s="3040"/>
      <c r="C19" s="3041"/>
      <c r="D19" s="3041" t="s">
        <v>3245</v>
      </c>
      <c r="E19" s="3042"/>
      <c r="F19" s="3043" t="s">
        <v>3248</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0"/>
      <c r="AJ19" s="560"/>
      <c r="AK19" s="1897"/>
    </row>
    <row r="20" spans="1:37" s="1856" customFormat="1" ht="14.25">
      <c r="A20" s="3467" t="s">
        <v>3250</v>
      </c>
      <c r="B20" s="159" t="s">
        <v>1993</v>
      </c>
      <c r="C20" s="3030" t="e">
        <f>ROUND(IF(F21="与级别开发程度一致",0,(G21-E21)/C21),0)</f>
        <v>#DIV/0!</v>
      </c>
      <c r="D20" s="3045" t="s">
        <v>1997</v>
      </c>
      <c r="E20" s="3046"/>
      <c r="F20" s="3473" t="s">
        <v>1994</v>
      </c>
      <c r="G20" s="3474"/>
      <c r="H20" s="3031"/>
      <c r="I20" s="3031"/>
      <c r="J20" s="3032"/>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15" thickBot="1">
      <c r="A21" s="3468"/>
      <c r="B21" s="2000" t="s">
        <v>1996</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75" thickBot="1">
      <c r="A22" s="1994" t="s">
        <v>363</v>
      </c>
      <c r="B22" s="1995" t="s">
        <v>1999</v>
      </c>
      <c r="C22" s="1996">
        <f>SUMIF(修正!C20:C51,E3,修正!E20:E51)</f>
        <v>0</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2000</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4" t="s">
        <v>2001</v>
      </c>
      <c r="E23" s="716">
        <v>44197</v>
      </c>
      <c r="F23" s="1894" t="s">
        <v>2002</v>
      </c>
      <c r="G23" s="717">
        <f>'数据-取费表'!B2</f>
        <v>45065</v>
      </c>
      <c r="H23" s="3047" t="s">
        <v>3252</v>
      </c>
      <c r="I23" s="3048" t="str">
        <f>IF(H23="季度增幅（自定义）",SUMIF(N25:N28,E2,O25:O28),"")</f>
        <v/>
      </c>
      <c r="J23" s="3140" t="s">
        <v>3251</v>
      </c>
      <c r="K23" s="1060"/>
      <c r="L23" s="1895" t="s">
        <v>2003</v>
      </c>
      <c r="M23" s="1240">
        <f>ROUND(SUMIF(地价!B2:G2,E2,地价!B16:G16),0)</f>
        <v>0</v>
      </c>
      <c r="N23" s="1896" t="s">
        <v>2004</v>
      </c>
      <c r="O23" s="718">
        <f>ROUNDDOWN(DATEDIF(E23,G23,"M")/3,0)</f>
        <v>9</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2005</v>
      </c>
      <c r="C24" s="719" t="e">
        <f>ROUND(POWER(1+G24,J24-I24)*(POWER(1+G24,I24)-1)/(POWER(1+G24,J24)-1),4)</f>
        <v>#DIV/0!</v>
      </c>
      <c r="D24" s="1900" t="s">
        <v>2006</v>
      </c>
      <c r="E24" s="1247">
        <f>存贷款利率!E22/100</f>
        <v>4.3499999999999997E-2</v>
      </c>
      <c r="F24" s="1900" t="s">
        <v>1998</v>
      </c>
      <c r="G24" s="723">
        <f>SUMIF(M30:Q30,E2,M33:Q33)</f>
        <v>0</v>
      </c>
      <c r="H24" s="1900" t="s">
        <v>2007</v>
      </c>
      <c r="I24" s="724" t="e">
        <f>SUMIF('数据-取费表'!C6:C15,E2,'数据-取费表'!F6:F15)/COUNTIF('数据-取费表'!C6:C15,E2)</f>
        <v>#DIV/0!</v>
      </c>
      <c r="J24" s="725">
        <f>IF(E2="住宅",70,IF(E2="商业",40,50))</f>
        <v>50</v>
      </c>
      <c r="K24" s="1060"/>
      <c r="L24" s="1901" t="s">
        <v>2008</v>
      </c>
      <c r="M24" s="1241">
        <f>ROUND(SUMPRODUCT((地价!A4:A16=YEAR(G23)&amp;"-"&amp;ROUNDUP(MONTH(G23)/3,0))*(地价!B2:G2=E2)*(地价!B4:G16)),0)</f>
        <v>0</v>
      </c>
      <c r="N24" s="1902" t="s">
        <v>2009</v>
      </c>
      <c r="O24" s="1903" t="s">
        <v>2010</v>
      </c>
      <c r="P24" s="1904" t="s">
        <v>2011</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3331</v>
      </c>
      <c r="C25" s="461">
        <f>IF(B25="容积率修正",IF(G3&lt;10,D26,J26),C27)</f>
        <v>0</v>
      </c>
      <c r="D25" s="1907"/>
      <c r="E25" s="1907"/>
      <c r="F25" s="1907"/>
      <c r="G25" s="1907"/>
      <c r="H25" s="1907"/>
      <c r="I25" s="1907"/>
      <c r="J25" s="1908"/>
      <c r="K25" s="1060"/>
      <c r="L25" s="2551"/>
      <c r="M25" s="2551"/>
      <c r="N25" s="1909"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2013</v>
      </c>
      <c r="B26" s="1910" t="s">
        <v>2014</v>
      </c>
      <c r="C26" s="1910" t="s">
        <v>3253</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3254</v>
      </c>
      <c r="J26" s="374" t="str">
        <f>IF(G3&gt;=10,D115,"——")</f>
        <v>——</v>
      </c>
      <c r="K26" s="1060"/>
      <c r="L26" s="2551"/>
      <c r="M26" s="2551"/>
      <c r="N26" s="1909" t="s">
        <v>2015</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2016</v>
      </c>
      <c r="B27" s="1911" t="s">
        <v>2017</v>
      </c>
      <c r="C27" s="790">
        <f>ROUND(IF(I3&lt;6,SUMPRODUCT((B106:B110=I3)*(C105:N105=G2)*(C106:N110)),SUMIF(C105:N105,G2,C112:N112)),4)</f>
        <v>0</v>
      </c>
      <c r="D27" s="1840"/>
      <c r="E27" s="1840"/>
      <c r="F27" s="1912"/>
      <c r="G27" s="1913"/>
      <c r="H27" s="1914"/>
      <c r="I27" s="1915"/>
      <c r="J27" s="1916"/>
      <c r="K27" s="1055"/>
      <c r="L27" s="1842"/>
      <c r="M27" s="1842"/>
      <c r="N27" s="1909" t="s">
        <v>2018</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2019</v>
      </c>
      <c r="C28" s="715">
        <f>SUMIF(A47:A101,E2,B47:B101)</f>
        <v>0</v>
      </c>
      <c r="D28" s="1892"/>
      <c r="E28" s="1917"/>
      <c r="F28" s="1917"/>
      <c r="G28" s="1917"/>
      <c r="H28" s="1917"/>
      <c r="I28" s="1917"/>
      <c r="J28" s="1918"/>
      <c r="K28" s="1060"/>
      <c r="L28" s="2551"/>
      <c r="M28" s="2551"/>
      <c r="N28" s="1919"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2021</v>
      </c>
      <c r="C29" s="720"/>
      <c r="D29" s="1866"/>
      <c r="E29" s="1866"/>
      <c r="F29" s="1921"/>
      <c r="G29" s="1866"/>
      <c r="H29" s="1866"/>
      <c r="I29" s="1866"/>
      <c r="J29" s="1867"/>
      <c r="K29" s="1055"/>
      <c r="L29" s="1842"/>
      <c r="M29" s="1842"/>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2023</v>
      </c>
      <c r="C30" s="2143" t="e">
        <f>IF(B25="容积率修正",E33+SUM(E37:E42),SUM(V2:V16)+SUM(E37:E42))</f>
        <v>#DIV/0!</v>
      </c>
      <c r="D30" s="1923"/>
      <c r="E30" s="1840"/>
      <c r="F30" s="1924"/>
      <c r="G30" s="1840"/>
      <c r="H30" s="1840"/>
      <c r="I30" s="1840"/>
      <c r="J30" s="1925"/>
      <c r="K30" s="1055"/>
      <c r="L30" s="3054" t="s">
        <v>1935</v>
      </c>
      <c r="M30" s="3055" t="s">
        <v>1989</v>
      </c>
      <c r="N30" s="3055" t="s">
        <v>1990</v>
      </c>
      <c r="O30" s="3055" t="s">
        <v>1991</v>
      </c>
      <c r="P30" s="3055" t="s">
        <v>1992</v>
      </c>
      <c r="Q30" s="3058" t="s">
        <v>3258</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2024</v>
      </c>
      <c r="C31" s="721" t="e">
        <f>E34+SUM(I37:I42)</f>
        <v>#DIV/0!</v>
      </c>
      <c r="D31" s="1927"/>
      <c r="E31" s="1928"/>
      <c r="F31" s="1929"/>
      <c r="G31" s="1928"/>
      <c r="H31" s="1928"/>
      <c r="I31" s="1928"/>
      <c r="J31" s="1930"/>
      <c r="K31" s="1055"/>
      <c r="L31" s="3056" t="s">
        <v>1995</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2025</v>
      </c>
      <c r="C32" s="1933" t="s">
        <v>2026</v>
      </c>
      <c r="D32" s="1933" t="s">
        <v>2027</v>
      </c>
      <c r="E32" s="1934" t="s">
        <v>2028</v>
      </c>
      <c r="F32" s="1935"/>
      <c r="G32" s="1879"/>
      <c r="H32" s="1879"/>
      <c r="I32" s="1879"/>
      <c r="J32" s="1880"/>
      <c r="K32" s="1055"/>
      <c r="L32" s="3057" t="s">
        <v>1998</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2029</v>
      </c>
      <c r="C33" s="167" t="e">
        <f>ROUND(C5*C22*C23*C24*C25*C28,0)</f>
        <v>#DIV/0!</v>
      </c>
      <c r="D33" s="1938"/>
      <c r="E33" s="726" t="e">
        <f>ROUND(C33*D33/10000,0)</f>
        <v>#DIV/0!</v>
      </c>
      <c r="F33" s="3049" t="s">
        <v>3256</v>
      </c>
      <c r="G33" s="1939"/>
      <c r="H33" s="1939"/>
      <c r="I33" s="1939"/>
      <c r="J33" s="1940"/>
      <c r="K33" s="1055"/>
      <c r="L33" s="3052" t="s">
        <v>3259</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2030</v>
      </c>
      <c r="C34" s="179" t="e">
        <f>ROUND(IF(E2="工业",C33*M42,IF(B25="楼层修正",SUM(V2:V16)*M41*10000/D34,C33*M41)),0)</f>
        <v>#DIV/0!</v>
      </c>
      <c r="D34" s="1943"/>
      <c r="E34" s="726" t="e">
        <f>ROUND(IF(B25="楼层修正",SUM(V2:V16)*M40,C34*D34/10000),0)</f>
        <v>#DIV/0!</v>
      </c>
      <c r="F34" s="1944" t="s">
        <v>2031</v>
      </c>
      <c r="G34" s="1945"/>
      <c r="H34" s="1945"/>
      <c r="I34" s="1945"/>
      <c r="J34" s="1946"/>
      <c r="K34" s="1055"/>
      <c r="L34" s="3052" t="s">
        <v>3260</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2032</v>
      </c>
      <c r="C35" s="3050" t="s">
        <v>3257</v>
      </c>
      <c r="D35" s="1879"/>
      <c r="E35" s="1949"/>
      <c r="F35" s="1949"/>
      <c r="G35" s="1877" t="s">
        <v>2033</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2026</v>
      </c>
      <c r="D36" s="433" t="s">
        <v>2027</v>
      </c>
      <c r="E36" s="433" t="s">
        <v>2028</v>
      </c>
      <c r="F36" s="333" t="s">
        <v>2034</v>
      </c>
      <c r="G36" s="1952" t="s">
        <v>2026</v>
      </c>
      <c r="H36" s="1952" t="s">
        <v>2027</v>
      </c>
      <c r="I36" s="1952" t="s">
        <v>2028</v>
      </c>
      <c r="J36" s="235"/>
      <c r="K36" s="1962" t="s">
        <v>3261</v>
      </c>
      <c r="L36" s="3141">
        <f ca="1">'数据-取费表'!B40</f>
        <v>4.1499999999999995E-2</v>
      </c>
      <c r="M36" s="2364">
        <f ca="1">ROUND($L$36*(1+M31),3)</f>
        <v>5.1999999999999998E-2</v>
      </c>
      <c r="N36" s="2364">
        <f ca="1">ROUND($L$36*(1+N31),3)</f>
        <v>0.05</v>
      </c>
      <c r="O36" s="2364">
        <f ca="1">ROUND($L$36*(1+O31),3)</f>
        <v>4.8000000000000001E-2</v>
      </c>
      <c r="P36" s="2364">
        <f ca="1">ROUND($L$36*(1+P31),3)</f>
        <v>4.5999999999999999E-2</v>
      </c>
      <c r="Q36" s="2364">
        <f ca="1">ROUND($L$36*(1+Q31),3)</f>
        <v>4.8000000000000001E-2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71"/>
      <c r="B37" s="1953" t="s">
        <v>2035</v>
      </c>
      <c r="C37" s="167" t="e">
        <f>ROUND(D5*C22*C23*C24*C28*F37,0)</f>
        <v>#DIV/0!</v>
      </c>
      <c r="D37" s="1938"/>
      <c r="E37" s="163" t="e">
        <f t="shared" ref="E37:E42" si="3">ROUND(C37*D37/10000,0)</f>
        <v>#DIV/0!</v>
      </c>
      <c r="F37" s="163">
        <f>SUMIF(修正!A57:A68,G2,修正!B57:B68)</f>
        <v>0</v>
      </c>
      <c r="G37" s="163" t="e">
        <f>ROUND(IF(E2="工业",C37*$M$42,C37*$M$41),0)</f>
        <v>#DIV/0!</v>
      </c>
      <c r="H37" s="163">
        <f t="shared" ref="H37:H42" si="4">D37</f>
        <v>0</v>
      </c>
      <c r="I37" s="163" t="e">
        <f t="shared" ref="I37:I42" si="5">ROUND(G37*H37/10000,0)</f>
        <v>#DIV/0!</v>
      </c>
      <c r="J37" s="2753"/>
      <c r="K37" s="3060" t="s">
        <v>3262</v>
      </c>
      <c r="L37" s="1962">
        <f ca="1">L36+K38</f>
        <v>4.6499999999999993E-2</v>
      </c>
      <c r="M37" s="2364">
        <f ca="1">ROUND($L$37*(1+M31),3)</f>
        <v>5.8000000000000003E-2</v>
      </c>
      <c r="N37" s="2364">
        <f ca="1">ROUND($L$37*(1+N31),3)</f>
        <v>5.6000000000000001E-2</v>
      </c>
      <c r="O37" s="2364">
        <f ca="1">ROUND($L$37*(1+O31),3)</f>
        <v>5.2999999999999999E-2</v>
      </c>
      <c r="P37" s="2364">
        <f ca="1">ROUND($L$37*(1+P31),3)</f>
        <v>5.0999999999999997E-2</v>
      </c>
      <c r="Q37" s="2364">
        <f ca="1">ROUND($L$37*(1+Q31),3)</f>
        <v>5.2999999999999999E-2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72"/>
      <c r="B38" s="1882" t="s">
        <v>2036</v>
      </c>
      <c r="C38" s="167" t="e">
        <f>ROUND(D5*C22*C23*C24*C28*F38,0)</f>
        <v>#DIV/0!</v>
      </c>
      <c r="D38" s="1938"/>
      <c r="E38" s="163" t="e">
        <f t="shared" si="3"/>
        <v>#DIV/0!</v>
      </c>
      <c r="F38" s="163">
        <f>SUMIF(修正!A57:A68,G2,修正!C57:C68)</f>
        <v>0</v>
      </c>
      <c r="G38" s="163" t="e">
        <f>ROUND(IF(E2="工业",C38*$M$42,C38*$M$41),0)</f>
        <v>#DIV/0!</v>
      </c>
      <c r="H38" s="163">
        <f t="shared" si="4"/>
        <v>0</v>
      </c>
      <c r="I38" s="163" t="e">
        <f t="shared" si="5"/>
        <v>#DIV/0!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72"/>
      <c r="B39" s="1882" t="s">
        <v>3255</v>
      </c>
      <c r="C39" s="167" t="e">
        <f>ROUND(D5*C22*C23*C24*C28*F39,0)</f>
        <v>#DIV/0!</v>
      </c>
      <c r="D39" s="1938"/>
      <c r="E39" s="163" t="e">
        <f t="shared" si="3"/>
        <v>#DIV/0!</v>
      </c>
      <c r="F39" s="163">
        <f>SUMIF(修正!A57:A68,G2,修正!D57:D68)</f>
        <v>0</v>
      </c>
      <c r="G39" s="163" t="e">
        <f>ROUND(IF(E2="工业",C39*$M$42,C39*$M$41),0)</f>
        <v>#DIV/0!</v>
      </c>
      <c r="H39" s="163">
        <f t="shared" si="4"/>
        <v>0</v>
      </c>
      <c r="I39" s="163" t="e">
        <f t="shared" si="5"/>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2037</v>
      </c>
      <c r="C40" s="163" t="e">
        <f>ROUND(D5*C22*C23*C24*C28*F40,0)</f>
        <v>#DIV/0!</v>
      </c>
      <c r="D40" s="1938"/>
      <c r="E40" s="163" t="e">
        <f t="shared" si="3"/>
        <v>#DIV/0!</v>
      </c>
      <c r="F40" s="167">
        <f>SUMIF(修正!A57:A68,G2,修正!E57:E68)</f>
        <v>0</v>
      </c>
      <c r="G40" s="163" t="e">
        <f>ROUND(IF(E2="工业",C40*$M$42,C40*$M$41),0)</f>
        <v>#DIV/0!</v>
      </c>
      <c r="H40" s="163">
        <f t="shared" si="4"/>
        <v>0</v>
      </c>
      <c r="I40" s="163" t="e">
        <f t="shared" si="5"/>
        <v>#DIV/0!</v>
      </c>
      <c r="J40" s="938"/>
      <c r="L40" s="1955" t="s">
        <v>2038</v>
      </c>
      <c r="M40" s="1956"/>
      <c r="Z40" s="1056"/>
      <c r="AA40" s="1056"/>
      <c r="AB40" s="1056"/>
      <c r="AC40" s="1056"/>
      <c r="AD40" s="1056"/>
      <c r="AE40" s="1056"/>
      <c r="AF40" s="1056"/>
      <c r="AG40" s="1056"/>
      <c r="AH40" s="1056"/>
      <c r="AI40" s="1056"/>
      <c r="AJ40" s="1056"/>
    </row>
    <row r="41" spans="1:37" s="1055" customFormat="1">
      <c r="A41" s="1954"/>
      <c r="B41" s="1882" t="s">
        <v>2039</v>
      </c>
      <c r="C41" s="163" t="e">
        <f>ROUND(D5*C22*C23*C44*C28*F41,0)</f>
        <v>#DIV/0!</v>
      </c>
      <c r="D41" s="1938"/>
      <c r="E41" s="163" t="e">
        <f t="shared" si="3"/>
        <v>#DIV/0!</v>
      </c>
      <c r="F41" s="167">
        <f>SUMIF(修正!A57:A68,G2,修正!F57:F68)</f>
        <v>0</v>
      </c>
      <c r="G41" s="163" t="e">
        <f>ROUND(IF(E2="工业",C41*$M$42,C41*$M$41),0)</f>
        <v>#DIV/0!</v>
      </c>
      <c r="H41" s="163">
        <f t="shared" si="4"/>
        <v>0</v>
      </c>
      <c r="I41" s="163" t="e">
        <f t="shared" si="5"/>
        <v>#DIV/0!</v>
      </c>
      <c r="J41" s="938"/>
      <c r="L41" s="3061" t="s">
        <v>3263</v>
      </c>
      <c r="M41" s="1957">
        <v>0.25</v>
      </c>
      <c r="Z41" s="1056"/>
      <c r="AA41" s="1056"/>
      <c r="AB41" s="1056"/>
      <c r="AC41" s="1056"/>
      <c r="AD41" s="1056"/>
      <c r="AE41" s="1056"/>
      <c r="AF41" s="1056"/>
      <c r="AG41" s="1056"/>
      <c r="AH41" s="1056"/>
      <c r="AI41" s="1056"/>
      <c r="AJ41" s="1056"/>
    </row>
    <row r="42" spans="1:37" s="1055" customFormat="1" ht="13.5" thickBot="1">
      <c r="A42" s="1941"/>
      <c r="B42" s="1958" t="s">
        <v>2040</v>
      </c>
      <c r="C42" s="179" t="e">
        <f>ROUND(D5*C22*C23*C44*C28*F42,0)</f>
        <v>#DIV/0!</v>
      </c>
      <c r="D42" s="1943"/>
      <c r="E42" s="179" t="e">
        <f t="shared" si="3"/>
        <v>#DIV/0!</v>
      </c>
      <c r="F42" s="722">
        <f>SUMIF(修正!A57:A68,G2,修正!G57:G68)</f>
        <v>0</v>
      </c>
      <c r="G42" s="179" t="e">
        <f>ROUND(IF(E2="工业",C42*$M$42,C42*$M$41),0)</f>
        <v>#DIV/0!</v>
      </c>
      <c r="H42" s="179">
        <f t="shared" si="4"/>
        <v>0</v>
      </c>
      <c r="I42" s="179" t="e">
        <f t="shared" si="5"/>
        <v>#DIV/0!</v>
      </c>
      <c r="J42" s="1959"/>
      <c r="L42" s="1960" t="s">
        <v>1992</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2117</v>
      </c>
      <c r="C44" s="333" t="e">
        <f>ROUND(POWER(1+E44,H44-G44)*(POWER(1+E44,G44)-1)/(POWER(1+E44,H44)-1),4)</f>
        <v>#DIV/0!</v>
      </c>
      <c r="D44" s="163" t="s">
        <v>1998</v>
      </c>
      <c r="E44" s="1989">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2041</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5" t="s">
        <v>2042</v>
      </c>
      <c r="B48" s="1966">
        <f>1+E50</f>
        <v>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8" t="s">
        <v>2043</v>
      </c>
      <c r="B49" s="1260" t="s">
        <v>2044</v>
      </c>
      <c r="C49" s="1260" t="s">
        <v>2045</v>
      </c>
      <c r="D49" s="1260" t="s">
        <v>2046</v>
      </c>
      <c r="E49" s="700" t="s">
        <v>2047</v>
      </c>
      <c r="F49" s="1969" t="s">
        <v>2048</v>
      </c>
      <c r="G49" s="1260" t="s">
        <v>310</v>
      </c>
      <c r="H49" s="1970" t="s">
        <v>2049</v>
      </c>
      <c r="I49" s="1260"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51">
      <c r="A50" s="1968" t="s">
        <v>2051</v>
      </c>
      <c r="B50" s="1971" t="str">
        <f>估价对象房地状况!C4</f>
        <v>估价对象位于西直门商圈，周边商业氛围成熟，有凯德MALL、华联购物中心等，人流量较大，商业繁华度较好</v>
      </c>
      <c r="C50" s="1885"/>
      <c r="D50" s="1001">
        <f t="shared" ref="D50:D58" si="6">SUMIF($J$49:$N$49,C50,J50:N50)</f>
        <v>0</v>
      </c>
      <c r="E50" s="701">
        <f>ROUND(SUM(D50:D58),4)</f>
        <v>0</v>
      </c>
      <c r="F50" s="1673" t="str">
        <f>IF(E2="商业",SUMIF(L1:L12,G2,N1:N12),"——")</f>
        <v>——</v>
      </c>
      <c r="G50" s="999"/>
      <c r="H50" s="1002" t="str">
        <f t="shared" ref="H50:H58" si="7">IFERROR(ROUNDDOWN($F$50*I50/2,4),"——")</f>
        <v>——</v>
      </c>
      <c r="I50" s="3067">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63.75">
      <c r="A51" s="1968" t="s">
        <v>2052</v>
      </c>
      <c r="B51" s="1260" t="str">
        <f>估价对象房地状况!C18</f>
        <v>估价对象周边道路状况较好、有7、16、105等公交线路及地铁2、4号线经过，公共交通通达情况较好、停车便捷程度一般，综合评价交通便捷度较好</v>
      </c>
      <c r="C51" s="1885"/>
      <c r="D51" s="1001">
        <f t="shared" si="6"/>
        <v>0</v>
      </c>
      <c r="E51" s="702"/>
      <c r="F51" s="1673"/>
      <c r="G51" s="999"/>
      <c r="H51" s="1002" t="str">
        <f t="shared" si="7"/>
        <v>——</v>
      </c>
      <c r="I51" s="3067">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c r="A52" s="3069" t="s">
        <v>3265</v>
      </c>
      <c r="B52" s="1260">
        <f>估价对象房地状况!C19</f>
        <v>0</v>
      </c>
      <c r="C52" s="1885"/>
      <c r="D52" s="1001">
        <f t="shared" si="6"/>
        <v>0</v>
      </c>
      <c r="E52" s="702"/>
      <c r="F52" s="1673"/>
      <c r="G52" s="999"/>
      <c r="H52" s="1002" t="str">
        <f t="shared" si="7"/>
        <v>——</v>
      </c>
      <c r="I52" s="3067">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c r="A53" s="1968" t="s">
        <v>2053</v>
      </c>
      <c r="B53" s="1972" t="s">
        <v>2054</v>
      </c>
      <c r="C53" s="1885"/>
      <c r="D53" s="1001">
        <f t="shared" si="6"/>
        <v>0</v>
      </c>
      <c r="E53" s="702"/>
      <c r="F53" s="1673"/>
      <c r="G53" s="999"/>
      <c r="H53" s="1002" t="str">
        <f t="shared" si="7"/>
        <v>——</v>
      </c>
      <c r="I53" s="3067">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c r="A54" s="1968" t="s">
        <v>2055</v>
      </c>
      <c r="B54" s="1260" t="str">
        <f>估价对象房地状况!C24</f>
        <v>主干道-西直门外大街</v>
      </c>
      <c r="C54" s="1885"/>
      <c r="D54" s="1001">
        <f t="shared" si="6"/>
        <v>0</v>
      </c>
      <c r="E54" s="702"/>
      <c r="F54" s="1673"/>
      <c r="G54" s="999"/>
      <c r="H54" s="1002" t="str">
        <f t="shared" si="7"/>
        <v>——</v>
      </c>
      <c r="I54" s="3067">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c r="A55" s="1968" t="s">
        <v>2056</v>
      </c>
      <c r="B55" s="1973" t="s">
        <v>2057</v>
      </c>
      <c r="C55" s="1885"/>
      <c r="D55" s="1001">
        <f t="shared" si="6"/>
        <v>0</v>
      </c>
      <c r="E55" s="702"/>
      <c r="F55" s="1673"/>
      <c r="G55" s="999"/>
      <c r="H55" s="1002" t="str">
        <f t="shared" si="7"/>
        <v>——</v>
      </c>
      <c r="I55" s="3067">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25.5">
      <c r="A56" s="1974" t="s">
        <v>2058</v>
      </c>
      <c r="B56" s="1239" t="str">
        <f>估价对象房地状况!C21</f>
        <v>估价对象所在区域公共配套设施齐备情况较好</v>
      </c>
      <c r="C56" s="1885"/>
      <c r="D56" s="1001">
        <f t="shared" si="6"/>
        <v>0</v>
      </c>
      <c r="E56" s="702"/>
      <c r="F56" s="1673"/>
      <c r="G56" s="999"/>
      <c r="H56" s="1002" t="str">
        <f t="shared" si="7"/>
        <v>——</v>
      </c>
      <c r="I56" s="3067">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c r="A57" s="1974" t="s">
        <v>2059</v>
      </c>
      <c r="B57" s="1260" t="str">
        <f>估价对象房地状况!C22</f>
        <v>估价对象所在区域基础设施水平七通</v>
      </c>
      <c r="C57" s="1885"/>
      <c r="D57" s="1001">
        <f t="shared" si="6"/>
        <v>0</v>
      </c>
      <c r="E57" s="702"/>
      <c r="F57" s="1673"/>
      <c r="G57" s="999"/>
      <c r="H57" s="1002" t="str">
        <f t="shared" si="7"/>
        <v>——</v>
      </c>
      <c r="I57" s="3067">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51.75" thickBot="1">
      <c r="A58" s="1975" t="s">
        <v>2060</v>
      </c>
      <c r="B58" s="1976" t="str">
        <f>估价对象房地状况!C20</f>
        <v>区域自然环境：北京动物园、官园公园；人文环境：北京天文馆、北京建筑大学；综合评价环境状况较好</v>
      </c>
      <c r="C58" s="1885"/>
      <c r="D58" s="1001">
        <f t="shared" si="6"/>
        <v>0</v>
      </c>
      <c r="E58" s="703"/>
      <c r="F58" s="1673"/>
      <c r="G58" s="999"/>
      <c r="H58" s="1002" t="str">
        <f t="shared" si="7"/>
        <v>——</v>
      </c>
      <c r="I58" s="3068">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c r="A59" s="1965" t="s">
        <v>2061</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2043</v>
      </c>
      <c r="B60" s="1260"/>
      <c r="C60" s="1260" t="s">
        <v>2045</v>
      </c>
      <c r="D60" s="1260" t="s">
        <v>2046</v>
      </c>
      <c r="E60" s="700" t="s">
        <v>2047</v>
      </c>
      <c r="F60" s="1969" t="s">
        <v>2062</v>
      </c>
      <c r="G60" s="1260" t="s">
        <v>310</v>
      </c>
      <c r="H60" s="1970" t="s">
        <v>2049</v>
      </c>
      <c r="I60" s="1260"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51">
      <c r="A61" s="1968" t="s">
        <v>2063</v>
      </c>
      <c r="B61" s="1971" t="str">
        <f>估价对象房地状况!C17</f>
        <v>估价对象周边办公楼项目较多，有金泰鑫侨大厦、阳光大厦、德宝大厦，入驻率较高，办公集聚程度较好</v>
      </c>
      <c r="C61" s="1885"/>
      <c r="D61" s="1001">
        <f t="shared" ref="D61:D69" si="11">SUMIF($J$60:$N$60,C61,J61:N61)</f>
        <v>0</v>
      </c>
      <c r="E61" s="701">
        <f>ROUND(SUM(D61:D69),4)</f>
        <v>0</v>
      </c>
      <c r="F61" s="1673" t="str">
        <f>IF(E2="办公",SUMIF(L1:L12,G2,N1:N12),"——")</f>
        <v>——</v>
      </c>
      <c r="G61" s="999"/>
      <c r="H61" s="1002" t="str">
        <f t="shared" ref="H61:H69" si="12">IFERROR(ROUNDDOWN($F$61*I61/2,4),"——")</f>
        <v>——</v>
      </c>
      <c r="I61" s="3067">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63.75">
      <c r="A62" s="1968" t="s">
        <v>2052</v>
      </c>
      <c r="B62" s="1260" t="str">
        <f>估价对象房地状况!C18</f>
        <v>估价对象周边道路状况较好、有7、16、105等公交线路及地铁2、4号线经过，公共交通通达情况较好、停车便捷程度一般，综合评价交通便捷度较好</v>
      </c>
      <c r="C62" s="1885"/>
      <c r="D62" s="1001">
        <f t="shared" si="11"/>
        <v>0</v>
      </c>
      <c r="E62" s="702"/>
      <c r="F62" s="1673"/>
      <c r="G62" s="999"/>
      <c r="H62" s="1002" t="str">
        <f t="shared" si="12"/>
        <v>——</v>
      </c>
      <c r="I62" s="3067">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c r="A63" s="3069" t="s">
        <v>3265</v>
      </c>
      <c r="B63" s="1260">
        <f>估价对象房地状况!C19</f>
        <v>0</v>
      </c>
      <c r="C63" s="1885"/>
      <c r="D63" s="1001">
        <f t="shared" si="11"/>
        <v>0</v>
      </c>
      <c r="E63" s="702"/>
      <c r="F63" s="1673"/>
      <c r="G63" s="999"/>
      <c r="H63" s="1002" t="str">
        <f t="shared" si="12"/>
        <v>——</v>
      </c>
      <c r="I63" s="3067">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c r="A64" s="1968" t="s">
        <v>2053</v>
      </c>
      <c r="B64" s="1972" t="s">
        <v>2054</v>
      </c>
      <c r="C64" s="1885"/>
      <c r="D64" s="1001">
        <f t="shared" si="11"/>
        <v>0</v>
      </c>
      <c r="E64" s="702"/>
      <c r="F64" s="1673"/>
      <c r="G64" s="999"/>
      <c r="H64" s="1002" t="str">
        <f t="shared" si="12"/>
        <v>——</v>
      </c>
      <c r="I64" s="3067">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c r="A65" s="1968" t="s">
        <v>2055</v>
      </c>
      <c r="B65" s="1260" t="str">
        <f>估价对象房地状况!C24</f>
        <v>主干道-西直门外大街</v>
      </c>
      <c r="C65" s="1885"/>
      <c r="D65" s="1001">
        <f t="shared" si="11"/>
        <v>0</v>
      </c>
      <c r="E65" s="702"/>
      <c r="F65" s="1673"/>
      <c r="G65" s="999"/>
      <c r="H65" s="1002" t="str">
        <f t="shared" si="12"/>
        <v>——</v>
      </c>
      <c r="I65" s="3067">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c r="A66" s="1968" t="s">
        <v>2056</v>
      </c>
      <c r="B66" s="1973" t="s">
        <v>2057</v>
      </c>
      <c r="C66" s="1885"/>
      <c r="D66" s="1001">
        <f t="shared" si="11"/>
        <v>0</v>
      </c>
      <c r="E66" s="702"/>
      <c r="F66" s="1673"/>
      <c r="G66" s="999"/>
      <c r="H66" s="1002" t="str">
        <f t="shared" si="12"/>
        <v>——</v>
      </c>
      <c r="I66" s="3067">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25.5">
      <c r="A67" s="1968" t="s">
        <v>2058</v>
      </c>
      <c r="B67" s="1239" t="str">
        <f>估价对象房地状况!C21</f>
        <v>估价对象所在区域公共配套设施齐备情况较好</v>
      </c>
      <c r="C67" s="1885"/>
      <c r="D67" s="1001">
        <f t="shared" si="11"/>
        <v>0</v>
      </c>
      <c r="E67" s="702"/>
      <c r="F67" s="1673"/>
      <c r="G67" s="999"/>
      <c r="H67" s="1002" t="str">
        <f t="shared" si="12"/>
        <v>——</v>
      </c>
      <c r="I67" s="3067">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c r="A68" s="1968" t="s">
        <v>2059</v>
      </c>
      <c r="B68" s="1239" t="str">
        <f>估价对象房地状况!C22</f>
        <v>估价对象所在区域基础设施水平七通</v>
      </c>
      <c r="C68" s="1885"/>
      <c r="D68" s="1001">
        <f t="shared" si="11"/>
        <v>0</v>
      </c>
      <c r="E68" s="702"/>
      <c r="F68" s="1673"/>
      <c r="G68" s="999"/>
      <c r="H68" s="1002" t="str">
        <f t="shared" si="12"/>
        <v>——</v>
      </c>
      <c r="I68" s="3067">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51.75" thickBot="1">
      <c r="A69" s="1975" t="s">
        <v>2060</v>
      </c>
      <c r="B69" s="1977" t="str">
        <f>估价对象房地状况!C20</f>
        <v>区域自然环境：北京动物园、官园公园；人文环境：北京天文馆、北京建筑大学；综合评价环境状况较好</v>
      </c>
      <c r="C69" s="1885"/>
      <c r="D69" s="1001">
        <f t="shared" si="11"/>
        <v>0</v>
      </c>
      <c r="E69" s="703"/>
      <c r="F69" s="1673"/>
      <c r="G69" s="999"/>
      <c r="H69" s="1002" t="str">
        <f t="shared" si="12"/>
        <v>——</v>
      </c>
      <c r="I69" s="3068">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5" t="s">
        <v>2064</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2043</v>
      </c>
      <c r="B71" s="1260"/>
      <c r="C71" s="1260" t="s">
        <v>2045</v>
      </c>
      <c r="D71" s="1260" t="s">
        <v>2046</v>
      </c>
      <c r="E71" s="700" t="s">
        <v>2047</v>
      </c>
      <c r="F71" s="1969" t="s">
        <v>2062</v>
      </c>
      <c r="G71" s="1260" t="s">
        <v>310</v>
      </c>
      <c r="H71" s="1970" t="s">
        <v>2049</v>
      </c>
      <c r="I71" s="1260"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8" t="s">
        <v>2065</v>
      </c>
      <c r="B72" s="1971">
        <f>估价对象房地状况!C15</f>
        <v>0</v>
      </c>
      <c r="C72" s="1885"/>
      <c r="D72" s="1001">
        <f t="shared" ref="D72:D80" si="16">SUMIF($J$71:$N$71,C72,J72:N72)</f>
        <v>0</v>
      </c>
      <c r="E72" s="701">
        <f>ROUND(SUM(D72:D80),4)</f>
        <v>0</v>
      </c>
      <c r="F72" s="1673" t="str">
        <f>IF(E2="住宅",SUMIF(L1:L12,G2,N1:N12),"——")</f>
        <v>——</v>
      </c>
      <c r="G72" s="999"/>
      <c r="H72" s="1002" t="str">
        <f t="shared" ref="H72:H80" si="17">IFERROR(ROUNDDOWN($F$72*I72/2,4),"——")</f>
        <v>——</v>
      </c>
      <c r="I72" s="3067">
        <v>0.2</v>
      </c>
      <c r="J72" s="1000">
        <f t="shared" ref="J72:J80" si="18">K72+$G72</f>
        <v>0</v>
      </c>
      <c r="K72" s="1000">
        <f t="shared" ref="K72:K80" si="19">$L72+$G72</f>
        <v>0</v>
      </c>
      <c r="L72" s="1000">
        <v>0</v>
      </c>
      <c r="M72" s="1000">
        <f t="shared" ref="M72:N80" si="20">L72-$G72</f>
        <v>0</v>
      </c>
      <c r="N72" s="1000">
        <f t="shared" si="20"/>
        <v>0</v>
      </c>
      <c r="AA72" s="1056"/>
      <c r="AB72" s="1056"/>
      <c r="AC72" s="1056"/>
      <c r="AD72" s="1056"/>
      <c r="AE72" s="1056"/>
      <c r="AF72" s="1056"/>
      <c r="AG72" s="1056"/>
      <c r="AH72" s="1056"/>
      <c r="AI72" s="1056"/>
      <c r="AJ72" s="1056"/>
      <c r="AK72" s="1056"/>
    </row>
    <row r="73" spans="1:37" s="1055" customFormat="1" ht="63.75">
      <c r="A73" s="1968" t="s">
        <v>2052</v>
      </c>
      <c r="B73" s="1260" t="str">
        <f>估价对象房地状况!C18</f>
        <v>估价对象周边道路状况较好、有7、16、105等公交线路及地铁2、4号线经过，公共交通通达情况较好、停车便捷程度一般，综合评价交通便捷度较好</v>
      </c>
      <c r="C73" s="1885"/>
      <c r="D73" s="1001">
        <f t="shared" si="16"/>
        <v>0</v>
      </c>
      <c r="E73" s="704"/>
      <c r="F73" s="1673"/>
      <c r="G73" s="999"/>
      <c r="H73" s="1002" t="str">
        <f t="shared" si="17"/>
        <v>——</v>
      </c>
      <c r="I73" s="3067">
        <v>0.26</v>
      </c>
      <c r="J73" s="1000">
        <f t="shared" si="18"/>
        <v>0</v>
      </c>
      <c r="K73" s="1000">
        <f t="shared" si="19"/>
        <v>0</v>
      </c>
      <c r="L73" s="1000">
        <v>0</v>
      </c>
      <c r="M73" s="1000">
        <f t="shared" si="20"/>
        <v>0</v>
      </c>
      <c r="N73" s="1000">
        <f t="shared" si="20"/>
        <v>0</v>
      </c>
      <c r="AA73" s="1056"/>
      <c r="AB73" s="1056"/>
      <c r="AC73" s="1056"/>
      <c r="AD73" s="1056"/>
      <c r="AE73" s="1056"/>
      <c r="AF73" s="1056"/>
      <c r="AG73" s="1056"/>
      <c r="AH73" s="1056"/>
      <c r="AI73" s="1056"/>
      <c r="AJ73" s="1056"/>
      <c r="AK73" s="1056"/>
    </row>
    <row r="74" spans="1:37" s="1842" customFormat="1" ht="36">
      <c r="A74" s="3069" t="s">
        <v>3265</v>
      </c>
      <c r="B74" s="1260">
        <f>估价对象房地状况!C19</f>
        <v>0</v>
      </c>
      <c r="C74" s="1885"/>
      <c r="D74" s="1001">
        <f t="shared" si="16"/>
        <v>0</v>
      </c>
      <c r="E74" s="704"/>
      <c r="F74" s="1673"/>
      <c r="G74" s="999"/>
      <c r="H74" s="1002" t="str">
        <f t="shared" si="17"/>
        <v>——</v>
      </c>
      <c r="I74" s="3067">
        <v>0.1</v>
      </c>
      <c r="J74" s="1000">
        <f t="shared" si="18"/>
        <v>0</v>
      </c>
      <c r="K74" s="1000">
        <f t="shared" si="19"/>
        <v>0</v>
      </c>
      <c r="L74" s="1000">
        <v>0</v>
      </c>
      <c r="M74" s="1000">
        <f t="shared" si="20"/>
        <v>0</v>
      </c>
      <c r="N74" s="1000">
        <f t="shared" si="20"/>
        <v>0</v>
      </c>
      <c r="O74" s="1055"/>
      <c r="P74" s="1055"/>
      <c r="Q74" s="1055"/>
      <c r="AA74" s="1978"/>
      <c r="AB74" s="1056"/>
      <c r="AC74" s="1056"/>
      <c r="AD74" s="1056"/>
      <c r="AE74" s="1056"/>
      <c r="AF74" s="1056"/>
      <c r="AG74" s="1056"/>
      <c r="AH74" s="1978"/>
      <c r="AI74" s="1978"/>
      <c r="AJ74" s="1978"/>
      <c r="AK74" s="1978"/>
    </row>
    <row r="75" spans="1:37" ht="14.25">
      <c r="A75" s="1968" t="s">
        <v>2066</v>
      </c>
      <c r="B75" s="1260" t="str">
        <f>估价对象房地状况!C24</f>
        <v>主干道-西直门外大街</v>
      </c>
      <c r="C75" s="1885"/>
      <c r="D75" s="1001">
        <f t="shared" si="16"/>
        <v>0</v>
      </c>
      <c r="E75" s="704"/>
      <c r="F75" s="1673"/>
      <c r="G75" s="999"/>
      <c r="H75" s="1002" t="str">
        <f t="shared" si="17"/>
        <v>——</v>
      </c>
      <c r="I75" s="3067">
        <v>0.05</v>
      </c>
      <c r="J75" s="1000">
        <f t="shared" si="18"/>
        <v>0</v>
      </c>
      <c r="K75" s="1000">
        <f t="shared" si="19"/>
        <v>0</v>
      </c>
      <c r="L75" s="1000">
        <v>0</v>
      </c>
      <c r="M75" s="1000">
        <f t="shared" si="20"/>
        <v>0</v>
      </c>
      <c r="N75" s="1000">
        <f t="shared" si="20"/>
        <v>0</v>
      </c>
      <c r="O75" s="1055"/>
      <c r="P75" s="1055"/>
      <c r="Q75" s="1842"/>
      <c r="Z75" s="1843"/>
      <c r="AA75" s="1893"/>
      <c r="AG75" s="1057"/>
      <c r="AK75" s="1893"/>
    </row>
    <row r="76" spans="1:37" ht="25.5">
      <c r="A76" s="1968" t="s">
        <v>2058</v>
      </c>
      <c r="B76" s="1239" t="str">
        <f>估价对象房地状况!C21</f>
        <v>估价对象所在区域公共配套设施齐备情况较好</v>
      </c>
      <c r="C76" s="1885"/>
      <c r="D76" s="1001">
        <f t="shared" si="16"/>
        <v>0</v>
      </c>
      <c r="E76" s="704"/>
      <c r="F76" s="1673"/>
      <c r="G76" s="999"/>
      <c r="H76" s="1002" t="str">
        <f t="shared" si="17"/>
        <v>——</v>
      </c>
      <c r="I76" s="3067">
        <v>0.08</v>
      </c>
      <c r="J76" s="1000">
        <f t="shared" si="18"/>
        <v>0</v>
      </c>
      <c r="K76" s="1000">
        <f t="shared" si="19"/>
        <v>0</v>
      </c>
      <c r="L76" s="1000">
        <v>0</v>
      </c>
      <c r="M76" s="1000">
        <f t="shared" si="20"/>
        <v>0</v>
      </c>
      <c r="N76" s="1000">
        <f t="shared" si="20"/>
        <v>0</v>
      </c>
      <c r="O76" s="1055"/>
      <c r="P76" s="1055"/>
      <c r="Z76" s="1843"/>
      <c r="AA76" s="1893"/>
      <c r="AG76" s="1057"/>
      <c r="AK76" s="1893"/>
    </row>
    <row r="77" spans="1:37" ht="25.5">
      <c r="A77" s="1968" t="s">
        <v>2059</v>
      </c>
      <c r="B77" s="1239" t="str">
        <f>估价对象房地状况!C22</f>
        <v>估价对象所在区域基础设施水平七通</v>
      </c>
      <c r="C77" s="1885"/>
      <c r="D77" s="1001">
        <f t="shared" si="16"/>
        <v>0</v>
      </c>
      <c r="E77" s="704"/>
      <c r="F77" s="1673"/>
      <c r="G77" s="999"/>
      <c r="H77" s="1002" t="str">
        <f t="shared" si="17"/>
        <v>——</v>
      </c>
      <c r="I77" s="3067">
        <v>0.09</v>
      </c>
      <c r="J77" s="1000">
        <f t="shared" si="18"/>
        <v>0</v>
      </c>
      <c r="K77" s="1000">
        <f t="shared" si="19"/>
        <v>0</v>
      </c>
      <c r="L77" s="1000">
        <v>0</v>
      </c>
      <c r="M77" s="1000">
        <f t="shared" si="20"/>
        <v>0</v>
      </c>
      <c r="N77" s="1000">
        <f t="shared" si="20"/>
        <v>0</v>
      </c>
      <c r="O77" s="1055"/>
      <c r="P77" s="1055"/>
      <c r="Z77" s="1843"/>
      <c r="AA77" s="1893"/>
      <c r="AG77" s="1057"/>
      <c r="AK77" s="1893"/>
    </row>
    <row r="78" spans="1:37" ht="24">
      <c r="A78" s="1968" t="s">
        <v>2056</v>
      </c>
      <c r="B78" s="1973" t="s">
        <v>2057</v>
      </c>
      <c r="C78" s="1885"/>
      <c r="D78" s="1001">
        <f t="shared" si="16"/>
        <v>0</v>
      </c>
      <c r="E78" s="704"/>
      <c r="F78" s="1673"/>
      <c r="G78" s="999"/>
      <c r="H78" s="1002" t="str">
        <f t="shared" si="17"/>
        <v>——</v>
      </c>
      <c r="I78" s="3067">
        <v>0.05</v>
      </c>
      <c r="J78" s="1000">
        <f t="shared" si="18"/>
        <v>0</v>
      </c>
      <c r="K78" s="1000">
        <f t="shared" si="19"/>
        <v>0</v>
      </c>
      <c r="L78" s="1000">
        <v>0</v>
      </c>
      <c r="M78" s="1000">
        <f t="shared" si="20"/>
        <v>0</v>
      </c>
      <c r="N78" s="1000">
        <f t="shared" si="20"/>
        <v>0</v>
      </c>
      <c r="O78" s="1842"/>
      <c r="P78" s="1842"/>
      <c r="Z78" s="1843"/>
      <c r="AA78" s="1893"/>
      <c r="AG78" s="1057"/>
      <c r="AK78" s="1893"/>
    </row>
    <row r="79" spans="1:37" ht="51">
      <c r="A79" s="1968" t="s">
        <v>2060</v>
      </c>
      <c r="B79" s="1971" t="str">
        <f>估价对象房地状况!C20</f>
        <v>区域自然环境：北京动物园、官园公园；人文环境：北京天文馆、北京建筑大学；综合评价环境状况较好</v>
      </c>
      <c r="C79" s="1885"/>
      <c r="D79" s="1001">
        <f t="shared" si="16"/>
        <v>0</v>
      </c>
      <c r="E79" s="704"/>
      <c r="F79" s="1673"/>
      <c r="G79" s="999"/>
      <c r="H79" s="1002" t="str">
        <f t="shared" si="17"/>
        <v>——</v>
      </c>
      <c r="I79" s="3067">
        <v>0.12</v>
      </c>
      <c r="J79" s="1000">
        <f t="shared" si="18"/>
        <v>0</v>
      </c>
      <c r="K79" s="1000">
        <f t="shared" si="19"/>
        <v>0</v>
      </c>
      <c r="L79" s="1000">
        <v>0</v>
      </c>
      <c r="M79" s="1000">
        <f t="shared" si="20"/>
        <v>0</v>
      </c>
      <c r="N79" s="1000">
        <f t="shared" si="20"/>
        <v>0</v>
      </c>
      <c r="Z79" s="1843"/>
      <c r="AA79" s="1893"/>
      <c r="AG79" s="1057"/>
      <c r="AK79" s="1893"/>
    </row>
    <row r="80" spans="1:37" ht="24.75" thickBot="1">
      <c r="A80" s="1975" t="s">
        <v>2067</v>
      </c>
      <c r="B80" s="1979"/>
      <c r="C80" s="1885"/>
      <c r="D80" s="1001">
        <f t="shared" si="16"/>
        <v>0</v>
      </c>
      <c r="E80" s="705"/>
      <c r="F80" s="1673"/>
      <c r="G80" s="999"/>
      <c r="H80" s="1002" t="str">
        <f t="shared" si="17"/>
        <v>——</v>
      </c>
      <c r="I80" s="3068">
        <v>0.05</v>
      </c>
      <c r="J80" s="1000">
        <f t="shared" si="18"/>
        <v>0</v>
      </c>
      <c r="K80" s="1000">
        <f t="shared" si="19"/>
        <v>0</v>
      </c>
      <c r="L80" s="1000">
        <v>0</v>
      </c>
      <c r="M80" s="1000">
        <f t="shared" si="20"/>
        <v>0</v>
      </c>
      <c r="N80" s="1000">
        <f t="shared" si="20"/>
        <v>0</v>
      </c>
      <c r="Z80" s="1843"/>
      <c r="AA80" s="1893"/>
      <c r="AG80" s="1057"/>
      <c r="AK80" s="1893"/>
    </row>
    <row r="81" spans="1:37" ht="15">
      <c r="A81" s="1965" t="s">
        <v>2068</v>
      </c>
      <c r="B81" s="1966">
        <f>1+E83</f>
        <v>1</v>
      </c>
      <c r="C81" s="698"/>
      <c r="D81" s="698"/>
      <c r="E81" s="699"/>
      <c r="F81" s="1967"/>
      <c r="G81" s="3"/>
      <c r="H81" s="3"/>
      <c r="I81" s="3"/>
      <c r="J81" s="4"/>
      <c r="K81" s="4"/>
      <c r="L81" s="4"/>
      <c r="M81" s="4"/>
      <c r="N81" s="4"/>
      <c r="Z81" s="1843"/>
      <c r="AA81" s="1893"/>
      <c r="AG81" s="1057"/>
      <c r="AK81" s="1893"/>
    </row>
    <row r="82" spans="1:37" ht="24.75">
      <c r="A82" s="1968" t="s">
        <v>2043</v>
      </c>
      <c r="B82" s="1260"/>
      <c r="C82" s="1260" t="s">
        <v>2045</v>
      </c>
      <c r="D82" s="1260" t="s">
        <v>2046</v>
      </c>
      <c r="E82" s="700" t="s">
        <v>2047</v>
      </c>
      <c r="F82" s="1969" t="s">
        <v>2062</v>
      </c>
      <c r="G82" s="1260" t="s">
        <v>310</v>
      </c>
      <c r="H82" s="1970" t="s">
        <v>2049</v>
      </c>
      <c r="I82" s="1260" t="s">
        <v>2050</v>
      </c>
      <c r="J82" s="530" t="s">
        <v>1720</v>
      </c>
      <c r="K82" s="530" t="s">
        <v>1721</v>
      </c>
      <c r="L82" s="530" t="s">
        <v>1722</v>
      </c>
      <c r="M82" s="530" t="s">
        <v>1723</v>
      </c>
      <c r="N82" s="530" t="s">
        <v>1724</v>
      </c>
      <c r="Z82" s="1843"/>
      <c r="AA82" s="1893"/>
      <c r="AG82" s="1057"/>
      <c r="AK82" s="1893"/>
    </row>
    <row r="83" spans="1:37" ht="38.25">
      <c r="A83" s="1968" t="s">
        <v>2069</v>
      </c>
      <c r="B83" s="1260" t="str">
        <f>估价对象房地状况!G15</f>
        <v>估价对象位于XX开发区，园区建设成熟度XX，产业集聚程度XX</v>
      </c>
      <c r="C83" s="1885"/>
      <c r="D83" s="1001">
        <f t="shared" ref="D83:D90" si="21">SUMIF($J$82:$N$82,C83,J83:N83)</f>
        <v>0</v>
      </c>
      <c r="E83" s="701">
        <f>ROUND(SUM(D83:D90),4)</f>
        <v>0</v>
      </c>
      <c r="F83" s="1673" t="str">
        <f>IF(E2="工业",SUMIF(L1:L12,G2,N1:N12),"——")</f>
        <v>——</v>
      </c>
      <c r="G83" s="999"/>
      <c r="H83" s="1002" t="str">
        <f t="shared" ref="H83:H90" si="22">IFERROR(ROUNDDOWN($F$83*I83/2,4),"——")</f>
        <v>——</v>
      </c>
      <c r="I83" s="3067">
        <v>0.26</v>
      </c>
      <c r="J83" s="1000">
        <f t="shared" ref="J83:J90" si="23">K83+$G83</f>
        <v>0</v>
      </c>
      <c r="K83" s="1000">
        <f t="shared" ref="K83:K90" si="24">$L83+$G83</f>
        <v>0</v>
      </c>
      <c r="L83" s="1000">
        <v>0</v>
      </c>
      <c r="M83" s="1000">
        <f t="shared" ref="M83:N90" si="25">L83-$G83</f>
        <v>0</v>
      </c>
      <c r="N83" s="1000">
        <f t="shared" si="25"/>
        <v>0</v>
      </c>
      <c r="Z83" s="1843"/>
      <c r="AA83" s="1893"/>
      <c r="AG83" s="1057"/>
      <c r="AK83" s="1893"/>
    </row>
    <row r="84" spans="1:37" ht="38.25">
      <c r="A84" s="1968" t="s">
        <v>2052</v>
      </c>
      <c r="B84" s="1260" t="str">
        <f>估价对象房地状况!G16</f>
        <v>估价对象周边道路状况、公共交通通达情况、停车便捷程度，综合评价交通便捷度较好</v>
      </c>
      <c r="C84" s="1885"/>
      <c r="D84" s="1001">
        <f t="shared" si="21"/>
        <v>0</v>
      </c>
      <c r="E84" s="704"/>
      <c r="F84" s="1673"/>
      <c r="G84" s="999"/>
      <c r="H84" s="1002" t="str">
        <f t="shared" si="22"/>
        <v>——</v>
      </c>
      <c r="I84" s="3067">
        <v>0.3</v>
      </c>
      <c r="J84" s="1000">
        <f t="shared" si="23"/>
        <v>0</v>
      </c>
      <c r="K84" s="1000">
        <f t="shared" si="24"/>
        <v>0</v>
      </c>
      <c r="L84" s="1000">
        <v>0</v>
      </c>
      <c r="M84" s="1000">
        <f t="shared" si="25"/>
        <v>0</v>
      </c>
      <c r="N84" s="1000">
        <f t="shared" si="25"/>
        <v>0</v>
      </c>
      <c r="Z84" s="1843"/>
      <c r="AA84" s="1893"/>
      <c r="AG84" s="1057"/>
      <c r="AK84" s="1893"/>
    </row>
    <row r="85" spans="1:37" ht="36">
      <c r="A85" s="3069" t="s">
        <v>3266</v>
      </c>
      <c r="B85" s="1260">
        <f>估价对象房地状况!G17</f>
        <v>0</v>
      </c>
      <c r="C85" s="1885"/>
      <c r="D85" s="1001">
        <f t="shared" si="21"/>
        <v>0</v>
      </c>
      <c r="E85" s="704"/>
      <c r="F85" s="1673"/>
      <c r="G85" s="999"/>
      <c r="H85" s="1002" t="str">
        <f t="shared" si="22"/>
        <v>——</v>
      </c>
      <c r="I85" s="3067">
        <v>0.1</v>
      </c>
      <c r="J85" s="1000">
        <f t="shared" si="23"/>
        <v>0</v>
      </c>
      <c r="K85" s="1000">
        <f t="shared" si="24"/>
        <v>0</v>
      </c>
      <c r="L85" s="1000">
        <v>0</v>
      </c>
      <c r="M85" s="1000">
        <f t="shared" si="25"/>
        <v>0</v>
      </c>
      <c r="N85" s="1000">
        <f t="shared" si="25"/>
        <v>0</v>
      </c>
      <c r="Z85" s="1843"/>
      <c r="AA85" s="1893"/>
      <c r="AG85" s="1057"/>
      <c r="AK85" s="1893"/>
    </row>
    <row r="86" spans="1:37" ht="14.25">
      <c r="A86" s="1968" t="s">
        <v>2066</v>
      </c>
      <c r="B86" s="1260">
        <f>估价对象房地状况!G22</f>
        <v>0</v>
      </c>
      <c r="C86" s="1885"/>
      <c r="D86" s="1001">
        <f t="shared" si="21"/>
        <v>0</v>
      </c>
      <c r="E86" s="704"/>
      <c r="F86" s="1673"/>
      <c r="G86" s="999"/>
      <c r="H86" s="1002" t="str">
        <f t="shared" si="22"/>
        <v>——</v>
      </c>
      <c r="I86" s="3067">
        <v>0.05</v>
      </c>
      <c r="J86" s="1000">
        <f t="shared" si="23"/>
        <v>0</v>
      </c>
      <c r="K86" s="1000">
        <f t="shared" si="24"/>
        <v>0</v>
      </c>
      <c r="L86" s="1000">
        <v>0</v>
      </c>
      <c r="M86" s="1000">
        <f t="shared" si="25"/>
        <v>0</v>
      </c>
      <c r="N86" s="1000">
        <f t="shared" si="25"/>
        <v>0</v>
      </c>
      <c r="Z86" s="1843"/>
      <c r="AA86" s="1893"/>
      <c r="AG86" s="1057"/>
      <c r="AK86" s="1893"/>
    </row>
    <row r="87" spans="1:37" ht="25.5">
      <c r="A87" s="1968" t="s">
        <v>2058</v>
      </c>
      <c r="B87" s="1239" t="str">
        <f>估价对象房地状况!G19</f>
        <v>估价对象所在区域公共配套设施齐备情况</v>
      </c>
      <c r="C87" s="1885"/>
      <c r="D87" s="1001">
        <f t="shared" si="21"/>
        <v>0</v>
      </c>
      <c r="E87" s="704"/>
      <c r="F87" s="1673"/>
      <c r="G87" s="999"/>
      <c r="H87" s="1002" t="str">
        <f t="shared" si="22"/>
        <v>——</v>
      </c>
      <c r="I87" s="3067">
        <v>0.06</v>
      </c>
      <c r="J87" s="1000">
        <f t="shared" si="23"/>
        <v>0</v>
      </c>
      <c r="K87" s="1000">
        <f t="shared" si="24"/>
        <v>0</v>
      </c>
      <c r="L87" s="1000">
        <v>0</v>
      </c>
      <c r="M87" s="1000">
        <f t="shared" si="25"/>
        <v>0</v>
      </c>
      <c r="N87" s="1000">
        <f t="shared" si="25"/>
        <v>0</v>
      </c>
    </row>
    <row r="88" spans="1:37" ht="25.5">
      <c r="A88" s="1968" t="s">
        <v>2059</v>
      </c>
      <c r="B88" s="1239" t="str">
        <f>估价对象房地状况!G20</f>
        <v>估价对象所在区域基础设施水平</v>
      </c>
      <c r="C88" s="1885"/>
      <c r="D88" s="1001">
        <f t="shared" si="21"/>
        <v>0</v>
      </c>
      <c r="E88" s="704"/>
      <c r="F88" s="1673"/>
      <c r="G88" s="999"/>
      <c r="H88" s="1002" t="str">
        <f t="shared" si="22"/>
        <v>——</v>
      </c>
      <c r="I88" s="3067">
        <v>0.12</v>
      </c>
      <c r="J88" s="1000">
        <f t="shared" si="23"/>
        <v>0</v>
      </c>
      <c r="K88" s="1000">
        <f t="shared" si="24"/>
        <v>0</v>
      </c>
      <c r="L88" s="1000">
        <v>0</v>
      </c>
      <c r="M88" s="1000">
        <f t="shared" si="25"/>
        <v>0</v>
      </c>
      <c r="N88" s="1000">
        <f t="shared" si="25"/>
        <v>0</v>
      </c>
    </row>
    <row r="89" spans="1:37" ht="24">
      <c r="A89" s="1968" t="s">
        <v>2056</v>
      </c>
      <c r="B89" s="1973" t="s">
        <v>2070</v>
      </c>
      <c r="C89" s="1885"/>
      <c r="D89" s="1001">
        <f t="shared" si="21"/>
        <v>0</v>
      </c>
      <c r="E89" s="704"/>
      <c r="F89" s="1673"/>
      <c r="G89" s="999"/>
      <c r="H89" s="1002" t="str">
        <f t="shared" si="22"/>
        <v>——</v>
      </c>
      <c r="I89" s="3067">
        <v>0.06</v>
      </c>
      <c r="J89" s="1000">
        <f t="shared" si="23"/>
        <v>0</v>
      </c>
      <c r="K89" s="1000">
        <f t="shared" si="24"/>
        <v>0</v>
      </c>
      <c r="L89" s="1000">
        <v>0</v>
      </c>
      <c r="M89" s="1000">
        <f t="shared" si="25"/>
        <v>0</v>
      </c>
      <c r="N89" s="1000">
        <f t="shared" si="25"/>
        <v>0</v>
      </c>
    </row>
    <row r="90" spans="1:37" ht="39" thickBot="1">
      <c r="A90" s="1975" t="s">
        <v>2071</v>
      </c>
      <c r="B90" s="1980" t="str">
        <f>估价对象房地状况!G18</f>
        <v>该园区内是否有污染型企业，绿化情况，卫生条件，整体环境状况判断</v>
      </c>
      <c r="C90" s="1885"/>
      <c r="D90" s="1001">
        <f t="shared" si="21"/>
        <v>0</v>
      </c>
      <c r="E90" s="705"/>
      <c r="F90" s="1673"/>
      <c r="G90" s="999"/>
      <c r="H90" s="1002" t="str">
        <f t="shared" si="22"/>
        <v>——</v>
      </c>
      <c r="I90" s="3068">
        <v>0.05</v>
      </c>
      <c r="J90" s="1000">
        <f t="shared" si="23"/>
        <v>0</v>
      </c>
      <c r="K90" s="1000">
        <f t="shared" si="24"/>
        <v>0</v>
      </c>
      <c r="L90" s="1000">
        <v>0</v>
      </c>
      <c r="M90" s="1000">
        <f t="shared" si="25"/>
        <v>0</v>
      </c>
      <c r="N90" s="1000">
        <f t="shared" si="25"/>
        <v>0</v>
      </c>
    </row>
    <row r="91" spans="1:37" ht="15">
      <c r="A91" s="3077" t="s">
        <v>2606</v>
      </c>
      <c r="B91" s="3078">
        <f>1+E93</f>
        <v>1</v>
      </c>
      <c r="C91" s="3071"/>
      <c r="D91" s="3072"/>
      <c r="E91" s="1673"/>
      <c r="F91" s="1673"/>
      <c r="G91" s="3073"/>
      <c r="H91" s="3074"/>
      <c r="I91" s="3075"/>
      <c r="J91" s="3076"/>
      <c r="K91" s="3076"/>
      <c r="L91" s="3076"/>
      <c r="M91" s="3076"/>
      <c r="N91" s="3076"/>
    </row>
    <row r="92" spans="1:37" ht="24.75">
      <c r="A92" s="3079" t="s">
        <v>3267</v>
      </c>
      <c r="B92" s="2308"/>
      <c r="C92" s="2308" t="s">
        <v>3276</v>
      </c>
      <c r="D92" s="2308" t="s">
        <v>3277</v>
      </c>
      <c r="E92" s="3051" t="s">
        <v>3278</v>
      </c>
      <c r="F92" s="3081" t="s">
        <v>3279</v>
      </c>
      <c r="G92" s="2308" t="s">
        <v>3280</v>
      </c>
      <c r="H92" s="3088" t="s">
        <v>3283</v>
      </c>
      <c r="I92" s="2308" t="s">
        <v>3284</v>
      </c>
      <c r="J92" s="2148" t="s">
        <v>3285</v>
      </c>
      <c r="K92" s="2148" t="s">
        <v>3286</v>
      </c>
      <c r="L92" s="2148" t="s">
        <v>3287</v>
      </c>
      <c r="M92" s="2148" t="s">
        <v>3288</v>
      </c>
      <c r="N92" s="2148" t="s">
        <v>3289</v>
      </c>
    </row>
    <row r="93" spans="1:37" ht="24">
      <c r="A93" s="3069" t="s">
        <v>3268</v>
      </c>
      <c r="B93" s="1220"/>
      <c r="C93" s="1885"/>
      <c r="D93" s="2308">
        <f>SUMIF($J$92:$N$92,C93,J93:N93)</f>
        <v>0</v>
      </c>
      <c r="E93" s="3082">
        <f>ROUND(SUM(D93:D101),4)</f>
        <v>0</v>
      </c>
      <c r="F93" s="1673" t="str">
        <f>IF(E2="公共服务",SUMIF(L1:L12,G2,N1:N12),"——")</f>
        <v>——</v>
      </c>
      <c r="G93" s="3073"/>
      <c r="H93" s="3118" t="str">
        <f>IFERROR(ROUNDDOWN($F$93*I93/2,4),"——")</f>
        <v>——</v>
      </c>
      <c r="I93" s="3067">
        <v>0.25</v>
      </c>
      <c r="J93" s="1910">
        <f t="shared" ref="J93:J101" si="26">K93+$G93</f>
        <v>0</v>
      </c>
      <c r="K93" s="1910">
        <f t="shared" ref="K93:K101" si="27">$L93+$G93</f>
        <v>0</v>
      </c>
      <c r="L93" s="1910">
        <v>0</v>
      </c>
      <c r="M93" s="1910">
        <f t="shared" ref="M93:N101" si="28">L93-$G93</f>
        <v>0</v>
      </c>
      <c r="N93" s="1910">
        <f t="shared" si="28"/>
        <v>0</v>
      </c>
    </row>
    <row r="94" spans="1:37" ht="63.75">
      <c r="A94" s="3079" t="s">
        <v>3269</v>
      </c>
      <c r="B94" s="3070" t="str">
        <f>估价对象房地状况!C18</f>
        <v>估价对象周边道路状况较好、有7、16、105等公交线路及地铁2、4号线经过，公共交通通达情况较好、停车便捷程度一般，综合评价交通便捷度较好</v>
      </c>
      <c r="C94" s="1885"/>
      <c r="D94" s="2308">
        <f t="shared" ref="D94:D101" si="29">SUMIF($J$60:$N$60,C94,J94:N94)</f>
        <v>0</v>
      </c>
      <c r="E94" s="3083"/>
      <c r="F94" s="1673"/>
      <c r="G94" s="3073"/>
      <c r="H94" s="3118" t="str">
        <f>IFERROR(ROUNDDOWN($F$93*I94/2,4),"——")</f>
        <v>——</v>
      </c>
      <c r="I94" s="3067">
        <v>0.26</v>
      </c>
      <c r="J94" s="1910">
        <f t="shared" si="26"/>
        <v>0</v>
      </c>
      <c r="K94" s="1910">
        <f t="shared" si="27"/>
        <v>0</v>
      </c>
      <c r="L94" s="1910">
        <v>0</v>
      </c>
      <c r="M94" s="1910">
        <f t="shared" si="28"/>
        <v>0</v>
      </c>
      <c r="N94" s="1910">
        <f t="shared" si="28"/>
        <v>0</v>
      </c>
    </row>
    <row r="95" spans="1:37" ht="36">
      <c r="A95" s="3069" t="s">
        <v>3265</v>
      </c>
      <c r="B95" s="3070">
        <f>估价对象房地状况!C19</f>
        <v>0</v>
      </c>
      <c r="C95" s="1885"/>
      <c r="D95" s="2308">
        <f t="shared" si="29"/>
        <v>0</v>
      </c>
      <c r="E95" s="3083"/>
      <c r="F95" s="1673"/>
      <c r="G95" s="3073"/>
      <c r="H95" s="3118" t="str">
        <f t="shared" ref="H95:H101" si="30">IFERROR(ROUNDDOWN($F$93*I95/2,4),"——")</f>
        <v>——</v>
      </c>
      <c r="I95" s="3067">
        <v>0.11</v>
      </c>
      <c r="J95" s="1910">
        <f t="shared" si="26"/>
        <v>0</v>
      </c>
      <c r="K95" s="1910">
        <f t="shared" si="27"/>
        <v>0</v>
      </c>
      <c r="L95" s="1910">
        <v>0</v>
      </c>
      <c r="M95" s="1910">
        <f t="shared" si="28"/>
        <v>0</v>
      </c>
      <c r="N95" s="1910">
        <f t="shared" si="28"/>
        <v>0</v>
      </c>
    </row>
    <row r="96" spans="1:37" ht="36.75">
      <c r="A96" s="3079" t="s">
        <v>3270</v>
      </c>
      <c r="B96" s="3085" t="s">
        <v>3281</v>
      </c>
      <c r="C96" s="1885"/>
      <c r="D96" s="2308">
        <f t="shared" si="29"/>
        <v>0</v>
      </c>
      <c r="E96" s="3083"/>
      <c r="F96" s="1673"/>
      <c r="G96" s="3073"/>
      <c r="H96" s="3118" t="str">
        <f t="shared" si="30"/>
        <v>——</v>
      </c>
      <c r="I96" s="3067">
        <v>0.05</v>
      </c>
      <c r="J96" s="1910">
        <f t="shared" si="26"/>
        <v>0</v>
      </c>
      <c r="K96" s="1910">
        <f t="shared" si="27"/>
        <v>0</v>
      </c>
      <c r="L96" s="1910">
        <v>0</v>
      </c>
      <c r="M96" s="1910">
        <f t="shared" si="28"/>
        <v>0</v>
      </c>
      <c r="N96" s="1910">
        <f t="shared" si="28"/>
        <v>0</v>
      </c>
    </row>
    <row r="97" spans="1:14" ht="24">
      <c r="A97" s="3079" t="s">
        <v>3271</v>
      </c>
      <c r="B97" s="3070" t="str">
        <f>估价对象房地状况!C24</f>
        <v>主干道-西直门外大街</v>
      </c>
      <c r="C97" s="1885"/>
      <c r="D97" s="2308">
        <f t="shared" si="29"/>
        <v>0</v>
      </c>
      <c r="E97" s="3083"/>
      <c r="F97" s="1673"/>
      <c r="G97" s="3073"/>
      <c r="H97" s="3118" t="str">
        <f t="shared" si="30"/>
        <v>——</v>
      </c>
      <c r="I97" s="3067">
        <v>0.05</v>
      </c>
      <c r="J97" s="1910">
        <f t="shared" si="26"/>
        <v>0</v>
      </c>
      <c r="K97" s="1910">
        <f t="shared" si="27"/>
        <v>0</v>
      </c>
      <c r="L97" s="1910">
        <v>0</v>
      </c>
      <c r="M97" s="1910">
        <f t="shared" si="28"/>
        <v>0</v>
      </c>
      <c r="N97" s="1910">
        <f t="shared" si="28"/>
        <v>0</v>
      </c>
    </row>
    <row r="98" spans="1:14" ht="24">
      <c r="A98" s="3079" t="s">
        <v>3272</v>
      </c>
      <c r="B98" s="3086" t="s">
        <v>3282</v>
      </c>
      <c r="C98" s="1885"/>
      <c r="D98" s="2308">
        <f t="shared" si="29"/>
        <v>0</v>
      </c>
      <c r="E98" s="3083"/>
      <c r="F98" s="1673"/>
      <c r="G98" s="3073"/>
      <c r="H98" s="3118" t="str">
        <f t="shared" si="30"/>
        <v>——</v>
      </c>
      <c r="I98" s="3067">
        <v>0.06</v>
      </c>
      <c r="J98" s="1910">
        <f t="shared" si="26"/>
        <v>0</v>
      </c>
      <c r="K98" s="1910">
        <f t="shared" si="27"/>
        <v>0</v>
      </c>
      <c r="L98" s="1910">
        <v>0</v>
      </c>
      <c r="M98" s="1910">
        <f t="shared" si="28"/>
        <v>0</v>
      </c>
      <c r="N98" s="1910">
        <f t="shared" si="28"/>
        <v>0</v>
      </c>
    </row>
    <row r="99" spans="1:14" ht="25.5">
      <c r="A99" s="3079" t="s">
        <v>3273</v>
      </c>
      <c r="B99" s="3070" t="str">
        <f>估价对象房地状况!C21</f>
        <v>估价对象所在区域公共配套设施齐备情况较好</v>
      </c>
      <c r="C99" s="1885"/>
      <c r="D99" s="2308">
        <f t="shared" si="29"/>
        <v>0</v>
      </c>
      <c r="E99" s="3083"/>
      <c r="F99" s="1673"/>
      <c r="G99" s="3073"/>
      <c r="H99" s="3118" t="str">
        <f t="shared" si="30"/>
        <v>——</v>
      </c>
      <c r="I99" s="3067">
        <v>0.06</v>
      </c>
      <c r="J99" s="1910">
        <f t="shared" si="26"/>
        <v>0</v>
      </c>
      <c r="K99" s="1910">
        <f t="shared" si="27"/>
        <v>0</v>
      </c>
      <c r="L99" s="1910">
        <v>0</v>
      </c>
      <c r="M99" s="1910">
        <f t="shared" si="28"/>
        <v>0</v>
      </c>
      <c r="N99" s="1910">
        <f t="shared" si="28"/>
        <v>0</v>
      </c>
    </row>
    <row r="100" spans="1:14" ht="25.5">
      <c r="A100" s="3079" t="s">
        <v>3274</v>
      </c>
      <c r="B100" s="3070" t="str">
        <f>估价对象房地状况!C22</f>
        <v>估价对象所在区域基础设施水平七通</v>
      </c>
      <c r="C100" s="1885"/>
      <c r="D100" s="2308">
        <f t="shared" si="29"/>
        <v>0</v>
      </c>
      <c r="E100" s="3083"/>
      <c r="F100" s="1673"/>
      <c r="G100" s="3073"/>
      <c r="H100" s="3118" t="str">
        <f t="shared" si="30"/>
        <v>——</v>
      </c>
      <c r="I100" s="3067">
        <v>0.09</v>
      </c>
      <c r="J100" s="1910">
        <f t="shared" si="26"/>
        <v>0</v>
      </c>
      <c r="K100" s="1910">
        <f t="shared" si="27"/>
        <v>0</v>
      </c>
      <c r="L100" s="1910">
        <v>0</v>
      </c>
      <c r="M100" s="1910">
        <f t="shared" si="28"/>
        <v>0</v>
      </c>
      <c r="N100" s="1910">
        <f t="shared" si="28"/>
        <v>0</v>
      </c>
    </row>
    <row r="101" spans="1:14" ht="51.75" thickBot="1">
      <c r="A101" s="3080" t="s">
        <v>3275</v>
      </c>
      <c r="B101" s="3087" t="str">
        <f>估价对象房地状况!C20</f>
        <v>区域自然环境：北京动物园、官园公园；人文环境：北京天文馆、北京建筑大学；综合评价环境状况较好</v>
      </c>
      <c r="C101" s="1885"/>
      <c r="D101" s="2308">
        <f t="shared" si="29"/>
        <v>0</v>
      </c>
      <c r="E101" s="3084"/>
      <c r="F101" s="1673"/>
      <c r="G101" s="3073"/>
      <c r="H101" s="3118" t="str">
        <f t="shared" si="30"/>
        <v>——</v>
      </c>
      <c r="I101" s="3068">
        <v>7.0000000000000007E-2</v>
      </c>
      <c r="J101" s="1910">
        <f t="shared" si="26"/>
        <v>0</v>
      </c>
      <c r="K101" s="1910">
        <f t="shared" si="27"/>
        <v>0</v>
      </c>
      <c r="L101" s="1910">
        <v>0</v>
      </c>
      <c r="M101" s="1910">
        <f t="shared" si="28"/>
        <v>0</v>
      </c>
      <c r="N101" s="1910">
        <f t="shared" si="28"/>
        <v>0</v>
      </c>
    </row>
    <row r="103" spans="1:14">
      <c r="A103" s="3469" t="s">
        <v>3290</v>
      </c>
      <c r="B103" s="3469"/>
      <c r="C103" s="3469"/>
      <c r="D103" s="3469"/>
      <c r="E103" s="3469"/>
      <c r="F103" s="3469"/>
      <c r="G103" s="3469"/>
      <c r="H103" s="3469"/>
      <c r="I103" s="3469"/>
      <c r="J103" s="3469"/>
      <c r="K103" s="1665"/>
      <c r="L103" s="1665"/>
      <c r="M103" s="1665"/>
      <c r="N103" s="1665"/>
    </row>
    <row r="104" spans="1:14">
      <c r="A104" s="3470" t="s">
        <v>3291</v>
      </c>
      <c r="B104" s="3470" t="s">
        <v>3292</v>
      </c>
      <c r="C104" s="3089" t="s">
        <v>3293</v>
      </c>
      <c r="D104" s="3090"/>
      <c r="E104" s="3090"/>
      <c r="F104" s="3090"/>
      <c r="G104" s="3090"/>
      <c r="H104" s="3090"/>
      <c r="I104" s="3090"/>
      <c r="J104" s="3091"/>
      <c r="K104" s="3092"/>
      <c r="L104" s="3092"/>
      <c r="M104" s="3092"/>
      <c r="N104" s="3092"/>
    </row>
    <row r="105" spans="1:14">
      <c r="A105" s="3470"/>
      <c r="B105" s="3470"/>
      <c r="C105" s="3093" t="s">
        <v>3294</v>
      </c>
      <c r="D105" s="3093" t="s">
        <v>3295</v>
      </c>
      <c r="E105" s="3093" t="s">
        <v>3296</v>
      </c>
      <c r="F105" s="3093" t="s">
        <v>3297</v>
      </c>
      <c r="G105" s="3093" t="s">
        <v>3298</v>
      </c>
      <c r="H105" s="3093" t="s">
        <v>3299</v>
      </c>
      <c r="I105" s="3093" t="s">
        <v>3300</v>
      </c>
      <c r="J105" s="3093" t="s">
        <v>3301</v>
      </c>
      <c r="K105" s="3093" t="s">
        <v>3302</v>
      </c>
      <c r="L105" s="3093" t="s">
        <v>3303</v>
      </c>
      <c r="M105" s="3093" t="s">
        <v>3304</v>
      </c>
      <c r="N105" s="3093" t="s">
        <v>3305</v>
      </c>
    </row>
    <row r="106" spans="1:14">
      <c r="A106" s="3456"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7"/>
      <c r="B111" s="3093" t="s">
        <v>3264</v>
      </c>
      <c r="C111" s="3094">
        <f>$I$3</f>
        <v>0</v>
      </c>
      <c r="D111" s="3094">
        <f t="shared" ref="D111:M111" si="31">$I$3</f>
        <v>0</v>
      </c>
      <c r="E111" s="3094">
        <f t="shared" si="31"/>
        <v>0</v>
      </c>
      <c r="F111" s="3094">
        <f t="shared" si="31"/>
        <v>0</v>
      </c>
      <c r="G111" s="3094">
        <f t="shared" si="31"/>
        <v>0</v>
      </c>
      <c r="H111" s="3094">
        <f t="shared" si="31"/>
        <v>0</v>
      </c>
      <c r="I111" s="3094">
        <f t="shared" si="31"/>
        <v>0</v>
      </c>
      <c r="J111" s="3094">
        <f t="shared" si="31"/>
        <v>0</v>
      </c>
      <c r="K111" s="3094">
        <f t="shared" si="31"/>
        <v>0</v>
      </c>
      <c r="L111" s="3094">
        <f t="shared" si="31"/>
        <v>0</v>
      </c>
      <c r="M111" s="3094">
        <f t="shared" si="31"/>
        <v>0</v>
      </c>
      <c r="N111" s="3094">
        <f>$I$3</f>
        <v>0</v>
      </c>
    </row>
    <row r="112" spans="1:14">
      <c r="A112" s="3458"/>
      <c r="B112" s="3093">
        <v>6</v>
      </c>
      <c r="C112" s="3088">
        <f>(-0.5556*(C111^2)-0.2719*C111+8944)*(10^(-4))</f>
        <v>0.89440000000000008</v>
      </c>
      <c r="D112" s="3088">
        <f>(-0.5556*(D111^2)-0.2719*D111+8944)*(10^(-4))</f>
        <v>0.89440000000000008</v>
      </c>
      <c r="E112" s="3088">
        <f>(-0.7912*(E111^2)-11.3794*E111+8482)*(10^(-4))</f>
        <v>0.84820000000000007</v>
      </c>
      <c r="F112" s="3088">
        <f>(-0.7912*(F111^2)-11.3794*F111+8482)*(10^(-4))</f>
        <v>0.84820000000000007</v>
      </c>
      <c r="G112" s="3088">
        <f>(-0.7912*(G111^2)-11.3794*G111+8482)*(10^(-4))</f>
        <v>0.84820000000000007</v>
      </c>
      <c r="H112" s="3088">
        <f>(-0.7912*(H111^2)-11.3794*H111+8482)*(10^(-4))</f>
        <v>0.84820000000000007</v>
      </c>
      <c r="I112" s="3088">
        <f>(-0.7912*(I111^2)-11.3794*I111+8482)*(10^(-4))</f>
        <v>0.84820000000000007</v>
      </c>
      <c r="J112" s="3088">
        <f>(-0.989*(J111^2)-63.78*J111+7771)*(10^(-4))</f>
        <v>0.77710000000000001</v>
      </c>
      <c r="K112" s="3088">
        <f>(-0.989*(K111^2)-63.78*K111+7771)*(10^(-4))</f>
        <v>0.77710000000000001</v>
      </c>
      <c r="L112" s="3088">
        <f>(-0.989*(L111^2)-63.78*L111+7771)*(10^(-4))</f>
        <v>0.77710000000000001</v>
      </c>
      <c r="M112" s="3088">
        <f>(-0.989*(M111^2)-63.78*M111+7771)*(10^(-4))</f>
        <v>0.77710000000000001</v>
      </c>
      <c r="N112" s="3088">
        <f>(-0.989*(N111^2)-63.78*N111+7771)*(10^(-4))</f>
        <v>0.77710000000000001</v>
      </c>
    </row>
    <row r="113" spans="1:14">
      <c r="A113" s="3459" t="s">
        <v>3307</v>
      </c>
      <c r="B113" s="3459"/>
      <c r="C113" s="3459"/>
      <c r="D113" s="3459"/>
      <c r="E113" s="3459"/>
      <c r="F113" s="3459"/>
      <c r="G113" s="3459"/>
      <c r="H113" s="3459"/>
      <c r="I113" s="3459"/>
      <c r="J113" s="3459"/>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3308</v>
      </c>
      <c r="B116" s="3113">
        <f>G3</f>
        <v>0</v>
      </c>
      <c r="C116" s="3098" t="s">
        <v>3309</v>
      </c>
      <c r="D116" s="3099">
        <f>SUMPRODUCT((A118:A122=F116)*(B117:M117=H116)*B118:M122)</f>
        <v>0</v>
      </c>
      <c r="E116" s="162" t="s">
        <v>3310</v>
      </c>
      <c r="F116" s="3100">
        <f>E2</f>
        <v>0</v>
      </c>
      <c r="G116" s="162" t="s">
        <v>3311</v>
      </c>
      <c r="H116" s="3100">
        <f>G2</f>
        <v>0</v>
      </c>
      <c r="I116" s="162"/>
      <c r="J116" s="3101"/>
      <c r="K116" s="3101"/>
      <c r="L116" s="3101"/>
      <c r="M116" s="3101"/>
      <c r="N116" s="3096"/>
    </row>
    <row r="117" spans="1:14">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c r="A118" s="3056" t="s">
        <v>3324</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2">I118</f>
        <v>0.84860000000000002</v>
      </c>
      <c r="K118" s="3088">
        <f t="shared" si="32"/>
        <v>0.84860000000000002</v>
      </c>
      <c r="L118" s="3088">
        <f t="shared" si="32"/>
        <v>0.84860000000000002</v>
      </c>
      <c r="M118" s="3108">
        <f t="shared" si="32"/>
        <v>0.84860000000000002</v>
      </c>
      <c r="N118" s="3096"/>
    </row>
    <row r="119" spans="1:14">
      <c r="A119" s="3056" t="s">
        <v>3325</v>
      </c>
      <c r="B119" s="3088">
        <f>ROUND(0.993-0.0112*B116,4)</f>
        <v>0.99299999999999999</v>
      </c>
      <c r="C119" s="3088">
        <f>B119</f>
        <v>0.99299999999999999</v>
      </c>
      <c r="D119" s="3088">
        <f>ROUND(0.9415-0.0142*B116,4)</f>
        <v>0.9415</v>
      </c>
      <c r="E119" s="3088">
        <f t="shared" ref="E119:H120" si="33">D119</f>
        <v>0.9415</v>
      </c>
      <c r="F119" s="3088">
        <f t="shared" si="33"/>
        <v>0.9415</v>
      </c>
      <c r="G119" s="3088">
        <f t="shared" si="33"/>
        <v>0.9415</v>
      </c>
      <c r="H119" s="3088">
        <f t="shared" si="33"/>
        <v>0.9415</v>
      </c>
      <c r="I119" s="3088">
        <f>ROUND(0.838-0.0182*B116,4)</f>
        <v>0.83799999999999997</v>
      </c>
      <c r="J119" s="3088">
        <f t="shared" si="32"/>
        <v>0.83799999999999997</v>
      </c>
      <c r="K119" s="3088">
        <f t="shared" si="32"/>
        <v>0.83799999999999997</v>
      </c>
      <c r="L119" s="3088">
        <f t="shared" si="32"/>
        <v>0.83799999999999997</v>
      </c>
      <c r="M119" s="3108">
        <f t="shared" si="32"/>
        <v>0.83799999999999997</v>
      </c>
      <c r="N119" s="3096"/>
    </row>
    <row r="120" spans="1:14">
      <c r="A120" s="3056" t="s">
        <v>3326</v>
      </c>
      <c r="B120" s="3088">
        <f>ROUND(0.9448-0.0115*B116,4)</f>
        <v>0.94479999999999997</v>
      </c>
      <c r="C120" s="3088">
        <f>B120</f>
        <v>0.94479999999999997</v>
      </c>
      <c r="D120" s="3088">
        <f>ROUND(0.937-0.0145*B116,4)</f>
        <v>0.93700000000000006</v>
      </c>
      <c r="E120" s="3088">
        <f t="shared" si="33"/>
        <v>0.93700000000000006</v>
      </c>
      <c r="F120" s="3088">
        <f t="shared" si="33"/>
        <v>0.93700000000000006</v>
      </c>
      <c r="G120" s="3088">
        <f t="shared" si="33"/>
        <v>0.93700000000000006</v>
      </c>
      <c r="H120" s="3088">
        <f t="shared" si="33"/>
        <v>0.93700000000000006</v>
      </c>
      <c r="I120" s="3088">
        <f>ROUND(0.7965-0.0185*B116,4)</f>
        <v>0.79649999999999999</v>
      </c>
      <c r="J120" s="3088">
        <f t="shared" si="32"/>
        <v>0.79649999999999999</v>
      </c>
      <c r="K120" s="3088">
        <f t="shared" si="32"/>
        <v>0.79649999999999999</v>
      </c>
      <c r="L120" s="3088">
        <f t="shared" si="32"/>
        <v>0.79649999999999999</v>
      </c>
      <c r="M120" s="3108">
        <f t="shared" si="32"/>
        <v>0.79649999999999999</v>
      </c>
      <c r="N120" s="3096"/>
    </row>
    <row r="121" spans="1:14" ht="13.5" thickBot="1">
      <c r="A121" s="3109" t="s">
        <v>3327</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2"/>
        <v>0.59050000000000002</v>
      </c>
      <c r="K121" s="3110">
        <f t="shared" si="32"/>
        <v>0.59050000000000002</v>
      </c>
      <c r="L121" s="3110">
        <f t="shared" si="32"/>
        <v>0.59050000000000002</v>
      </c>
      <c r="M121" s="3111">
        <f t="shared" si="32"/>
        <v>0.59050000000000002</v>
      </c>
      <c r="N121" s="3096"/>
    </row>
    <row r="122" spans="1:14">
      <c r="A122" s="3112" t="s">
        <v>2606</v>
      </c>
      <c r="B122" s="3088">
        <f>ROUND(0.9404-0.0106*B116,4)</f>
        <v>0.94040000000000001</v>
      </c>
      <c r="C122" s="3088">
        <f>B122</f>
        <v>0.94040000000000001</v>
      </c>
      <c r="D122" s="3088">
        <f>ROUND(0.8955-0.0135*B116,4)</f>
        <v>0.89549999999999996</v>
      </c>
      <c r="E122" s="3088">
        <f>D122</f>
        <v>0.89549999999999996</v>
      </c>
      <c r="F122" s="3088">
        <f>E122</f>
        <v>0.89549999999999996</v>
      </c>
      <c r="G122" s="3088">
        <f>F122</f>
        <v>0.89549999999999996</v>
      </c>
      <c r="H122" s="3088">
        <f>G122</f>
        <v>0.89549999999999996</v>
      </c>
      <c r="I122" s="3088">
        <f>ROUND(0.7632-0.0166*B116,4)</f>
        <v>0.76319999999999999</v>
      </c>
      <c r="J122" s="3088">
        <f t="shared" si="32"/>
        <v>0.76319999999999999</v>
      </c>
      <c r="K122" s="3088">
        <f t="shared" si="32"/>
        <v>0.76319999999999999</v>
      </c>
      <c r="L122" s="3088">
        <f t="shared" si="32"/>
        <v>0.76319999999999999</v>
      </c>
      <c r="M122" s="3108">
        <f t="shared" si="32"/>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389"/>
      <c r="B4" s="3169" t="s">
        <v>917</v>
      </c>
      <c r="C4" s="3169"/>
      <c r="D4" s="3169"/>
      <c r="E4" s="1389"/>
    </row>
    <row r="5" spans="1:5" ht="16.5" thickTop="1">
      <c r="B5" s="3167" t="s">
        <v>909</v>
      </c>
      <c r="C5" s="1390" t="s">
        <v>910</v>
      </c>
      <c r="D5" s="796">
        <f ca="1">结果表!H101</f>
        <v>527</v>
      </c>
    </row>
    <row r="6" spans="1:5" ht="15.75">
      <c r="B6" s="3167"/>
      <c r="C6" s="1390" t="s">
        <v>911</v>
      </c>
      <c r="D6" s="796" t="str">
        <f ca="1">NUMBERSTRING(INT(D5*10000),2)&amp;"元整"</f>
        <v>伍佰贰拾柒万元整</v>
      </c>
    </row>
    <row r="7" spans="1:5" ht="15.75">
      <c r="B7" s="3172"/>
      <c r="C7" s="1391" t="s">
        <v>912</v>
      </c>
      <c r="D7" s="797">
        <f ca="1">结果表!H102</f>
        <v>48585</v>
      </c>
    </row>
    <row r="8" spans="1:5" ht="15.75">
      <c r="B8" s="3173" t="str">
        <f>结果表!E103</f>
        <v>2.估价师知悉的法定优先受偿款</v>
      </c>
      <c r="C8" s="1392" t="s">
        <v>913</v>
      </c>
      <c r="D8" s="797">
        <f>结果表!H103</f>
        <v>0</v>
      </c>
    </row>
    <row r="9" spans="1:5" ht="15.75">
      <c r="B9" s="3175"/>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66" t="str">
        <f>结果表!E107</f>
        <v>3.房地产抵押价值</v>
      </c>
      <c r="C13" s="1395" t="s">
        <v>910</v>
      </c>
      <c r="D13" s="799">
        <f ca="1">结果表!H107</f>
        <v>527</v>
      </c>
    </row>
    <row r="14" spans="1:5" ht="15.75">
      <c r="B14" s="3167"/>
      <c r="C14" s="1390" t="s">
        <v>911</v>
      </c>
      <c r="D14" s="796" t="str">
        <f ca="1">NUMBERSTRING(INT(D13*10000),2)&amp;"元整"</f>
        <v>伍佰贰拾柒万元整</v>
      </c>
    </row>
    <row r="15" spans="1:5" ht="15">
      <c r="B15" s="3172"/>
      <c r="C15" s="1391" t="s">
        <v>921</v>
      </c>
      <c r="D15" s="805">
        <f ca="1">结果表!H108</f>
        <v>48585</v>
      </c>
    </row>
    <row r="16" spans="1:5" ht="15">
      <c r="B16" s="3173" t="str">
        <f>结果表!E109</f>
        <v>——</v>
      </c>
      <c r="C16" s="1395" t="s">
        <v>922</v>
      </c>
      <c r="D16" s="1396" t="str">
        <f>结果表!H109</f>
        <v>——</v>
      </c>
    </row>
    <row r="17" spans="1:5" ht="15.75">
      <c r="B17" s="3174"/>
      <c r="C17" s="1390" t="s">
        <v>923</v>
      </c>
      <c r="D17" s="796" t="e">
        <f>NUMBERSTRING(INT(D16*10000),2)&amp;"元整"</f>
        <v>#VALUE!</v>
      </c>
    </row>
    <row r="18" spans="1:5" ht="15">
      <c r="B18" s="3175"/>
      <c r="C18" s="1391" t="s">
        <v>912</v>
      </c>
      <c r="D18" s="805" t="str">
        <f>结果表!H110</f>
        <v>——</v>
      </c>
    </row>
    <row r="19" spans="1:5" ht="15.75">
      <c r="B19" s="3166" t="str">
        <f>结果表!E111</f>
        <v>——</v>
      </c>
      <c r="C19" s="1395" t="s">
        <v>910</v>
      </c>
      <c r="D19" s="797" t="str">
        <f>结果表!H111</f>
        <v>——</v>
      </c>
    </row>
    <row r="20" spans="1:5" ht="15.75">
      <c r="B20" s="3167"/>
      <c r="C20" s="1390" t="s">
        <v>923</v>
      </c>
      <c r="D20" s="796" t="e">
        <f>NUMBERSTRING(INT(D19*10000),2)&amp;"元整"</f>
        <v>#VALUE!</v>
      </c>
    </row>
    <row r="21" spans="1:5" ht="15.75" thickBot="1">
      <c r="B21" s="3168"/>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2588</v>
      </c>
      <c r="B1" s="2810" t="s">
        <v>2589</v>
      </c>
      <c r="C1" s="2810" t="s">
        <v>2590</v>
      </c>
      <c r="D1" s="2810" t="s">
        <v>2591</v>
      </c>
      <c r="E1" s="2810" t="s">
        <v>2592</v>
      </c>
      <c r="F1" s="2810" t="s">
        <v>2593</v>
      </c>
      <c r="G1" s="2810" t="s">
        <v>2594</v>
      </c>
      <c r="H1" s="2810" t="s">
        <v>2595</v>
      </c>
      <c r="I1" s="2810" t="s">
        <v>2596</v>
      </c>
      <c r="J1" s="2810" t="s">
        <v>2597</v>
      </c>
      <c r="K1" s="2810" t="s">
        <v>2598</v>
      </c>
      <c r="L1" s="2810" t="s">
        <v>2599</v>
      </c>
      <c r="M1" s="2811" t="s">
        <v>2600</v>
      </c>
    </row>
    <row r="2" spans="1:13" ht="19.5" customHeight="1">
      <c r="A2" s="2813" t="s">
        <v>2601</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2602</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2603</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2604</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2605</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2606</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2607</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2608</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2609</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2610</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2611</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2612</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2613</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2614</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2615</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2616</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SUM(J8:J15)-J13-J14</f>
        <v>185</v>
      </c>
      <c r="K17" s="2764">
        <f>SUM(K8:K15)-K13-K14</f>
        <v>185</v>
      </c>
      <c r="L17" s="2764">
        <f>SUM(L8:L15)-L13-L14</f>
        <v>185</v>
      </c>
      <c r="M17" s="2764">
        <f>SUM(M8:M15)-M13-M14</f>
        <v>185</v>
      </c>
    </row>
    <row r="18" spans="1:13" s="2837" customFormat="1" ht="19.5" customHeight="1">
      <c r="A18" s="2835" t="s">
        <v>2617</v>
      </c>
      <c r="B18" s="2835"/>
      <c r="C18" s="2836"/>
      <c r="D18" s="2836"/>
      <c r="E18" s="2835"/>
      <c r="F18" s="2836"/>
      <c r="G18" s="2836"/>
    </row>
    <row r="19" spans="1:13" ht="19.5" customHeight="1" thickBot="1">
      <c r="A19" s="2833" t="s">
        <v>2618</v>
      </c>
      <c r="B19" s="2838" t="s">
        <v>2619</v>
      </c>
      <c r="C19" s="2838" t="s">
        <v>2620</v>
      </c>
      <c r="D19" s="2839"/>
      <c r="E19" s="2833" t="s">
        <v>2621</v>
      </c>
      <c r="F19" s="2840"/>
      <c r="G19" s="2840"/>
    </row>
    <row r="20" spans="1:13" ht="19.5" customHeight="1">
      <c r="A20" s="3484" t="s">
        <v>2601</v>
      </c>
      <c r="B20" s="3479" t="s">
        <v>2622</v>
      </c>
      <c r="C20" s="2841" t="s">
        <v>2433</v>
      </c>
      <c r="D20" s="2842"/>
      <c r="E20" s="2843">
        <v>1</v>
      </c>
      <c r="F20" s="2844" t="s">
        <v>2434</v>
      </c>
      <c r="G20" s="2844"/>
    </row>
    <row r="21" spans="1:13" ht="19.5" customHeight="1">
      <c r="A21" s="3485"/>
      <c r="B21" s="3478"/>
      <c r="C21" s="2845" t="s">
        <v>2435</v>
      </c>
      <c r="D21" s="2846"/>
      <c r="E21" s="2847">
        <v>1</v>
      </c>
      <c r="F21" s="2844" t="s">
        <v>2436</v>
      </c>
      <c r="G21" s="2844"/>
    </row>
    <row r="22" spans="1:13" ht="19.5" customHeight="1">
      <c r="A22" s="3485"/>
      <c r="B22" s="3478"/>
      <c r="C22" s="2845" t="s">
        <v>2437</v>
      </c>
      <c r="D22" s="2846"/>
      <c r="E22" s="2847">
        <v>0.9</v>
      </c>
      <c r="F22" s="2844" t="s">
        <v>2438</v>
      </c>
      <c r="G22" s="2844"/>
    </row>
    <row r="23" spans="1:13" ht="19.5" customHeight="1">
      <c r="A23" s="3485"/>
      <c r="B23" s="3478"/>
      <c r="C23" s="2845" t="s">
        <v>2439</v>
      </c>
      <c r="D23" s="2846"/>
      <c r="E23" s="2847">
        <v>0.9</v>
      </c>
      <c r="F23" s="2844" t="s">
        <v>2440</v>
      </c>
      <c r="G23" s="2844"/>
    </row>
    <row r="24" spans="1:13" ht="19.5" customHeight="1">
      <c r="A24" s="3485"/>
      <c r="B24" s="3478"/>
      <c r="C24" s="2845" t="s">
        <v>2441</v>
      </c>
      <c r="D24" s="2846"/>
      <c r="E24" s="2847">
        <v>0.8</v>
      </c>
      <c r="F24" s="2844" t="s">
        <v>2442</v>
      </c>
      <c r="G24" s="2844"/>
    </row>
    <row r="25" spans="1:13" ht="19.5" customHeight="1" thickBot="1">
      <c r="A25" s="3486"/>
      <c r="B25" s="3480"/>
      <c r="C25" s="2848" t="s">
        <v>2443</v>
      </c>
      <c r="D25" s="2849"/>
      <c r="E25" s="2850">
        <v>0.8</v>
      </c>
      <c r="F25" s="2844" t="s">
        <v>2444</v>
      </c>
      <c r="G25" s="2844"/>
    </row>
    <row r="26" spans="1:13" ht="19.5" customHeight="1" thickBot="1">
      <c r="A26" s="2851" t="s">
        <v>2623</v>
      </c>
      <c r="B26" s="2852" t="s">
        <v>2622</v>
      </c>
      <c r="C26" s="2853" t="s">
        <v>2624</v>
      </c>
      <c r="D26" s="2854"/>
      <c r="E26" s="2855">
        <v>1</v>
      </c>
      <c r="F26" s="2844" t="s">
        <v>2445</v>
      </c>
      <c r="G26" s="2844"/>
    </row>
    <row r="27" spans="1:13" ht="19.5" customHeight="1">
      <c r="A27" s="3481" t="s">
        <v>2625</v>
      </c>
      <c r="B27" s="3479" t="s">
        <v>2606</v>
      </c>
      <c r="C27" s="2841" t="s">
        <v>2446</v>
      </c>
      <c r="D27" s="2842"/>
      <c r="E27" s="2843">
        <v>1</v>
      </c>
      <c r="F27" s="2844" t="s">
        <v>2447</v>
      </c>
      <c r="G27" s="2844"/>
    </row>
    <row r="28" spans="1:13" ht="19.5" customHeight="1">
      <c r="A28" s="3482"/>
      <c r="B28" s="3478"/>
      <c r="C28" s="2845" t="s">
        <v>2448</v>
      </c>
      <c r="D28" s="2846"/>
      <c r="E28" s="2847">
        <v>1</v>
      </c>
      <c r="F28" s="2844" t="s">
        <v>2449</v>
      </c>
      <c r="G28" s="2844"/>
    </row>
    <row r="29" spans="1:13" ht="19.5" customHeight="1">
      <c r="A29" s="3482"/>
      <c r="B29" s="3478"/>
      <c r="C29" s="2845" t="s">
        <v>2450</v>
      </c>
      <c r="D29" s="2846"/>
      <c r="E29" s="2847">
        <v>0.8</v>
      </c>
      <c r="F29" s="2844" t="s">
        <v>2451</v>
      </c>
      <c r="G29" s="2844"/>
    </row>
    <row r="30" spans="1:13" ht="19.5" customHeight="1">
      <c r="A30" s="3482"/>
      <c r="B30" s="3478"/>
      <c r="C30" s="2845" t="s">
        <v>2452</v>
      </c>
      <c r="D30" s="2846"/>
      <c r="E30" s="2847">
        <v>0.8</v>
      </c>
      <c r="F30" s="2844" t="s">
        <v>2453</v>
      </c>
      <c r="G30" s="2844"/>
    </row>
    <row r="31" spans="1:13" ht="19.5" customHeight="1">
      <c r="A31" s="3482"/>
      <c r="B31" s="3478"/>
      <c r="C31" s="2845" t="s">
        <v>2454</v>
      </c>
      <c r="D31" s="2846"/>
      <c r="E31" s="2847">
        <v>0.8</v>
      </c>
      <c r="F31" s="2844" t="s">
        <v>2455</v>
      </c>
      <c r="G31" s="2844"/>
    </row>
    <row r="32" spans="1:13" ht="19.5" customHeight="1">
      <c r="A32" s="3482"/>
      <c r="B32" s="3478"/>
      <c r="C32" s="2845" t="s">
        <v>2456</v>
      </c>
      <c r="D32" s="2846"/>
      <c r="E32" s="2847">
        <v>0.7</v>
      </c>
      <c r="F32" s="2844" t="s">
        <v>2457</v>
      </c>
      <c r="G32" s="2844"/>
    </row>
    <row r="33" spans="1:7" ht="19.5" customHeight="1">
      <c r="A33" s="3482"/>
      <c r="B33" s="3478"/>
      <c r="C33" s="2845" t="s">
        <v>2458</v>
      </c>
      <c r="D33" s="2846"/>
      <c r="E33" s="2847">
        <v>0.8</v>
      </c>
      <c r="F33" s="2844" t="s">
        <v>2459</v>
      </c>
      <c r="G33" s="2844"/>
    </row>
    <row r="34" spans="1:7" ht="19.5" customHeight="1">
      <c r="A34" s="3482"/>
      <c r="B34" s="3478"/>
      <c r="C34" s="2845" t="s">
        <v>2460</v>
      </c>
      <c r="D34" s="2846"/>
      <c r="E34" s="2847">
        <v>0.6</v>
      </c>
      <c r="F34" s="2844" t="s">
        <v>2461</v>
      </c>
      <c r="G34" s="2844"/>
    </row>
    <row r="35" spans="1:7" ht="19.5" customHeight="1">
      <c r="A35" s="3482"/>
      <c r="B35" s="3478"/>
      <c r="C35" s="2845" t="s">
        <v>2462</v>
      </c>
      <c r="D35" s="2846"/>
      <c r="E35" s="2847">
        <v>0.2</v>
      </c>
      <c r="F35" s="2844" t="s">
        <v>2463</v>
      </c>
      <c r="G35" s="2844"/>
    </row>
    <row r="36" spans="1:7" ht="19.5" customHeight="1">
      <c r="A36" s="3482"/>
      <c r="B36" s="3478"/>
      <c r="C36" s="2845" t="s">
        <v>2464</v>
      </c>
      <c r="D36" s="2846"/>
      <c r="E36" s="2847">
        <v>0.2</v>
      </c>
      <c r="F36" s="2844" t="s">
        <v>2465</v>
      </c>
      <c r="G36" s="2844"/>
    </row>
    <row r="37" spans="1:7" ht="19.5" customHeight="1">
      <c r="A37" s="3482"/>
      <c r="B37" s="3476" t="s">
        <v>2626</v>
      </c>
      <c r="C37" s="2845" t="s">
        <v>2466</v>
      </c>
      <c r="D37" s="2846"/>
      <c r="E37" s="2847">
        <v>0.6</v>
      </c>
      <c r="F37" s="2844" t="s">
        <v>2467</v>
      </c>
      <c r="G37" s="2844"/>
    </row>
    <row r="38" spans="1:7" ht="19.5" customHeight="1">
      <c r="A38" s="3482"/>
      <c r="B38" s="3478"/>
      <c r="C38" s="2845" t="s">
        <v>2468</v>
      </c>
      <c r="D38" s="2846"/>
      <c r="E38" s="2847">
        <v>0.6</v>
      </c>
      <c r="F38" s="2844" t="s">
        <v>2469</v>
      </c>
      <c r="G38" s="2844"/>
    </row>
    <row r="39" spans="1:7" ht="19.5" customHeight="1" thickBot="1">
      <c r="A39" s="3483"/>
      <c r="B39" s="3480"/>
      <c r="C39" s="2848" t="s">
        <v>2470</v>
      </c>
      <c r="D39" s="2849"/>
      <c r="E39" s="2850">
        <v>0.6</v>
      </c>
      <c r="F39" s="2844" t="s">
        <v>2471</v>
      </c>
      <c r="G39" s="2844"/>
    </row>
    <row r="40" spans="1:7" ht="19.5" customHeight="1" thickBot="1">
      <c r="A40" s="2851" t="s">
        <v>2603</v>
      </c>
      <c r="B40" s="2852" t="s">
        <v>2603</v>
      </c>
      <c r="C40" s="2853" t="s">
        <v>2627</v>
      </c>
      <c r="D40" s="2854"/>
      <c r="E40" s="2855">
        <v>1</v>
      </c>
      <c r="F40" s="2844" t="s">
        <v>2472</v>
      </c>
      <c r="G40" s="2844"/>
    </row>
    <row r="41" spans="1:7" ht="19.5" customHeight="1">
      <c r="A41" s="3484" t="s">
        <v>2604</v>
      </c>
      <c r="B41" s="3479" t="s">
        <v>2628</v>
      </c>
      <c r="C41" s="2841" t="s">
        <v>2473</v>
      </c>
      <c r="D41" s="2842"/>
      <c r="E41" s="2843">
        <v>1</v>
      </c>
      <c r="F41" s="2844" t="s">
        <v>2474</v>
      </c>
      <c r="G41" s="2844"/>
    </row>
    <row r="42" spans="1:7" ht="19.5" customHeight="1">
      <c r="A42" s="3485"/>
      <c r="B42" s="3478"/>
      <c r="C42" s="2845" t="s">
        <v>2475</v>
      </c>
      <c r="D42" s="2846"/>
      <c r="E42" s="2847">
        <v>1</v>
      </c>
      <c r="F42" s="2844" t="s">
        <v>2476</v>
      </c>
      <c r="G42" s="2844"/>
    </row>
    <row r="43" spans="1:7" ht="19.5" customHeight="1">
      <c r="A43" s="3485"/>
      <c r="B43" s="3477"/>
      <c r="C43" s="2845" t="s">
        <v>2477</v>
      </c>
      <c r="D43" s="2846"/>
      <c r="E43" s="2847">
        <v>1.5</v>
      </c>
      <c r="F43" s="2844" t="s">
        <v>2478</v>
      </c>
      <c r="G43" s="2844"/>
    </row>
    <row r="44" spans="1:7" ht="19.5" customHeight="1">
      <c r="A44" s="3485"/>
      <c r="B44" s="2856" t="s">
        <v>2629</v>
      </c>
      <c r="C44" s="2845" t="s">
        <v>2630</v>
      </c>
      <c r="D44" s="2846"/>
      <c r="E44" s="2847">
        <v>2</v>
      </c>
      <c r="F44" s="2844" t="s">
        <v>2479</v>
      </c>
      <c r="G44" s="2844"/>
    </row>
    <row r="45" spans="1:7" ht="19.5" customHeight="1">
      <c r="A45" s="3485"/>
      <c r="B45" s="3476" t="s">
        <v>2631</v>
      </c>
      <c r="C45" s="2845" t="s">
        <v>2480</v>
      </c>
      <c r="D45" s="2846"/>
      <c r="E45" s="2847">
        <v>1</v>
      </c>
      <c r="F45" s="2844" t="s">
        <v>2481</v>
      </c>
      <c r="G45" s="2844"/>
    </row>
    <row r="46" spans="1:7" ht="19.5" customHeight="1">
      <c r="A46" s="3485"/>
      <c r="B46" s="3478"/>
      <c r="C46" s="2845" t="s">
        <v>2482</v>
      </c>
      <c r="D46" s="2846"/>
      <c r="E46" s="2847">
        <v>1</v>
      </c>
      <c r="F46" s="2844" t="s">
        <v>2483</v>
      </c>
      <c r="G46" s="2844"/>
    </row>
    <row r="47" spans="1:7" ht="19.5" customHeight="1">
      <c r="A47" s="3485"/>
      <c r="B47" s="3478"/>
      <c r="C47" s="2845" t="s">
        <v>2484</v>
      </c>
      <c r="D47" s="2846"/>
      <c r="E47" s="2847">
        <v>1</v>
      </c>
      <c r="F47" s="2844" t="s">
        <v>2485</v>
      </c>
      <c r="G47" s="2844"/>
    </row>
    <row r="48" spans="1:7" ht="19.5" customHeight="1">
      <c r="A48" s="3485"/>
      <c r="B48" s="3478"/>
      <c r="C48" s="2845" t="s">
        <v>2486</v>
      </c>
      <c r="D48" s="2846"/>
      <c r="E48" s="2847">
        <v>1</v>
      </c>
      <c r="F48" s="2844" t="s">
        <v>2487</v>
      </c>
      <c r="G48" s="2844"/>
    </row>
    <row r="49" spans="1:7" ht="19.5" customHeight="1">
      <c r="A49" s="3485"/>
      <c r="B49" s="3478"/>
      <c r="C49" s="2845" t="s">
        <v>2488</v>
      </c>
      <c r="D49" s="2846"/>
      <c r="E49" s="2847">
        <v>1</v>
      </c>
      <c r="F49" s="2844" t="s">
        <v>2489</v>
      </c>
      <c r="G49" s="2844"/>
    </row>
    <row r="50" spans="1:7" ht="19.5" customHeight="1">
      <c r="A50" s="3485"/>
      <c r="B50" s="3478"/>
      <c r="C50" s="2845" t="s">
        <v>2490</v>
      </c>
      <c r="D50" s="2846"/>
      <c r="E50" s="2847">
        <v>1</v>
      </c>
      <c r="F50" s="2844" t="s">
        <v>2491</v>
      </c>
      <c r="G50" s="2844"/>
    </row>
    <row r="51" spans="1:7" ht="19.5" customHeight="1" thickBot="1">
      <c r="A51" s="3486"/>
      <c r="B51" s="3480"/>
      <c r="C51" s="2848" t="s">
        <v>2492</v>
      </c>
      <c r="D51" s="2849"/>
      <c r="E51" s="2850">
        <v>1</v>
      </c>
      <c r="F51" s="2844" t="s">
        <v>2493</v>
      </c>
      <c r="G51" s="2844"/>
    </row>
    <row r="52" spans="1:7" ht="19.5" customHeight="1">
      <c r="A52" s="2857"/>
      <c r="B52" s="2857"/>
      <c r="C52" s="2857"/>
      <c r="D52" s="2857"/>
      <c r="E52" s="2857"/>
      <c r="F52" s="2857"/>
      <c r="G52" s="2857"/>
    </row>
    <row r="54" spans="1:7" ht="19.5" customHeight="1">
      <c r="A54" s="2858"/>
      <c r="B54" s="2830" t="s">
        <v>2632</v>
      </c>
      <c r="C54" s="2830" t="s">
        <v>2632</v>
      </c>
      <c r="D54" s="2830" t="s">
        <v>2632</v>
      </c>
      <c r="E54" s="2833" t="s">
        <v>2632</v>
      </c>
      <c r="F54" s="2833" t="s">
        <v>2633</v>
      </c>
      <c r="G54" s="2833" t="s">
        <v>2634</v>
      </c>
    </row>
    <row r="55" spans="1:7" ht="19.5" customHeight="1">
      <c r="A55" s="2859"/>
      <c r="B55" s="2833" t="s">
        <v>2601</v>
      </c>
      <c r="C55" s="2833" t="s">
        <v>2601</v>
      </c>
      <c r="D55" s="2833" t="s">
        <v>2601</v>
      </c>
      <c r="E55" s="2830" t="s">
        <v>2602</v>
      </c>
      <c r="F55" s="2830" t="s">
        <v>2604</v>
      </c>
      <c r="G55" s="2830" t="s">
        <v>2635</v>
      </c>
    </row>
    <row r="56" spans="1:7" ht="19.5" customHeight="1">
      <c r="A56" s="2860"/>
      <c r="B56" s="2830">
        <v>1</v>
      </c>
      <c r="C56" s="2830">
        <v>2</v>
      </c>
      <c r="D56" s="2830">
        <v>3</v>
      </c>
      <c r="E56" s="2861" t="s">
        <v>2636</v>
      </c>
      <c r="F56" s="2861" t="s">
        <v>2636</v>
      </c>
      <c r="G56" s="2861" t="s">
        <v>2636</v>
      </c>
    </row>
    <row r="57" spans="1:7" ht="19.5" customHeight="1">
      <c r="A57" s="2862" t="s">
        <v>2589</v>
      </c>
      <c r="B57" s="2830">
        <v>0.7</v>
      </c>
      <c r="C57" s="2830">
        <v>0.4</v>
      </c>
      <c r="D57" s="2830">
        <v>0.3</v>
      </c>
      <c r="E57" s="2861">
        <v>0.3</v>
      </c>
      <c r="F57" s="2830">
        <v>0.3</v>
      </c>
      <c r="G57" s="2830">
        <v>0.2</v>
      </c>
    </row>
    <row r="58" spans="1:7" ht="19.5" customHeight="1">
      <c r="A58" s="2862" t="s">
        <v>2590</v>
      </c>
      <c r="B58" s="2830">
        <v>0.7</v>
      </c>
      <c r="C58" s="2830">
        <v>0.4</v>
      </c>
      <c r="D58" s="2830">
        <v>0.3</v>
      </c>
      <c r="E58" s="2830">
        <v>0.3</v>
      </c>
      <c r="F58" s="2830">
        <v>0.3</v>
      </c>
      <c r="G58" s="2830">
        <v>0.2</v>
      </c>
    </row>
    <row r="59" spans="1:7" ht="19.5" customHeight="1">
      <c r="A59" s="2862" t="s">
        <v>2591</v>
      </c>
      <c r="B59" s="2830">
        <v>0.6</v>
      </c>
      <c r="C59" s="2830">
        <v>0.3</v>
      </c>
      <c r="D59" s="2830">
        <v>0.25</v>
      </c>
      <c r="E59" s="2830">
        <v>0.25</v>
      </c>
      <c r="F59" s="2830">
        <v>0.25</v>
      </c>
      <c r="G59" s="2830">
        <v>0.15</v>
      </c>
    </row>
    <row r="60" spans="1:7" ht="19.5" customHeight="1">
      <c r="A60" s="2862" t="s">
        <v>2592</v>
      </c>
      <c r="B60" s="2830">
        <v>0.6</v>
      </c>
      <c r="C60" s="2830">
        <v>0.3</v>
      </c>
      <c r="D60" s="2830">
        <v>0.25</v>
      </c>
      <c r="E60" s="2830">
        <v>0.25</v>
      </c>
      <c r="F60" s="2830">
        <v>0.25</v>
      </c>
      <c r="G60" s="2830">
        <v>0.15</v>
      </c>
    </row>
    <row r="61" spans="1:7" ht="19.5" customHeight="1">
      <c r="A61" s="2862" t="s">
        <v>2593</v>
      </c>
      <c r="B61" s="2830">
        <v>0.6</v>
      </c>
      <c r="C61" s="2830">
        <v>0.3</v>
      </c>
      <c r="D61" s="2830">
        <v>0.25</v>
      </c>
      <c r="E61" s="2830">
        <v>0.25</v>
      </c>
      <c r="F61" s="2830">
        <v>0.25</v>
      </c>
      <c r="G61" s="2830">
        <v>0.15</v>
      </c>
    </row>
    <row r="62" spans="1:7" ht="19.5" customHeight="1">
      <c r="A62" s="2862" t="s">
        <v>2594</v>
      </c>
      <c r="B62" s="2830">
        <v>0.6</v>
      </c>
      <c r="C62" s="2830">
        <v>0.3</v>
      </c>
      <c r="D62" s="2830">
        <v>0.25</v>
      </c>
      <c r="E62" s="2830">
        <v>0.25</v>
      </c>
      <c r="F62" s="2830">
        <v>0.25</v>
      </c>
      <c r="G62" s="2830">
        <v>0.15</v>
      </c>
    </row>
    <row r="63" spans="1:7" ht="19.5" customHeight="1">
      <c r="A63" s="2862" t="s">
        <v>2595</v>
      </c>
      <c r="B63" s="2830">
        <v>0.6</v>
      </c>
      <c r="C63" s="2830">
        <v>0.3</v>
      </c>
      <c r="D63" s="2830">
        <v>0.25</v>
      </c>
      <c r="E63" s="2830">
        <v>0.25</v>
      </c>
      <c r="F63" s="2830">
        <v>0.25</v>
      </c>
      <c r="G63" s="2830">
        <v>0.15</v>
      </c>
    </row>
    <row r="64" spans="1:7" ht="19.5" customHeight="1">
      <c r="A64" s="2862" t="s">
        <v>2596</v>
      </c>
      <c r="B64" s="2830">
        <v>0.5</v>
      </c>
      <c r="C64" s="2830">
        <v>0.2</v>
      </c>
      <c r="D64" s="2830">
        <v>0.2</v>
      </c>
      <c r="E64" s="2830">
        <v>0.2</v>
      </c>
      <c r="F64" s="2830">
        <v>0.2</v>
      </c>
      <c r="G64" s="2830">
        <v>0.1</v>
      </c>
    </row>
    <row r="65" spans="1:7" ht="19.5" customHeight="1">
      <c r="A65" s="2862" t="s">
        <v>2597</v>
      </c>
      <c r="B65" s="2830">
        <v>0.5</v>
      </c>
      <c r="C65" s="2830">
        <v>0.2</v>
      </c>
      <c r="D65" s="2830">
        <v>0.2</v>
      </c>
      <c r="E65" s="2830">
        <v>0.2</v>
      </c>
      <c r="F65" s="2830">
        <v>0.2</v>
      </c>
      <c r="G65" s="2830">
        <v>0.1</v>
      </c>
    </row>
    <row r="66" spans="1:7" ht="19.5" customHeight="1">
      <c r="A66" s="2862" t="s">
        <v>2598</v>
      </c>
      <c r="B66" s="2830">
        <v>0.5</v>
      </c>
      <c r="C66" s="2830">
        <v>0.2</v>
      </c>
      <c r="D66" s="2830">
        <v>0.2</v>
      </c>
      <c r="E66" s="2830">
        <v>0.2</v>
      </c>
      <c r="F66" s="2830">
        <v>0.2</v>
      </c>
      <c r="G66" s="2830">
        <v>0.1</v>
      </c>
    </row>
    <row r="67" spans="1:7" ht="19.5" customHeight="1">
      <c r="A67" s="2862" t="s">
        <v>2599</v>
      </c>
      <c r="B67" s="2830">
        <v>0.5</v>
      </c>
      <c r="C67" s="2830">
        <v>0.2</v>
      </c>
      <c r="D67" s="2830">
        <v>0.2</v>
      </c>
      <c r="E67" s="2830">
        <v>0.2</v>
      </c>
      <c r="F67" s="2830">
        <v>0.2</v>
      </c>
      <c r="G67" s="2830">
        <v>0.1</v>
      </c>
    </row>
    <row r="68" spans="1:7" ht="19.5" customHeight="1">
      <c r="A68" s="2862" t="s">
        <v>2600</v>
      </c>
      <c r="B68" s="2830">
        <v>0.5</v>
      </c>
      <c r="C68" s="2830">
        <v>0.2</v>
      </c>
      <c r="D68" s="2830">
        <v>0.2</v>
      </c>
      <c r="E68" s="2830">
        <v>0.2</v>
      </c>
      <c r="F68" s="2830">
        <v>0.2</v>
      </c>
      <c r="G68" s="2830">
        <v>0.1</v>
      </c>
    </row>
    <row r="70" spans="1:7" ht="19.5" customHeight="1">
      <c r="A70" s="2844"/>
      <c r="B70" s="2863"/>
      <c r="C70" s="2863"/>
      <c r="D70" s="2863" t="s">
        <v>2637</v>
      </c>
      <c r="E70" s="2863"/>
      <c r="F70" s="2863"/>
    </row>
    <row r="71" spans="1:7" ht="19.5" customHeight="1">
      <c r="A71" s="2856" t="s">
        <v>2638</v>
      </c>
      <c r="B71" s="2856" t="s">
        <v>2639</v>
      </c>
      <c r="C71" s="2856" t="s">
        <v>2640</v>
      </c>
      <c r="D71" s="2856" t="s">
        <v>2641</v>
      </c>
      <c r="E71" s="2856" t="s">
        <v>2642</v>
      </c>
      <c r="F71" s="2856" t="s">
        <v>2643</v>
      </c>
    </row>
    <row r="72" spans="1:7" ht="13.5">
      <c r="A72" s="2856"/>
      <c r="B72" s="2856"/>
      <c r="C72" s="2856" t="s">
        <v>2644</v>
      </c>
      <c r="D72" s="2856"/>
      <c r="E72" s="2856" t="s">
        <v>2615</v>
      </c>
      <c r="F72" s="2856" t="s">
        <v>2615</v>
      </c>
    </row>
    <row r="73" spans="1:7" ht="13.5">
      <c r="A73" s="2856">
        <v>1</v>
      </c>
      <c r="B73" s="3476" t="s">
        <v>2645</v>
      </c>
      <c r="C73" s="2830" t="s">
        <v>2646</v>
      </c>
      <c r="D73" s="2830" t="s">
        <v>2647</v>
      </c>
      <c r="E73" s="2856">
        <v>0.2</v>
      </c>
      <c r="F73" s="2856">
        <v>25</v>
      </c>
    </row>
    <row r="74" spans="1:7" ht="24">
      <c r="A74" s="2856">
        <v>2</v>
      </c>
      <c r="B74" s="3478"/>
      <c r="C74" s="2830" t="s">
        <v>2648</v>
      </c>
      <c r="D74" s="2830" t="s">
        <v>2649</v>
      </c>
      <c r="E74" s="2856">
        <v>0.2</v>
      </c>
      <c r="F74" s="2856">
        <v>25</v>
      </c>
    </row>
    <row r="75" spans="1:7" ht="24">
      <c r="A75" s="2856">
        <v>3</v>
      </c>
      <c r="B75" s="3478"/>
      <c r="C75" s="2830" t="s">
        <v>2650</v>
      </c>
      <c r="D75" s="2830" t="s">
        <v>2651</v>
      </c>
      <c r="E75" s="2856">
        <v>0.2</v>
      </c>
      <c r="F75" s="2856">
        <v>25</v>
      </c>
    </row>
    <row r="76" spans="1:7" ht="13.5">
      <c r="A76" s="2856">
        <v>4</v>
      </c>
      <c r="B76" s="3478"/>
      <c r="C76" s="2830" t="s">
        <v>2652</v>
      </c>
      <c r="D76" s="2830" t="s">
        <v>2653</v>
      </c>
      <c r="E76" s="2856">
        <v>0.15</v>
      </c>
      <c r="F76" s="2856">
        <v>20</v>
      </c>
    </row>
    <row r="77" spans="1:7" ht="24">
      <c r="A77" s="2856">
        <v>5</v>
      </c>
      <c r="B77" s="3478"/>
      <c r="C77" s="2830" t="s">
        <v>2654</v>
      </c>
      <c r="D77" s="2830" t="s">
        <v>2655</v>
      </c>
      <c r="E77" s="2856">
        <v>0.15</v>
      </c>
      <c r="F77" s="2856">
        <v>20</v>
      </c>
    </row>
    <row r="78" spans="1:7" ht="24">
      <c r="A78" s="2856">
        <v>6</v>
      </c>
      <c r="B78" s="3478"/>
      <c r="C78" s="2830" t="s">
        <v>2656</v>
      </c>
      <c r="D78" s="2830" t="s">
        <v>2657</v>
      </c>
      <c r="E78" s="2856">
        <v>0.15</v>
      </c>
      <c r="F78" s="2856">
        <v>20</v>
      </c>
    </row>
    <row r="79" spans="1:7" ht="24">
      <c r="A79" s="2856">
        <v>7</v>
      </c>
      <c r="B79" s="3478"/>
      <c r="C79" s="2830" t="s">
        <v>2658</v>
      </c>
      <c r="D79" s="2830" t="s">
        <v>2659</v>
      </c>
      <c r="E79" s="2856">
        <v>0.15</v>
      </c>
      <c r="F79" s="2856">
        <v>20</v>
      </c>
    </row>
    <row r="80" spans="1:7" ht="24">
      <c r="A80" s="2856">
        <v>8</v>
      </c>
      <c r="B80" s="3478"/>
      <c r="C80" s="2830" t="s">
        <v>2660</v>
      </c>
      <c r="D80" s="2830" t="s">
        <v>2661</v>
      </c>
      <c r="E80" s="2856">
        <v>0.1</v>
      </c>
      <c r="F80" s="2856">
        <v>15</v>
      </c>
    </row>
    <row r="81" spans="1:6" ht="24">
      <c r="A81" s="2856">
        <v>9</v>
      </c>
      <c r="B81" s="3478"/>
      <c r="C81" s="2830" t="s">
        <v>2662</v>
      </c>
      <c r="D81" s="2830" t="s">
        <v>2663</v>
      </c>
      <c r="E81" s="2856">
        <v>0.1</v>
      </c>
      <c r="F81" s="2856">
        <v>15</v>
      </c>
    </row>
    <row r="82" spans="1:6" ht="24">
      <c r="A82" s="2856">
        <v>10</v>
      </c>
      <c r="B82" s="3478"/>
      <c r="C82" s="2830" t="s">
        <v>2664</v>
      </c>
      <c r="D82" s="2830" t="s">
        <v>2665</v>
      </c>
      <c r="E82" s="2856">
        <v>0.1</v>
      </c>
      <c r="F82" s="2856">
        <v>15</v>
      </c>
    </row>
    <row r="83" spans="1:6" ht="24">
      <c r="A83" s="2856">
        <v>11</v>
      </c>
      <c r="B83" s="3478"/>
      <c r="C83" s="2830" t="s">
        <v>2666</v>
      </c>
      <c r="D83" s="2830" t="s">
        <v>2667</v>
      </c>
      <c r="E83" s="2856">
        <v>0.1</v>
      </c>
      <c r="F83" s="2856">
        <v>15</v>
      </c>
    </row>
    <row r="84" spans="1:6" ht="24">
      <c r="A84" s="2856">
        <v>12</v>
      </c>
      <c r="B84" s="3478"/>
      <c r="C84" s="2830" t="s">
        <v>2668</v>
      </c>
      <c r="D84" s="2830" t="s">
        <v>2669</v>
      </c>
      <c r="E84" s="2856">
        <v>0.1</v>
      </c>
      <c r="F84" s="2856">
        <v>15</v>
      </c>
    </row>
    <row r="85" spans="1:6" ht="13.5">
      <c r="A85" s="2856">
        <v>13</v>
      </c>
      <c r="B85" s="3478"/>
      <c r="C85" s="2830" t="s">
        <v>2670</v>
      </c>
      <c r="D85" s="2830" t="s">
        <v>2671</v>
      </c>
      <c r="E85" s="2856">
        <v>0.1</v>
      </c>
      <c r="F85" s="2856">
        <v>15</v>
      </c>
    </row>
    <row r="86" spans="1:6" ht="13.5">
      <c r="A86" s="2856">
        <v>14</v>
      </c>
      <c r="B86" s="3478"/>
      <c r="C86" s="2830" t="s">
        <v>2672</v>
      </c>
      <c r="D86" s="2830" t="s">
        <v>2673</v>
      </c>
      <c r="E86" s="2856">
        <v>0.1</v>
      </c>
      <c r="F86" s="2856">
        <v>15</v>
      </c>
    </row>
    <row r="87" spans="1:6" ht="13.5">
      <c r="A87" s="2856">
        <v>15</v>
      </c>
      <c r="B87" s="3478"/>
      <c r="C87" s="2830" t="s">
        <v>2674</v>
      </c>
      <c r="D87" s="2830" t="s">
        <v>2675</v>
      </c>
      <c r="E87" s="2856">
        <v>0.1</v>
      </c>
      <c r="F87" s="2856">
        <v>15</v>
      </c>
    </row>
    <row r="88" spans="1:6" ht="24">
      <c r="A88" s="2856">
        <v>16</v>
      </c>
      <c r="B88" s="3478"/>
      <c r="C88" s="2830" t="s">
        <v>2676</v>
      </c>
      <c r="D88" s="2830" t="s">
        <v>2677</v>
      </c>
      <c r="E88" s="2856">
        <v>0.1</v>
      </c>
      <c r="F88" s="2856">
        <v>15</v>
      </c>
    </row>
    <row r="89" spans="1:6" ht="24">
      <c r="A89" s="2856">
        <v>17</v>
      </c>
      <c r="B89" s="3477"/>
      <c r="C89" s="2830" t="s">
        <v>2678</v>
      </c>
      <c r="D89" s="2830" t="s">
        <v>2679</v>
      </c>
      <c r="E89" s="2856">
        <v>0.1</v>
      </c>
      <c r="F89" s="2856">
        <v>15</v>
      </c>
    </row>
    <row r="90" spans="1:6" ht="13.5">
      <c r="A90" s="2856">
        <v>18</v>
      </c>
      <c r="B90" s="3476" t="s">
        <v>2680</v>
      </c>
      <c r="C90" s="2830" t="s">
        <v>2681</v>
      </c>
      <c r="D90" s="2830" t="s">
        <v>2682</v>
      </c>
      <c r="E90" s="2856">
        <v>0.2</v>
      </c>
      <c r="F90" s="2856">
        <v>25</v>
      </c>
    </row>
    <row r="91" spans="1:6" ht="24">
      <c r="A91" s="2856">
        <v>19</v>
      </c>
      <c r="B91" s="3478"/>
      <c r="C91" s="2830" t="s">
        <v>2683</v>
      </c>
      <c r="D91" s="2830" t="s">
        <v>2684</v>
      </c>
      <c r="E91" s="2856">
        <v>0.2</v>
      </c>
      <c r="F91" s="2856">
        <v>25</v>
      </c>
    </row>
    <row r="92" spans="1:6" ht="13.5">
      <c r="A92" s="2856">
        <v>20</v>
      </c>
      <c r="B92" s="3478"/>
      <c r="C92" s="2830" t="s">
        <v>2685</v>
      </c>
      <c r="D92" s="2830" t="s">
        <v>2686</v>
      </c>
      <c r="E92" s="2856">
        <v>0.15</v>
      </c>
      <c r="F92" s="2856">
        <v>20</v>
      </c>
    </row>
    <row r="93" spans="1:6" ht="13.5">
      <c r="A93" s="2856">
        <v>21</v>
      </c>
      <c r="B93" s="3478"/>
      <c r="C93" s="2830" t="s">
        <v>2687</v>
      </c>
      <c r="D93" s="2830" t="s">
        <v>2688</v>
      </c>
      <c r="E93" s="2856">
        <v>0.15</v>
      </c>
      <c r="F93" s="2856">
        <v>20</v>
      </c>
    </row>
    <row r="94" spans="1:6" ht="13.5">
      <c r="A94" s="2856">
        <v>22</v>
      </c>
      <c r="B94" s="3478"/>
      <c r="C94" s="2830" t="s">
        <v>2689</v>
      </c>
      <c r="D94" s="2830" t="s">
        <v>2690</v>
      </c>
      <c r="E94" s="2856">
        <v>0.15</v>
      </c>
      <c r="F94" s="2856">
        <v>20</v>
      </c>
    </row>
    <row r="95" spans="1:6" ht="36">
      <c r="A95" s="2856">
        <v>23</v>
      </c>
      <c r="B95" s="3478"/>
      <c r="C95" s="2830" t="s">
        <v>2691</v>
      </c>
      <c r="D95" s="2830" t="s">
        <v>2692</v>
      </c>
      <c r="E95" s="2856">
        <v>0.15</v>
      </c>
      <c r="F95" s="2856">
        <v>20</v>
      </c>
    </row>
    <row r="96" spans="1:6" ht="13.5">
      <c r="A96" s="2856">
        <v>24</v>
      </c>
      <c r="B96" s="3478"/>
      <c r="C96" s="2830" t="s">
        <v>2693</v>
      </c>
      <c r="D96" s="2830" t="s">
        <v>2694</v>
      </c>
      <c r="E96" s="2856">
        <v>0.1</v>
      </c>
      <c r="F96" s="2856">
        <v>15</v>
      </c>
    </row>
    <row r="97" spans="1:6" ht="13.5">
      <c r="A97" s="2856">
        <v>25</v>
      </c>
      <c r="B97" s="3478"/>
      <c r="C97" s="2830" t="s">
        <v>2695</v>
      </c>
      <c r="D97" s="2830" t="s">
        <v>2696</v>
      </c>
      <c r="E97" s="2856">
        <v>0.1</v>
      </c>
      <c r="F97" s="2856">
        <v>15</v>
      </c>
    </row>
    <row r="98" spans="1:6" ht="24">
      <c r="A98" s="2856">
        <v>26</v>
      </c>
      <c r="B98" s="3478"/>
      <c r="C98" s="2830" t="s">
        <v>2697</v>
      </c>
      <c r="D98" s="2830" t="s">
        <v>2698</v>
      </c>
      <c r="E98" s="2856">
        <v>0.1</v>
      </c>
      <c r="F98" s="2856">
        <v>15</v>
      </c>
    </row>
    <row r="99" spans="1:6" ht="24">
      <c r="A99" s="2856">
        <v>27</v>
      </c>
      <c r="B99" s="3478"/>
      <c r="C99" s="2830" t="s">
        <v>2699</v>
      </c>
      <c r="D99" s="2830" t="s">
        <v>2700</v>
      </c>
      <c r="E99" s="2856">
        <v>0.1</v>
      </c>
      <c r="F99" s="2856">
        <v>15</v>
      </c>
    </row>
    <row r="100" spans="1:6" ht="13.5">
      <c r="A100" s="2856">
        <v>28</v>
      </c>
      <c r="B100" s="3478"/>
      <c r="C100" s="2830" t="s">
        <v>2701</v>
      </c>
      <c r="D100" s="2830" t="s">
        <v>2702</v>
      </c>
      <c r="E100" s="2856">
        <v>0.1</v>
      </c>
      <c r="F100" s="2856">
        <v>15</v>
      </c>
    </row>
    <row r="101" spans="1:6" ht="13.5">
      <c r="A101" s="2856">
        <v>29</v>
      </c>
      <c r="B101" s="3478"/>
      <c r="C101" s="2830" t="s">
        <v>2703</v>
      </c>
      <c r="D101" s="2830" t="s">
        <v>2704</v>
      </c>
      <c r="E101" s="2856">
        <v>0.1</v>
      </c>
      <c r="F101" s="2856">
        <v>15</v>
      </c>
    </row>
    <row r="102" spans="1:6" ht="13.5">
      <c r="A102" s="2856">
        <v>30</v>
      </c>
      <c r="B102" s="3478"/>
      <c r="C102" s="2830" t="s">
        <v>2705</v>
      </c>
      <c r="D102" s="2830" t="s">
        <v>2706</v>
      </c>
      <c r="E102" s="2856">
        <v>0.1</v>
      </c>
      <c r="F102" s="2856">
        <v>15</v>
      </c>
    </row>
    <row r="103" spans="1:6" ht="24">
      <c r="A103" s="2856">
        <v>31</v>
      </c>
      <c r="B103" s="3478"/>
      <c r="C103" s="2830" t="s">
        <v>2707</v>
      </c>
      <c r="D103" s="2830" t="s">
        <v>2708</v>
      </c>
      <c r="E103" s="2856">
        <v>0.1</v>
      </c>
      <c r="F103" s="2856">
        <v>15</v>
      </c>
    </row>
    <row r="104" spans="1:6" ht="24">
      <c r="A104" s="2856">
        <v>32</v>
      </c>
      <c r="B104" s="3478"/>
      <c r="C104" s="2830" t="s">
        <v>2709</v>
      </c>
      <c r="D104" s="2830" t="s">
        <v>2710</v>
      </c>
      <c r="E104" s="2856">
        <v>0.1</v>
      </c>
      <c r="F104" s="2856">
        <v>15</v>
      </c>
    </row>
    <row r="105" spans="1:6" ht="24">
      <c r="A105" s="2856">
        <v>33</v>
      </c>
      <c r="B105" s="3478"/>
      <c r="C105" s="2830" t="s">
        <v>2711</v>
      </c>
      <c r="D105" s="2830" t="s">
        <v>2712</v>
      </c>
      <c r="E105" s="2856">
        <v>0.1</v>
      </c>
      <c r="F105" s="2856">
        <v>15</v>
      </c>
    </row>
    <row r="106" spans="1:6" ht="24">
      <c r="A106" s="2856">
        <v>34</v>
      </c>
      <c r="B106" s="3477"/>
      <c r="C106" s="2830" t="s">
        <v>2713</v>
      </c>
      <c r="D106" s="2830" t="s">
        <v>2714</v>
      </c>
      <c r="E106" s="2856">
        <v>0.1</v>
      </c>
      <c r="F106" s="2856">
        <v>15</v>
      </c>
    </row>
    <row r="107" spans="1:6" ht="24">
      <c r="A107" s="2856">
        <v>35</v>
      </c>
      <c r="B107" s="3476" t="s">
        <v>2715</v>
      </c>
      <c r="C107" s="2856" t="s">
        <v>2716</v>
      </c>
      <c r="D107" s="2830" t="s">
        <v>2717</v>
      </c>
      <c r="E107" s="2856">
        <v>0.15</v>
      </c>
      <c r="F107" s="2856">
        <v>20</v>
      </c>
    </row>
    <row r="108" spans="1:6" ht="13.5">
      <c r="A108" s="2856">
        <v>36</v>
      </c>
      <c r="B108" s="3478"/>
      <c r="C108" s="2856" t="s">
        <v>2718</v>
      </c>
      <c r="D108" s="2830" t="s">
        <v>2719</v>
      </c>
      <c r="E108" s="2856">
        <v>0.15</v>
      </c>
      <c r="F108" s="2856">
        <v>20</v>
      </c>
    </row>
    <row r="109" spans="1:6" ht="13.5">
      <c r="A109" s="2856">
        <v>37</v>
      </c>
      <c r="B109" s="3478"/>
      <c r="C109" s="2856" t="s">
        <v>2720</v>
      </c>
      <c r="D109" s="2830" t="s">
        <v>2721</v>
      </c>
      <c r="E109" s="2856">
        <v>0.15</v>
      </c>
      <c r="F109" s="2856">
        <v>20</v>
      </c>
    </row>
    <row r="110" spans="1:6" ht="13.5">
      <c r="A110" s="2856">
        <v>38</v>
      </c>
      <c r="B110" s="3478"/>
      <c r="C110" s="2856" t="s">
        <v>2722</v>
      </c>
      <c r="D110" s="2830" t="s">
        <v>2723</v>
      </c>
      <c r="E110" s="2856">
        <v>0.1</v>
      </c>
      <c r="F110" s="2856">
        <v>15</v>
      </c>
    </row>
    <row r="111" spans="1:6" ht="24">
      <c r="A111" s="2856">
        <v>39</v>
      </c>
      <c r="B111" s="3478"/>
      <c r="C111" s="2856" t="s">
        <v>2724</v>
      </c>
      <c r="D111" s="2830" t="s">
        <v>2725</v>
      </c>
      <c r="E111" s="2856">
        <v>0.1</v>
      </c>
      <c r="F111" s="2856">
        <v>15</v>
      </c>
    </row>
    <row r="112" spans="1:6" ht="24">
      <c r="A112" s="2856">
        <v>40</v>
      </c>
      <c r="B112" s="3477"/>
      <c r="C112" s="2856" t="s">
        <v>2726</v>
      </c>
      <c r="D112" s="2830" t="s">
        <v>2727</v>
      </c>
      <c r="E112" s="2856">
        <v>0.1</v>
      </c>
      <c r="F112" s="2856">
        <v>15</v>
      </c>
    </row>
    <row r="113" spans="1:6" ht="13.5">
      <c r="A113" s="2856">
        <v>41</v>
      </c>
      <c r="B113" s="3475" t="s">
        <v>2728</v>
      </c>
      <c r="C113" s="2856" t="s">
        <v>2729</v>
      </c>
      <c r="D113" s="2830" t="s">
        <v>2730</v>
      </c>
      <c r="E113" s="2856">
        <v>0.1</v>
      </c>
      <c r="F113" s="2856">
        <v>15</v>
      </c>
    </row>
    <row r="114" spans="1:6" ht="13.5">
      <c r="A114" s="2856">
        <v>42</v>
      </c>
      <c r="B114" s="3475"/>
      <c r="C114" s="2856" t="s">
        <v>2731</v>
      </c>
      <c r="D114" s="2830" t="s">
        <v>2732</v>
      </c>
      <c r="E114" s="2856">
        <v>0.1</v>
      </c>
      <c r="F114" s="2856">
        <v>15</v>
      </c>
    </row>
    <row r="115" spans="1:6" ht="24">
      <c r="A115" s="2856">
        <v>43</v>
      </c>
      <c r="B115" s="3475"/>
      <c r="C115" s="2856" t="s">
        <v>2733</v>
      </c>
      <c r="D115" s="2830" t="s">
        <v>2734</v>
      </c>
      <c r="E115" s="2856">
        <v>0.1</v>
      </c>
      <c r="F115" s="2856">
        <v>15</v>
      </c>
    </row>
    <row r="116" spans="1:6" ht="13.5">
      <c r="A116" s="2856">
        <v>44</v>
      </c>
      <c r="B116" s="3476" t="s">
        <v>2735</v>
      </c>
      <c r="C116" s="2856" t="s">
        <v>2736</v>
      </c>
      <c r="D116" s="2830" t="s">
        <v>2737</v>
      </c>
      <c r="E116" s="2856">
        <v>0.1</v>
      </c>
      <c r="F116" s="2856">
        <v>15</v>
      </c>
    </row>
    <row r="117" spans="1:6" ht="24">
      <c r="A117" s="2856">
        <v>45</v>
      </c>
      <c r="B117" s="3477"/>
      <c r="C117" s="2830" t="s">
        <v>2738</v>
      </c>
      <c r="D117" s="2830" t="s">
        <v>2739</v>
      </c>
      <c r="E117" s="2856">
        <v>0.1</v>
      </c>
      <c r="F117" s="2856">
        <v>15</v>
      </c>
    </row>
    <row r="118" spans="1:6" ht="24">
      <c r="A118" s="2856">
        <v>46</v>
      </c>
      <c r="B118" s="3476" t="s">
        <v>2740</v>
      </c>
      <c r="C118" s="2856" t="s">
        <v>2741</v>
      </c>
      <c r="D118" s="2830" t="s">
        <v>2742</v>
      </c>
      <c r="E118" s="2856">
        <v>0.1</v>
      </c>
      <c r="F118" s="2856">
        <v>15</v>
      </c>
    </row>
    <row r="119" spans="1:6" ht="24">
      <c r="A119" s="2856">
        <v>47</v>
      </c>
      <c r="B119" s="3477"/>
      <c r="C119" s="2856" t="s">
        <v>2743</v>
      </c>
      <c r="D119" s="2830" t="s">
        <v>2744</v>
      </c>
      <c r="E119" s="2856">
        <v>0.1</v>
      </c>
      <c r="F119" s="2856">
        <v>15</v>
      </c>
    </row>
    <row r="120" spans="1:6" ht="13.5">
      <c r="A120" s="2856">
        <v>48</v>
      </c>
      <c r="B120" s="3476" t="s">
        <v>2745</v>
      </c>
      <c r="C120" s="2856" t="s">
        <v>2746</v>
      </c>
      <c r="D120" s="2830" t="s">
        <v>2747</v>
      </c>
      <c r="E120" s="2856">
        <v>0.1</v>
      </c>
      <c r="F120" s="2856">
        <v>15</v>
      </c>
    </row>
    <row r="121" spans="1:6" ht="13.5">
      <c r="A121" s="2856">
        <v>49</v>
      </c>
      <c r="B121" s="3477"/>
      <c r="C121" s="2856" t="s">
        <v>2748</v>
      </c>
      <c r="D121" s="2830" t="s">
        <v>2749</v>
      </c>
      <c r="E121" s="2856">
        <v>0.1</v>
      </c>
      <c r="F121" s="2856">
        <v>15</v>
      </c>
    </row>
    <row r="122" spans="1:6" ht="24">
      <c r="A122" s="2856">
        <v>50</v>
      </c>
      <c r="B122" s="3475" t="s">
        <v>2750</v>
      </c>
      <c r="C122" s="2856" t="s">
        <v>2751</v>
      </c>
      <c r="D122" s="2830" t="s">
        <v>2752</v>
      </c>
      <c r="E122" s="2856">
        <v>0.1</v>
      </c>
      <c r="F122" s="2856">
        <v>15</v>
      </c>
    </row>
    <row r="123" spans="1:6" ht="24">
      <c r="A123" s="2856">
        <v>51</v>
      </c>
      <c r="B123" s="3475"/>
      <c r="C123" s="2856" t="s">
        <v>2753</v>
      </c>
      <c r="D123" s="2830" t="s">
        <v>2754</v>
      </c>
      <c r="E123" s="2856">
        <v>0.1</v>
      </c>
      <c r="F123" s="2856">
        <v>15</v>
      </c>
    </row>
    <row r="124" spans="1:6" ht="24">
      <c r="A124" s="2856">
        <v>52</v>
      </c>
      <c r="B124" s="3475" t="s">
        <v>2755</v>
      </c>
      <c r="C124" s="2856" t="s">
        <v>2756</v>
      </c>
      <c r="D124" s="2830" t="s">
        <v>2757</v>
      </c>
      <c r="E124" s="2856">
        <v>0.1</v>
      </c>
      <c r="F124" s="2856">
        <v>15</v>
      </c>
    </row>
    <row r="125" spans="1:6" ht="24">
      <c r="A125" s="2856">
        <v>53</v>
      </c>
      <c r="B125" s="3475"/>
      <c r="C125" s="2856" t="s">
        <v>2758</v>
      </c>
      <c r="D125" s="2830" t="s">
        <v>2759</v>
      </c>
      <c r="E125" s="2856">
        <v>0.1</v>
      </c>
      <c r="F125" s="2856">
        <v>15</v>
      </c>
    </row>
    <row r="126" spans="1:6" ht="13.5">
      <c r="A126" s="2856">
        <v>54</v>
      </c>
      <c r="B126" s="2856" t="s">
        <v>2760</v>
      </c>
      <c r="C126" s="2856" t="s">
        <v>2761</v>
      </c>
      <c r="D126" s="2830" t="s">
        <v>2762</v>
      </c>
      <c r="E126" s="2856">
        <v>0.1</v>
      </c>
      <c r="F126" s="2856">
        <v>15</v>
      </c>
    </row>
    <row r="127" spans="1:6" ht="13.5">
      <c r="A127" s="2856">
        <v>55</v>
      </c>
      <c r="B127" s="3475" t="s">
        <v>2763</v>
      </c>
      <c r="C127" s="2856" t="s">
        <v>2764</v>
      </c>
      <c r="D127" s="2830" t="s">
        <v>2765</v>
      </c>
      <c r="E127" s="2856">
        <v>0.1</v>
      </c>
      <c r="F127" s="2856">
        <v>15</v>
      </c>
    </row>
    <row r="128" spans="1:6" ht="13.5">
      <c r="A128" s="2856">
        <v>56</v>
      </c>
      <c r="B128" s="3475"/>
      <c r="C128" s="2856" t="s">
        <v>2766</v>
      </c>
      <c r="D128" s="2830" t="s">
        <v>2767</v>
      </c>
      <c r="E128" s="2856">
        <v>0.1</v>
      </c>
      <c r="F128" s="2856">
        <v>15</v>
      </c>
    </row>
    <row r="129" spans="1:6" ht="24">
      <c r="A129" s="2856">
        <v>57</v>
      </c>
      <c r="B129" s="3475"/>
      <c r="C129" s="2856" t="s">
        <v>2768</v>
      </c>
      <c r="D129" s="2830" t="s">
        <v>2769</v>
      </c>
      <c r="E129" s="2856">
        <v>0.1</v>
      </c>
      <c r="F129" s="2856">
        <v>15</v>
      </c>
    </row>
    <row r="130" spans="1:6" ht="24">
      <c r="A130" s="2856">
        <v>58</v>
      </c>
      <c r="B130" s="3475" t="s">
        <v>2770</v>
      </c>
      <c r="C130" s="2856" t="s">
        <v>2771</v>
      </c>
      <c r="D130" s="2830" t="s">
        <v>2772</v>
      </c>
      <c r="E130" s="2856">
        <v>0.1</v>
      </c>
      <c r="F130" s="2856">
        <v>15</v>
      </c>
    </row>
    <row r="131" spans="1:6" ht="13.5">
      <c r="A131" s="2856">
        <v>59</v>
      </c>
      <c r="B131" s="3475"/>
      <c r="C131" s="2856" t="s">
        <v>2773</v>
      </c>
      <c r="D131" s="2830" t="s">
        <v>2774</v>
      </c>
      <c r="E131" s="2856">
        <v>0.1</v>
      </c>
      <c r="F131" s="2856">
        <v>15</v>
      </c>
    </row>
    <row r="132" spans="1:6" ht="13.5">
      <c r="A132" s="2856">
        <v>60</v>
      </c>
      <c r="B132" s="3476" t="s">
        <v>2775</v>
      </c>
      <c r="C132" s="2856" t="s">
        <v>2776</v>
      </c>
      <c r="D132" s="2830" t="s">
        <v>2777</v>
      </c>
      <c r="E132" s="2856">
        <v>0.1</v>
      </c>
      <c r="F132" s="2856">
        <v>15</v>
      </c>
    </row>
    <row r="133" spans="1:6" ht="13.5">
      <c r="A133" s="2856">
        <v>61</v>
      </c>
      <c r="B133" s="3477"/>
      <c r="C133" s="2856" t="s">
        <v>2778</v>
      </c>
      <c r="D133" s="2830" t="s">
        <v>2779</v>
      </c>
      <c r="E133" s="2856">
        <v>0.1</v>
      </c>
      <c r="F133" s="2856">
        <v>15</v>
      </c>
    </row>
    <row r="134" spans="1:6" ht="24">
      <c r="A134" s="2856">
        <v>62</v>
      </c>
      <c r="B134" s="2856" t="s">
        <v>2780</v>
      </c>
      <c r="C134" s="2856" t="s">
        <v>2781</v>
      </c>
      <c r="D134" s="2830" t="s">
        <v>2782</v>
      </c>
      <c r="E134" s="2856">
        <v>0.1</v>
      </c>
      <c r="F134" s="2856">
        <v>15</v>
      </c>
    </row>
    <row r="135" spans="1:6" ht="13.5">
      <c r="A135" s="2856">
        <v>63</v>
      </c>
      <c r="B135" s="3475" t="s">
        <v>2783</v>
      </c>
      <c r="C135" s="2856" t="s">
        <v>2784</v>
      </c>
      <c r="D135" s="2830" t="s">
        <v>2785</v>
      </c>
      <c r="E135" s="2856">
        <v>0.1</v>
      </c>
      <c r="F135" s="2856">
        <v>15</v>
      </c>
    </row>
    <row r="136" spans="1:6" ht="13.5">
      <c r="A136" s="2856">
        <v>64</v>
      </c>
      <c r="B136" s="3475"/>
      <c r="C136" s="2856" t="s">
        <v>2786</v>
      </c>
      <c r="D136" s="2830" t="s">
        <v>2787</v>
      </c>
      <c r="E136" s="2856">
        <v>0.1</v>
      </c>
      <c r="F136" s="2856">
        <v>15</v>
      </c>
    </row>
    <row r="137" spans="1:6" ht="13.5">
      <c r="A137" s="2856">
        <v>65</v>
      </c>
      <c r="B137" s="2856" t="s">
        <v>2788</v>
      </c>
      <c r="C137" s="2856" t="s">
        <v>2789</v>
      </c>
      <c r="D137" s="2830" t="s">
        <v>2790</v>
      </c>
      <c r="E137" s="2856">
        <v>0.1</v>
      </c>
      <c r="F137" s="2856">
        <v>15</v>
      </c>
    </row>
    <row r="138" spans="1:6" ht="13.5">
      <c r="A138" s="2856"/>
      <c r="B138" s="2856"/>
      <c r="C138" s="2856"/>
      <c r="D138" s="2856"/>
      <c r="E138" s="2856" t="s">
        <v>2791</v>
      </c>
      <c r="F138" s="2856"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2792</v>
      </c>
      <c r="B1" s="2864"/>
      <c r="C1" s="2864"/>
      <c r="D1" s="2864"/>
      <c r="E1" s="2864"/>
      <c r="F1" s="2864"/>
      <c r="G1" s="2864"/>
      <c r="H1" s="2864"/>
      <c r="I1" s="2864"/>
      <c r="J1" s="2864"/>
      <c r="K1" s="2864"/>
      <c r="L1" s="2864"/>
      <c r="M1" s="2864"/>
      <c r="N1" s="706"/>
    </row>
    <row r="2" spans="1:20">
      <c r="A2" s="2865" t="s">
        <v>2793</v>
      </c>
      <c r="B2" s="2866" t="s">
        <v>2589</v>
      </c>
      <c r="C2" s="2866" t="s">
        <v>2590</v>
      </c>
      <c r="D2" s="2866" t="s">
        <v>2591</v>
      </c>
      <c r="E2" s="2866" t="s">
        <v>2592</v>
      </c>
      <c r="F2" s="2866" t="s">
        <v>2593</v>
      </c>
      <c r="G2" s="2866" t="s">
        <v>2594</v>
      </c>
      <c r="H2" s="2867" t="s">
        <v>2595</v>
      </c>
      <c r="I2" s="2867" t="s">
        <v>2596</v>
      </c>
      <c r="J2" s="2868" t="s">
        <v>2597</v>
      </c>
      <c r="K2" s="2868" t="s">
        <v>2598</v>
      </c>
      <c r="L2" s="2868" t="s">
        <v>2599</v>
      </c>
      <c r="M2" s="2869" t="s">
        <v>2600</v>
      </c>
      <c r="Q2" s="2879" t="s">
        <v>2798</v>
      </c>
      <c r="R2" s="2879" t="s">
        <v>2799</v>
      </c>
      <c r="S2" s="2879" t="s">
        <v>2800</v>
      </c>
      <c r="T2" s="2879" t="s">
        <v>2801</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2794</v>
      </c>
      <c r="B93" s="2864"/>
      <c r="C93" s="2864"/>
      <c r="D93" s="2864"/>
      <c r="E93" s="2864"/>
      <c r="F93" s="2864"/>
      <c r="G93" s="2864"/>
      <c r="H93" s="2864"/>
      <c r="I93" s="2864"/>
      <c r="J93" s="2864"/>
      <c r="K93" s="2864"/>
      <c r="L93" s="2864"/>
      <c r="M93" s="2864"/>
    </row>
    <row r="94" spans="1:20">
      <c r="A94" s="2865" t="s">
        <v>2793</v>
      </c>
      <c r="B94" s="2866" t="s">
        <v>2589</v>
      </c>
      <c r="C94" s="2866" t="s">
        <v>2590</v>
      </c>
      <c r="D94" s="2866" t="s">
        <v>2591</v>
      </c>
      <c r="E94" s="2866" t="s">
        <v>2592</v>
      </c>
      <c r="F94" s="2866" t="s">
        <v>2593</v>
      </c>
      <c r="G94" s="2866" t="s">
        <v>2594</v>
      </c>
      <c r="H94" s="2867" t="s">
        <v>2595</v>
      </c>
      <c r="I94" s="2867" t="s">
        <v>2596</v>
      </c>
      <c r="J94" s="2868" t="s">
        <v>2597</v>
      </c>
      <c r="K94" s="2868" t="s">
        <v>2598</v>
      </c>
      <c r="L94" s="2868" t="s">
        <v>2599</v>
      </c>
      <c r="M94" s="2869" t="s">
        <v>2600</v>
      </c>
      <c r="N94">
        <f>SUMPRODUCT((A95:A184=ROUNDDOWN(基准地价修正!G3,1))*(B94:M94=基准地价修正!G2)*(B95:M184))</f>
        <v>0</v>
      </c>
      <c r="Q94" s="2879" t="s">
        <v>2798</v>
      </c>
      <c r="R94" s="2879" t="s">
        <v>2799</v>
      </c>
      <c r="S94" s="2879" t="s">
        <v>2800</v>
      </c>
      <c r="T94" s="2879" t="s">
        <v>2801</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2795</v>
      </c>
      <c r="B185" s="2864"/>
      <c r="C185" s="2864"/>
      <c r="D185" s="2864"/>
      <c r="E185" s="2864"/>
      <c r="F185" s="2864"/>
      <c r="G185" s="2864"/>
      <c r="H185" s="2864"/>
      <c r="I185" s="2864"/>
      <c r="J185" s="2864"/>
      <c r="K185" s="2864"/>
      <c r="L185" s="2864"/>
      <c r="M185" s="2864"/>
    </row>
    <row r="186" spans="1:20">
      <c r="A186" s="2865" t="s">
        <v>2793</v>
      </c>
      <c r="B186" s="2866" t="s">
        <v>2589</v>
      </c>
      <c r="C186" s="2866" t="s">
        <v>2590</v>
      </c>
      <c r="D186" s="2866" t="s">
        <v>2591</v>
      </c>
      <c r="E186" s="2866" t="s">
        <v>2592</v>
      </c>
      <c r="F186" s="2866" t="s">
        <v>2593</v>
      </c>
      <c r="G186" s="2866" t="s">
        <v>2594</v>
      </c>
      <c r="H186" s="2867" t="s">
        <v>2595</v>
      </c>
      <c r="I186" s="2867" t="s">
        <v>2596</v>
      </c>
      <c r="J186" s="2868" t="s">
        <v>2597</v>
      </c>
      <c r="K186" s="2868" t="s">
        <v>2598</v>
      </c>
      <c r="L186" s="2868" t="s">
        <v>2599</v>
      </c>
      <c r="M186" s="2869" t="s">
        <v>2600</v>
      </c>
      <c r="Q186" s="2879" t="s">
        <v>2798</v>
      </c>
      <c r="R186" s="2879" t="s">
        <v>2799</v>
      </c>
      <c r="S186" s="2879" t="s">
        <v>2800</v>
      </c>
      <c r="T186" s="2879" t="s">
        <v>2801</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2796</v>
      </c>
      <c r="B277" s="2864"/>
      <c r="C277" s="2864"/>
      <c r="D277" s="2864"/>
      <c r="E277" s="2864"/>
      <c r="F277" s="2864"/>
      <c r="G277" s="2864"/>
      <c r="H277" s="2864"/>
      <c r="I277" s="2864"/>
      <c r="J277" s="2864"/>
      <c r="K277" s="2864"/>
      <c r="L277" s="2864"/>
      <c r="M277" s="2864"/>
    </row>
    <row r="278" spans="1:21">
      <c r="A278" s="2865" t="s">
        <v>2793</v>
      </c>
      <c r="B278" s="2866" t="s">
        <v>2589</v>
      </c>
      <c r="C278" s="2866" t="s">
        <v>2590</v>
      </c>
      <c r="D278" s="2866" t="s">
        <v>2591</v>
      </c>
      <c r="E278" s="2866" t="s">
        <v>2592</v>
      </c>
      <c r="F278" s="2866" t="s">
        <v>2593</v>
      </c>
      <c r="G278" s="2866" t="s">
        <v>2594</v>
      </c>
      <c r="H278" s="2867" t="s">
        <v>2595</v>
      </c>
      <c r="I278" s="2867" t="s">
        <v>2596</v>
      </c>
      <c r="J278" s="2868" t="s">
        <v>2597</v>
      </c>
      <c r="K278" s="2868" t="s">
        <v>2598</v>
      </c>
      <c r="L278" s="2868" t="s">
        <v>2599</v>
      </c>
      <c r="M278" s="2869" t="s">
        <v>2600</v>
      </c>
      <c r="Q278" s="2879" t="s">
        <v>2798</v>
      </c>
      <c r="R278" s="2879" t="s">
        <v>2799</v>
      </c>
      <c r="S278" s="2879" t="s">
        <v>2802</v>
      </c>
      <c r="T278" s="2879" t="s">
        <v>2803</v>
      </c>
      <c r="U278" s="2879" t="s">
        <v>2801</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2797</v>
      </c>
      <c r="B369" s="2877"/>
      <c r="C369" s="2877"/>
      <c r="D369" s="2877"/>
      <c r="E369" s="2877"/>
      <c r="F369" s="2877"/>
      <c r="G369" s="2877"/>
      <c r="H369" s="2877"/>
      <c r="I369" s="2877"/>
      <c r="J369" s="2877"/>
      <c r="K369" s="2877"/>
      <c r="L369" s="2877"/>
      <c r="M369" s="2877"/>
    </row>
    <row r="370" spans="1:20">
      <c r="A370" s="2865" t="s">
        <v>2793</v>
      </c>
      <c r="B370" s="2866" t="s">
        <v>2589</v>
      </c>
      <c r="C370" s="2866" t="s">
        <v>2590</v>
      </c>
      <c r="D370" s="2866" t="s">
        <v>2591</v>
      </c>
      <c r="E370" s="2866" t="s">
        <v>2592</v>
      </c>
      <c r="F370" s="2866" t="s">
        <v>2593</v>
      </c>
      <c r="G370" s="2866" t="s">
        <v>2594</v>
      </c>
      <c r="H370" s="2867" t="s">
        <v>2595</v>
      </c>
      <c r="I370" s="2867" t="s">
        <v>2596</v>
      </c>
      <c r="J370" s="2868" t="s">
        <v>2597</v>
      </c>
      <c r="K370" s="2868" t="s">
        <v>2598</v>
      </c>
      <c r="L370" s="2868" t="s">
        <v>2599</v>
      </c>
      <c r="M370" s="2869" t="s">
        <v>2600</v>
      </c>
      <c r="N370">
        <f>SUMPRODUCT((A371:A460=ROUNDDOWN(基准地价修正!G3,1))*(B370:M370=基准地价修正!G2)*(B371:M460))</f>
        <v>0</v>
      </c>
      <c r="Q370" s="2879" t="s">
        <v>2798</v>
      </c>
      <c r="R370" s="2879" t="s">
        <v>2799</v>
      </c>
      <c r="S370" s="2879" t="s">
        <v>2800</v>
      </c>
      <c r="T370" s="2879" t="s">
        <v>2801</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29784</v>
      </c>
      <c r="C2" s="2" t="s">
        <v>106</v>
      </c>
      <c r="D2" s="191"/>
      <c r="E2" s="191"/>
      <c r="F2" s="191"/>
      <c r="G2" s="191"/>
    </row>
    <row r="3" spans="1:7" s="192" customFormat="1" ht="18" customHeight="1" thickBot="1">
      <c r="A3" s="195" t="s">
        <v>58</v>
      </c>
      <c r="B3" s="196">
        <f ca="1">ROUND(B2*10000/'数据-汇总表'!E3,0)</f>
        <v>761116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391.32000000000005</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8</v>
      </c>
      <c r="D19" s="204">
        <f>'数据-汇总表'!E3</f>
        <v>391.32000000000005</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2227</v>
      </c>
      <c r="D22" s="227">
        <f ca="1">C26</f>
        <v>1E-3</v>
      </c>
      <c r="E22" s="228" t="s">
        <v>99</v>
      </c>
      <c r="F22" s="229">
        <f ca="1">'数据-取费表'!B40</f>
        <v>4.1499999999999995E-2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2205</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21</v>
      </c>
      <c r="D25" s="230"/>
      <c r="E25" s="233"/>
      <c r="F25" s="231"/>
      <c r="G25" s="234" t="s">
        <v>83</v>
      </c>
    </row>
    <row r="26" spans="1:7" s="206" customFormat="1">
      <c r="A26" s="733" t="s">
        <v>350</v>
      </c>
      <c r="B26" s="207" t="s">
        <v>422</v>
      </c>
      <c r="C26" s="230">
        <f ca="1">ROUND(IF('数据-取费表'!B22&lt;=1,F21*F22*'数据-取费表'!B23/2,F21*(POWER((1+F22),'数据-取费表'!B23/2)-1)),4)</f>
        <v>1E-3</v>
      </c>
      <c r="D26" s="230"/>
      <c r="E26" s="233"/>
      <c r="F26" s="231"/>
      <c r="G26" s="235"/>
    </row>
    <row r="27" spans="1:7" s="206" customFormat="1" ht="24.75">
      <c r="A27" s="730" t="s">
        <v>342</v>
      </c>
      <c r="B27" s="236" t="s">
        <v>85</v>
      </c>
      <c r="C27" s="237">
        <f>C28</f>
        <v>3996</v>
      </c>
      <c r="D27" s="227">
        <f>C29</f>
        <v>3.8E-3</v>
      </c>
      <c r="E27" s="228" t="s">
        <v>99</v>
      </c>
      <c r="F27" s="238">
        <f>'数据-取费表'!Q16</f>
        <v>0.19</v>
      </c>
      <c r="G27" s="239" t="s">
        <v>431</v>
      </c>
    </row>
    <row r="28" spans="1:7" s="206" customFormat="1" ht="13.5" customHeight="1">
      <c r="A28" s="733" t="s">
        <v>349</v>
      </c>
      <c r="B28" s="240" t="s">
        <v>424</v>
      </c>
      <c r="C28" s="241">
        <f>ROUND((C5+C19+C20)*F27*'数据-取费表'!B21/'数据-取费表'!B20,0)</f>
        <v>3996</v>
      </c>
      <c r="D28" s="227"/>
      <c r="E28" s="228"/>
      <c r="F28" s="238"/>
      <c r="G28" s="239"/>
    </row>
    <row r="29" spans="1:7" s="206" customFormat="1" ht="13.5" customHeight="1">
      <c r="A29" s="733" t="s">
        <v>347</v>
      </c>
      <c r="B29" s="240" t="s">
        <v>425</v>
      </c>
      <c r="C29" s="230">
        <f>ROUND(C21*F27*'数据-取费表'!B21/'数据-取费表'!B20,4)</f>
        <v>3.8E-3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29563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197</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177</v>
      </c>
      <c r="D34" s="209"/>
      <c r="E34" s="212"/>
      <c r="F34" s="249">
        <f>IF('数据-取费表'!B24=0,1,'数据-取费表'!N16)</f>
        <v>1</v>
      </c>
      <c r="G34" s="211" t="s">
        <v>89</v>
      </c>
    </row>
    <row r="35" spans="1:7" ht="13.5" customHeight="1">
      <c r="A35" s="733" t="s">
        <v>351</v>
      </c>
      <c r="B35" s="207" t="s">
        <v>33</v>
      </c>
      <c r="C35" s="212">
        <f>ROUND(C34*F35,0)</f>
        <v>9</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8</v>
      </c>
      <c r="D37" s="209">
        <f>'数据-汇总表'!E3</f>
        <v>391.32000000000005</v>
      </c>
      <c r="E37" s="241">
        <f>'数据-取费表'!B35</f>
        <v>200</v>
      </c>
      <c r="F37" s="251"/>
      <c r="G37" s="253" t="s">
        <v>92</v>
      </c>
    </row>
    <row r="38" spans="1:7" ht="13.5" customHeight="1">
      <c r="A38" s="733" t="s">
        <v>354</v>
      </c>
      <c r="B38" s="207" t="s">
        <v>36</v>
      </c>
      <c r="C38" s="212">
        <f>ROUND(C34*F38,0)</f>
        <v>3</v>
      </c>
      <c r="D38" s="212"/>
      <c r="E38" s="212"/>
      <c r="F38" s="251">
        <f>'数据-取费表'!B36</f>
        <v>1.4999999999999999E-2</v>
      </c>
      <c r="G38" s="211" t="s">
        <v>90</v>
      </c>
    </row>
    <row r="39" spans="1:7" s="206" customFormat="1" ht="13.5" customHeight="1">
      <c r="A39" s="730" t="s">
        <v>338</v>
      </c>
      <c r="B39" s="202" t="s">
        <v>77</v>
      </c>
      <c r="C39" s="224">
        <f>ROUND(C33*F20,0)</f>
        <v>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10</v>
      </c>
      <c r="D41" s="227">
        <f ca="1">C44</f>
        <v>1E-3</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10</v>
      </c>
      <c r="D42" s="230"/>
      <c r="E42" s="230"/>
      <c r="F42" s="231"/>
      <c r="G42" s="3350" t="s">
        <v>94</v>
      </c>
    </row>
    <row r="43" spans="1:7" ht="13.5" customHeight="1">
      <c r="A43" s="733" t="s">
        <v>347</v>
      </c>
      <c r="B43" s="207" t="s">
        <v>426</v>
      </c>
      <c r="C43" s="230">
        <f ca="1">ROUND(IF('数据-取费表'!B22&lt;=1,C39*F22*'数据-取费表'!B21/2,C39*(POWER((1+F22),'数据-取费表'!B21/2)-1)),0)</f>
        <v>0</v>
      </c>
      <c r="D43" s="230"/>
      <c r="E43" s="230"/>
      <c r="F43" s="231"/>
      <c r="G43" s="3351"/>
    </row>
    <row r="44" spans="1:7" ht="13.5" customHeight="1">
      <c r="A44" s="733" t="s">
        <v>348</v>
      </c>
      <c r="B44" s="207" t="s">
        <v>428</v>
      </c>
      <c r="C44" s="230">
        <f ca="1">ROUND(IF('数据-取费表'!B22&lt;=1,C40*F22*'数据-取费表'!B21/2,C40*(POWER((1+F22),'数据-取费表'!B21/2)-1)),4)</f>
        <v>1E-3</v>
      </c>
      <c r="D44" s="230"/>
      <c r="E44" s="230"/>
      <c r="F44" s="231"/>
      <c r="G44" s="3352"/>
    </row>
    <row r="45" spans="1:7" s="206" customFormat="1" ht="13.5" customHeight="1">
      <c r="A45" s="730" t="s">
        <v>341</v>
      </c>
      <c r="B45" s="236" t="s">
        <v>85</v>
      </c>
      <c r="C45" s="237">
        <f>C46</f>
        <v>38</v>
      </c>
      <c r="D45" s="227">
        <f>C47</f>
        <v>3.8E-3</v>
      </c>
      <c r="E45" s="228" t="s">
        <v>102</v>
      </c>
      <c r="F45" s="238"/>
      <c r="G45" s="239" t="s">
        <v>434</v>
      </c>
    </row>
    <row r="46" spans="1:7" s="206" customFormat="1" ht="13.5" customHeight="1">
      <c r="A46" s="733" t="s">
        <v>349</v>
      </c>
      <c r="B46" s="240" t="s">
        <v>427</v>
      </c>
      <c r="C46" s="241">
        <f>ROUND((C33+C39)*F27,0)</f>
        <v>38</v>
      </c>
      <c r="D46" s="255"/>
      <c r="E46" s="228"/>
      <c r="F46" s="238"/>
      <c r="G46" s="239"/>
    </row>
    <row r="47" spans="1:7" s="206" customFormat="1" ht="13.5" customHeight="1">
      <c r="A47" s="733" t="s">
        <v>347</v>
      </c>
      <c r="B47" s="240" t="s">
        <v>429</v>
      </c>
      <c r="C47" s="230">
        <f>ROUND(C40*F27,4)</f>
        <v>3.8E-3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270</v>
      </c>
      <c r="D49" s="224"/>
      <c r="E49" s="224"/>
      <c r="F49" s="256"/>
      <c r="G49" s="226" t="s">
        <v>435</v>
      </c>
    </row>
    <row r="50" spans="1:7" s="250" customFormat="1" ht="24">
      <c r="A50" s="730" t="s">
        <v>344</v>
      </c>
      <c r="B50" s="202" t="s">
        <v>97</v>
      </c>
      <c r="C50" s="224"/>
      <c r="D50" s="224"/>
      <c r="E50" s="224"/>
      <c r="F50" s="256">
        <f>IF('数据-取费表'!B24=0,'数据-取费表'!N16,1)</f>
        <v>0.82</v>
      </c>
      <c r="G50" s="239" t="s">
        <v>98</v>
      </c>
    </row>
    <row r="51" spans="1:7" ht="16.5" customHeight="1">
      <c r="A51" s="730" t="s">
        <v>345</v>
      </c>
      <c r="B51" s="202" t="s">
        <v>105</v>
      </c>
      <c r="C51" s="224">
        <f ca="1">ROUND(C49*F50,0)</f>
        <v>221</v>
      </c>
      <c r="D51" s="224"/>
      <c r="E51" s="224"/>
      <c r="F51" s="256"/>
      <c r="G51" s="226" t="s">
        <v>37</v>
      </c>
    </row>
    <row r="52" spans="1:7" s="200" customFormat="1" ht="16.5" thickBot="1">
      <c r="A52" s="257" t="s">
        <v>38</v>
      </c>
      <c r="B52" s="258"/>
      <c r="C52" s="259">
        <f ca="1">C31+C51</f>
        <v>29784</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6" sqref="I6:I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t="s">
        <v>673</v>
      </c>
      <c r="D1" s="1269" t="s">
        <v>43</v>
      </c>
      <c r="E1" s="1270" t="s">
        <v>678</v>
      </c>
      <c r="F1" s="998">
        <f ca="1">J53</f>
        <v>20.81</v>
      </c>
      <c r="G1" s="1284">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f ca="1">ROUND(D2/10000,4)</f>
        <v>1688.8629000000001</v>
      </c>
      <c r="C2" s="1287" t="s">
        <v>805</v>
      </c>
      <c r="D2" s="1373">
        <f ca="1">C40+J29+L46</f>
        <v>16888629</v>
      </c>
      <c r="E2" s="1293" t="s">
        <v>880</v>
      </c>
      <c r="F2" s="1294"/>
      <c r="G2" s="2477"/>
      <c r="H2" s="2467"/>
      <c r="I2" s="2467"/>
      <c r="J2" s="2467"/>
      <c r="K2" s="2468"/>
      <c r="L2" s="2467"/>
      <c r="M2" s="2467"/>
    </row>
    <row r="3" spans="1:37" ht="18" customHeight="1" thickBot="1">
      <c r="A3" s="1295" t="s">
        <v>806</v>
      </c>
      <c r="B3" s="1296">
        <f ca="1">IF(ISERROR(D2/F43),0,ROUND(D2/F43,0))</f>
        <v>59709</v>
      </c>
      <c r="C3" s="1287" t="s">
        <v>807</v>
      </c>
      <c r="D3" s="1287"/>
      <c r="E3" s="1293"/>
      <c r="F3" s="1294"/>
      <c r="G3" s="2477"/>
      <c r="H3" s="648"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6">
        <f ca="1">C6+C10+C12</f>
        <v>1395485</v>
      </c>
      <c r="D5" s="1271" t="s">
        <v>889</v>
      </c>
      <c r="E5" s="1007"/>
      <c r="F5" s="1008"/>
      <c r="G5" s="1290"/>
      <c r="H5" s="291">
        <v>1</v>
      </c>
      <c r="I5" s="292" t="s">
        <v>888</v>
      </c>
      <c r="J5" s="1006">
        <f ca="1">J6+J10+J12</f>
        <v>0</v>
      </c>
      <c r="K5" s="1271" t="s">
        <v>889</v>
      </c>
      <c r="L5" s="1007"/>
      <c r="M5" s="1008"/>
    </row>
    <row r="6" spans="1:37" ht="18" customHeight="1">
      <c r="A6" s="1005" t="s">
        <v>398</v>
      </c>
      <c r="B6" s="3355" t="s">
        <v>694</v>
      </c>
      <c r="C6" s="1010">
        <f ca="1">ROUND(F6*F8*F7*(1-F9),0)</f>
        <v>1393743</v>
      </c>
      <c r="D6" s="147" t="s">
        <v>2101</v>
      </c>
      <c r="E6" s="294" t="s">
        <v>696</v>
      </c>
      <c r="F6" s="295">
        <f ca="1">INDIRECT("'数据-取费表'!u"&amp;$G$1)</f>
        <v>15</v>
      </c>
      <c r="G6" s="1290"/>
      <c r="H6" s="1005" t="s">
        <v>398</v>
      </c>
      <c r="I6" s="3355" t="s">
        <v>694</v>
      </c>
      <c r="J6" s="293">
        <f ca="1">ROUND(M6*M8*M7*(1-M9),0)</f>
        <v>0</v>
      </c>
      <c r="K6" s="1282" t="s">
        <v>2102</v>
      </c>
      <c r="L6" s="294" t="s">
        <v>696</v>
      </c>
      <c r="M6" s="295">
        <f ca="1">INDIRECT("'数据-取费表'!z"&amp;$G$1)</f>
        <v>0</v>
      </c>
    </row>
    <row r="7" spans="1:37" ht="18" customHeight="1">
      <c r="A7" s="1009"/>
      <c r="B7" s="3356"/>
      <c r="C7" s="1011"/>
      <c r="D7" s="299"/>
      <c r="E7" s="1012" t="s">
        <v>697</v>
      </c>
      <c r="F7" s="295">
        <f ca="1">IF(INDIRECT("'数据-取费表'!ah"&amp;$G$1)="",INDIRECT("'数据-取费表'!k"&amp;$G$1),INDIRECT("'数据-取费表'!ah"&amp;$G$1))</f>
        <v>282.85000000000002</v>
      </c>
      <c r="G7" s="1290"/>
      <c r="H7" s="296"/>
      <c r="I7" s="3356"/>
      <c r="J7" s="298"/>
      <c r="K7" s="299"/>
      <c r="L7" s="294" t="s">
        <v>697</v>
      </c>
      <c r="M7" s="295">
        <f ca="1">F7</f>
        <v>282.85000000000002</v>
      </c>
    </row>
    <row r="8" spans="1:37" ht="18" customHeight="1">
      <c r="A8" s="296"/>
      <c r="B8" s="3356"/>
      <c r="C8" s="298"/>
      <c r="D8" s="299"/>
      <c r="E8" s="294" t="s">
        <v>698</v>
      </c>
      <c r="F8" s="295">
        <f ca="1">INDIRECT("'数据-取费表'!ai"&amp;$G$1)</f>
        <v>365</v>
      </c>
      <c r="G8" s="1290"/>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0"/>
      <c r="H9" s="296"/>
      <c r="I9" s="3357"/>
      <c r="J9" s="298"/>
      <c r="K9" s="299"/>
      <c r="L9" s="305" t="s">
        <v>699</v>
      </c>
      <c r="M9" s="306">
        <f ca="1">INDIRECT("'数据-取费表'!ab"&amp;$G$1)</f>
        <v>0</v>
      </c>
    </row>
    <row r="10" spans="1:37" ht="18" customHeight="1">
      <c r="A10" s="1005" t="s">
        <v>402</v>
      </c>
      <c r="B10" s="1272" t="s">
        <v>700</v>
      </c>
      <c r="C10" s="308">
        <f ca="1">ROUND(IF(F10="押一",C6/12*F11,IF(F10="押二",C6/12*2*F11,IF(F10="押三",C6/12*3*F11,C11*F11))),0)</f>
        <v>1742</v>
      </c>
      <c r="D10" s="150" t="s">
        <v>2111</v>
      </c>
      <c r="E10" s="305" t="s">
        <v>701</v>
      </c>
      <c r="F10" s="1052" t="s">
        <v>3609</v>
      </c>
      <c r="G10" s="1290"/>
      <c r="H10" s="1005" t="s">
        <v>402</v>
      </c>
      <c r="I10" s="1272" t="s">
        <v>700</v>
      </c>
      <c r="J10" s="293">
        <f ca="1">ROUND(IF(M10="押一",J6/12*M11,IF(M10="押二",J6/12*2*M11,IF(M10="押三",J6/12*3*M11,J11*M11))),0)</f>
        <v>0</v>
      </c>
      <c r="K10" s="1283" t="s">
        <v>2113</v>
      </c>
      <c r="L10" s="305" t="s">
        <v>701</v>
      </c>
      <c r="M10" s="1052"/>
    </row>
    <row r="11" spans="1:37" ht="18" customHeight="1">
      <c r="A11" s="300"/>
      <c r="B11" s="1273" t="s">
        <v>890</v>
      </c>
      <c r="C11" s="904"/>
      <c r="D11" s="299"/>
      <c r="E11" s="305" t="s">
        <v>702</v>
      </c>
      <c r="F11" s="306">
        <f ca="1">'数据-取费表'!B39</f>
        <v>1.4999999999999999E-2</v>
      </c>
      <c r="G11" s="1290"/>
      <c r="H11" s="1013"/>
      <c r="I11" s="1273" t="s">
        <v>891</v>
      </c>
      <c r="J11" s="904"/>
      <c r="K11" s="645"/>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f ca="1">ROUND(C29*F13,0)</f>
        <v>1707230</v>
      </c>
      <c r="D13" s="1017" t="s">
        <v>705</v>
      </c>
      <c r="E13" s="1017" t="s">
        <v>706</v>
      </c>
      <c r="F13" s="1018">
        <f ca="1">INDIRECT("'数据-取费表'!y"&amp;$G$1)</f>
        <v>0.82</v>
      </c>
      <c r="G13" s="1290"/>
      <c r="H13" s="1015">
        <v>2</v>
      </c>
      <c r="I13" s="1016" t="s">
        <v>704</v>
      </c>
      <c r="J13" s="1004">
        <f ca="1">ROUND(J14*J15,0)</f>
        <v>0</v>
      </c>
      <c r="K13" s="1023" t="s">
        <v>705</v>
      </c>
      <c r="L13" s="1297"/>
      <c r="M13" s="1298"/>
    </row>
    <row r="14" spans="1:37" ht="18" customHeight="1">
      <c r="A14" s="927" t="s">
        <v>397</v>
      </c>
      <c r="B14" s="294" t="s">
        <v>707</v>
      </c>
      <c r="C14" s="310">
        <f ca="1">ROUND(INDIRECT("'数据-取费表'!l"&amp;$G$1)*F43+'数据-取费表'!L14*INDIRECT("'数据-取费表'!S"&amp;$G$1),0)</f>
        <v>1357680</v>
      </c>
      <c r="D14" s="1255" t="s">
        <v>708</v>
      </c>
      <c r="E14" s="1253"/>
      <c r="F14" s="311"/>
      <c r="G14" s="1290"/>
      <c r="H14" s="927" t="s">
        <v>398</v>
      </c>
      <c r="I14" s="294" t="s">
        <v>709</v>
      </c>
      <c r="J14" s="21">
        <f ca="1">C29</f>
        <v>2081988</v>
      </c>
      <c r="K14" s="12"/>
      <c r="L14" s="758"/>
      <c r="M14" s="759"/>
    </row>
    <row r="15" spans="1:37" s="1302" customFormat="1" ht="18" customHeight="1" thickBot="1">
      <c r="A15" s="927" t="s">
        <v>399</v>
      </c>
      <c r="B15" s="294" t="s">
        <v>710</v>
      </c>
      <c r="C15" s="21">
        <f ca="1">ROUND(C14*F15,0)</f>
        <v>67884</v>
      </c>
      <c r="D15" s="312" t="s">
        <v>711</v>
      </c>
      <c r="E15" s="312" t="s">
        <v>712</v>
      </c>
      <c r="F15" s="313">
        <f>'数据-取费表'!B33</f>
        <v>0.05</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5" t="s">
        <v>393</v>
      </c>
      <c r="I16" s="1016" t="s">
        <v>714</v>
      </c>
      <c r="J16" s="302">
        <f ca="1">ROUND(J17+J22+J23+J24,0)</f>
        <v>32076</v>
      </c>
      <c r="K16" s="1023" t="s">
        <v>715</v>
      </c>
      <c r="L16" s="1024"/>
      <c r="M16" s="1008"/>
    </row>
    <row r="17" spans="1:37" s="1302" customFormat="1" ht="18" customHeight="1">
      <c r="A17" s="927" t="s">
        <v>681</v>
      </c>
      <c r="B17" s="294" t="s">
        <v>716</v>
      </c>
      <c r="C17" s="21">
        <f ca="1">ROUND(F17*(F43+INDIRECT("'数据-取费表'!S"&amp;$G$1)),0)</f>
        <v>56570</v>
      </c>
      <c r="D17" s="294" t="s">
        <v>717</v>
      </c>
      <c r="E17" s="294" t="s">
        <v>718</v>
      </c>
      <c r="F17" s="23">
        <f>'数据-取费表'!B35</f>
        <v>200</v>
      </c>
      <c r="G17" s="1301"/>
      <c r="H17" s="927" t="s">
        <v>398</v>
      </c>
      <c r="I17" s="294" t="s">
        <v>719</v>
      </c>
      <c r="J17" s="2138">
        <f ca="1">ROUND(IF(AND(项目基本情况!B11="自然人",项目基本情况!B10="北京市"),J6*M17/(1+'数据-取费表'!C42),J18+J19+J20),0)</f>
        <v>846</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20365</v>
      </c>
      <c r="D18" s="294" t="s">
        <v>711</v>
      </c>
      <c r="E18" s="294" t="s">
        <v>712</v>
      </c>
      <c r="F18" s="314">
        <f>'数据-取费表'!B36</f>
        <v>1.4999999999999999E-2</v>
      </c>
      <c r="G18" s="1301"/>
      <c r="H18" s="927"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1502499</v>
      </c>
      <c r="D19" s="123" t="s">
        <v>726</v>
      </c>
      <c r="E19" s="1267"/>
      <c r="F19" s="23"/>
      <c r="G19" s="1290"/>
      <c r="H19" s="927"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7" t="s">
        <v>402</v>
      </c>
      <c r="B20" s="294" t="s">
        <v>728</v>
      </c>
      <c r="C20" s="21">
        <f ca="1">ROUND(C19*F20,0)</f>
        <v>30050</v>
      </c>
      <c r="D20" s="315" t="s">
        <v>729</v>
      </c>
      <c r="E20" s="294" t="s">
        <v>712</v>
      </c>
      <c r="F20" s="314">
        <f>'数据-取费表'!B37</f>
        <v>0.02</v>
      </c>
      <c r="G20" s="1301"/>
      <c r="H20" s="927" t="s">
        <v>680</v>
      </c>
      <c r="I20" s="147" t="s">
        <v>730</v>
      </c>
      <c r="J20" s="22">
        <f ca="1">ROUND(M20*M21,0)</f>
        <v>846</v>
      </c>
      <c r="K20" s="316" t="s">
        <v>731</v>
      </c>
      <c r="L20" s="294" t="s">
        <v>732</v>
      </c>
      <c r="M20" s="317">
        <f>'数据-取费表'!B52</f>
        <v>24</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0.02</v>
      </c>
      <c r="G21" s="1301"/>
      <c r="H21" s="318"/>
      <c r="I21" s="303"/>
      <c r="J21" s="26"/>
      <c r="K21" s="319"/>
      <c r="L21" s="294" t="s">
        <v>736</v>
      </c>
      <c r="M21" s="295">
        <f ca="1">INDIRECT("'数据-取费表'!r"&amp;$G$1)</f>
        <v>35.270000000000003</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ROUND(J14*M22,0)</f>
        <v>31230</v>
      </c>
      <c r="K22" s="1254" t="s">
        <v>739</v>
      </c>
      <c r="L22" s="294" t="s">
        <v>712</v>
      </c>
      <c r="M22" s="320">
        <f ca="1">INDIRECT("'数据-取费表'!Ak"&amp;$G$1)</f>
        <v>1.4999999999999999E-2</v>
      </c>
    </row>
    <row r="23" spans="1:37" s="1302" customFormat="1" ht="18" customHeight="1">
      <c r="A23" s="927" t="s">
        <v>397</v>
      </c>
      <c r="B23" s="294" t="s">
        <v>740</v>
      </c>
      <c r="C23" s="21">
        <f ca="1">IF('数据-取费表'!B22&lt;=1,ROUND(C19*F24*F23/2,0)+ROUND(C20*F24*F23/2,0),ROUND(C19*(POWER((1+F24),F23/2)-1),0)+ROUND(C20*(POWER((1+F24),F23/2)-1),0))</f>
        <v>79909</v>
      </c>
      <c r="D23" s="138" t="str">
        <f>IF(F23&lt;=1,"(建造成本+管理费用)×利率×(建设周期÷2)","(建造成本+管理费用)×((1+利率)^(建设周期÷2)-1)")</f>
        <v>(建造成本+管理费用)×((1+利率)^(建设周期÷2)-1)</v>
      </c>
      <c r="E23" s="294" t="s">
        <v>741</v>
      </c>
      <c r="F23" s="317">
        <f>'数据-取费表'!B20</f>
        <v>2.5</v>
      </c>
      <c r="G23" s="1301"/>
      <c r="H23" s="927" t="s">
        <v>437</v>
      </c>
      <c r="I23" s="294" t="s">
        <v>742</v>
      </c>
      <c r="J23" s="21">
        <f ca="1">ROUND(J13*M23,0)</f>
        <v>0</v>
      </c>
      <c r="K23" s="1254" t="s">
        <v>743</v>
      </c>
      <c r="L23" s="294" t="s">
        <v>744</v>
      </c>
      <c r="M23" s="321">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4.1499999999999995E-2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5" t="s">
        <v>394</v>
      </c>
      <c r="I25" s="1030" t="s">
        <v>752</v>
      </c>
      <c r="J25" s="302">
        <f ca="1">J5-J16</f>
        <v>-32076</v>
      </c>
      <c r="K25" s="1031" t="s">
        <v>753</v>
      </c>
      <c r="L25" s="1032"/>
      <c r="M25" s="1033"/>
    </row>
    <row r="26" spans="1:37" ht="18" customHeight="1">
      <c r="A26" s="927" t="s">
        <v>397</v>
      </c>
      <c r="B26" s="294" t="s">
        <v>754</v>
      </c>
      <c r="C26" s="21">
        <f ca="1">ROUND((C19+C20)*F26,0)</f>
        <v>306510</v>
      </c>
      <c r="D26" s="315" t="s">
        <v>755</v>
      </c>
      <c r="E26" s="305" t="s">
        <v>756</v>
      </c>
      <c r="F26" s="304">
        <f ca="1">INDIRECT("'数据-取费表'!q"&amp;$G$1)</f>
        <v>0.2</v>
      </c>
      <c r="G26" s="1290"/>
      <c r="H26" s="291" t="s">
        <v>395</v>
      </c>
      <c r="I26" s="292" t="s">
        <v>757</v>
      </c>
      <c r="J26" s="293">
        <f ca="1">IF(J5&lt;&gt;0,ROUND(J25*(1-((1+M28)/(1+M26))^M27)/(M26-M28),0),0)</f>
        <v>0</v>
      </c>
      <c r="K26" s="316" t="s">
        <v>758</v>
      </c>
      <c r="L26" s="294" t="s">
        <v>759</v>
      </c>
      <c r="M26" s="304">
        <f ca="1">INDIRECT("'数据-取费表'!I"&amp;$G$1)</f>
        <v>0.06</v>
      </c>
    </row>
    <row r="27" spans="1:37" ht="18" customHeight="1">
      <c r="A27" s="927" t="s">
        <v>399</v>
      </c>
      <c r="B27" s="294" t="s">
        <v>760</v>
      </c>
      <c r="C27" s="21">
        <f ca="1">ROUND(F21*F26,4)</f>
        <v>4.0000000000000001E-3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2081988</v>
      </c>
      <c r="D29" s="1028"/>
      <c r="E29" s="1026"/>
      <c r="F29" s="1029"/>
      <c r="G29" s="1301"/>
      <c r="H29" s="325" t="s">
        <v>396</v>
      </c>
      <c r="I29" s="326" t="s">
        <v>768</v>
      </c>
      <c r="J29" s="327">
        <f ca="1">ROUND(J26/(1+F40)^F41,0)</f>
        <v>0</v>
      </c>
      <c r="K29" s="328" t="s">
        <v>769</v>
      </c>
      <c r="L29" s="329"/>
      <c r="M29" s="330">
        <f ca="1">INDIRECT("'数据-取费表'!k"&amp;$G$1)</f>
        <v>282.85000000000002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f ca="1">ROUND(C31+C36+C37+C38,0)</f>
        <v>282210</v>
      </c>
      <c r="D30" s="1023" t="s">
        <v>715</v>
      </c>
      <c r="E30" s="1024"/>
      <c r="F30" s="1008"/>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ROUND(IF(AND(项目基本情况!B11="自然人",项目基本情况!B10="北京市"),C6*F31/(1+'数据-取费表'!C42),C32+C33+C34),0)</f>
        <v>234464</v>
      </c>
      <c r="D31" s="1255" t="s">
        <v>720</v>
      </c>
      <c r="E31" s="1254" t="s">
        <v>770</v>
      </c>
      <c r="F31" s="2137" t="str">
        <f>IF(项目基本情况!B11="企业","——",IF(M47="住宅",IF(F6*F7*F8/12/(1+'数据-取费表'!F30)&gt;100000,4%,2.5%),IF(F6*F7*F8/12/(1+'数据-取费表'!F30)&gt;100000,12%,7%)))</f>
        <v>——</v>
      </c>
      <c r="G31" s="1290"/>
      <c r="H31" s="2568" t="s">
        <v>2301</v>
      </c>
      <c r="I31" s="1303"/>
      <c r="J31" s="1304"/>
      <c r="K31" s="121"/>
      <c r="L31" s="2470"/>
      <c r="M31" s="2471"/>
    </row>
    <row r="32" spans="1:37" ht="18" customHeight="1">
      <c r="A32" s="927" t="s">
        <v>397</v>
      </c>
      <c r="B32" s="294" t="s">
        <v>723</v>
      </c>
      <c r="C32" s="21">
        <f ca="1">IF(项目基本情况!B11="自然人","——",ROUND(C6*F32/(1+'数据-取费表'!C42),0))</f>
        <v>74333</v>
      </c>
      <c r="D32" s="1254" t="s">
        <v>724</v>
      </c>
      <c r="E32" s="294" t="s">
        <v>712</v>
      </c>
      <c r="F32" s="322">
        <f>'数据-取费表'!B41</f>
        <v>5.6000000000000001E-2</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159285</v>
      </c>
      <c r="D33" s="1276" t="s">
        <v>3332</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 ca="1">IF(项目基本情况!B11="自然人","——",ROUND(F34*F35,0))</f>
        <v>846</v>
      </c>
      <c r="D34" s="316" t="s">
        <v>731</v>
      </c>
      <c r="E34" s="294" t="s">
        <v>732</v>
      </c>
      <c r="F34" s="317">
        <f>'数据-取费表'!B52</f>
        <v>24</v>
      </c>
      <c r="G34" s="1290"/>
      <c r="H34" s="2469"/>
      <c r="I34" s="1303"/>
      <c r="J34" s="1304"/>
      <c r="K34" s="2474"/>
      <c r="L34" s="2475"/>
      <c r="M34" s="2475"/>
    </row>
    <row r="35" spans="1:18" ht="18" customHeight="1">
      <c r="A35" s="1039"/>
      <c r="B35" s="1037"/>
      <c r="C35" s="26"/>
      <c r="D35" s="319"/>
      <c r="E35" s="294" t="s">
        <v>736</v>
      </c>
      <c r="F35" s="295">
        <f ca="1">INDIRECT("'数据-取费表'!r"&amp;$G$1)</f>
        <v>35.270000000000003</v>
      </c>
      <c r="G35" s="1290"/>
      <c r="H35" s="2469"/>
      <c r="I35" s="1303"/>
      <c r="J35" s="1304"/>
      <c r="K35" s="2473"/>
      <c r="L35" s="2472"/>
      <c r="M35" s="2472"/>
    </row>
    <row r="36" spans="1:18" ht="18" customHeight="1">
      <c r="A36" s="1038" t="s">
        <v>402</v>
      </c>
      <c r="B36" s="294" t="s">
        <v>738</v>
      </c>
      <c r="C36" s="21">
        <f ca="1">ROUND(C29*F36,0)</f>
        <v>31230</v>
      </c>
      <c r="D36" s="1254" t="s">
        <v>771</v>
      </c>
      <c r="E36" s="294" t="s">
        <v>712</v>
      </c>
      <c r="F36" s="320">
        <f ca="1">INDIRECT("'数据-取费表'!Ak"&amp;$G$1)</f>
        <v>1.4999999999999999E-2</v>
      </c>
      <c r="G36" s="1290"/>
      <c r="H36" s="2472"/>
      <c r="I36" s="1303"/>
      <c r="J36" s="1304"/>
      <c r="K36" s="2329"/>
      <c r="L36" s="2472"/>
      <c r="M36" s="2472"/>
    </row>
    <row r="37" spans="1:18" ht="18" customHeight="1">
      <c r="A37" s="927" t="s">
        <v>437</v>
      </c>
      <c r="B37" s="294" t="s">
        <v>742</v>
      </c>
      <c r="C37" s="21">
        <f ca="1">ROUND(C13*F37,0)</f>
        <v>2561</v>
      </c>
      <c r="D37" s="1254" t="s">
        <v>743</v>
      </c>
      <c r="E37" s="294" t="s">
        <v>744</v>
      </c>
      <c r="F37" s="321">
        <f ca="1">INDIRECT("'数据-取费表'!Al"&amp;$G$1)</f>
        <v>1.5E-3</v>
      </c>
      <c r="G37" s="1290"/>
      <c r="H37" s="2472"/>
      <c r="I37" s="1303"/>
      <c r="J37" s="1304"/>
      <c r="K37" s="2329"/>
      <c r="L37" s="2472"/>
      <c r="M37" s="2472"/>
    </row>
    <row r="38" spans="1:18" ht="18" customHeight="1" thickBot="1">
      <c r="A38" s="1025" t="s">
        <v>684</v>
      </c>
      <c r="B38" s="1026" t="s">
        <v>728</v>
      </c>
      <c r="C38" s="1027">
        <f ca="1">ROUND(C5*F38,0)</f>
        <v>13955</v>
      </c>
      <c r="D38" s="1028" t="s">
        <v>748</v>
      </c>
      <c r="E38" s="1026" t="s">
        <v>744</v>
      </c>
      <c r="F38" s="1022">
        <f ca="1">INDIRECT("'数据-取费表'!Am"&amp;$G$1)</f>
        <v>0.01</v>
      </c>
      <c r="G38" s="1290"/>
      <c r="H38" s="2472"/>
      <c r="I38" s="1303"/>
      <c r="J38" s="1304"/>
      <c r="K38" s="2470"/>
      <c r="L38" s="2472"/>
      <c r="M38" s="2472"/>
    </row>
    <row r="39" spans="1:18" ht="24.6" customHeight="1" thickTop="1">
      <c r="A39" s="1015" t="s">
        <v>394</v>
      </c>
      <c r="B39" s="1030" t="s">
        <v>772</v>
      </c>
      <c r="C39" s="302">
        <f ca="1">C5-C30</f>
        <v>1113275</v>
      </c>
      <c r="D39" s="1031" t="s">
        <v>773</v>
      </c>
      <c r="E39" s="1032"/>
      <c r="F39" s="1033"/>
      <c r="G39" s="1290"/>
      <c r="H39" s="2472"/>
      <c r="I39" s="1303"/>
      <c r="J39" s="1304"/>
      <c r="K39" s="2470"/>
      <c r="L39" s="2472"/>
      <c r="M39" s="2472"/>
    </row>
    <row r="40" spans="1:18" ht="18" customHeight="1">
      <c r="A40" s="291" t="s">
        <v>395</v>
      </c>
      <c r="B40" s="292" t="s">
        <v>774</v>
      </c>
      <c r="C40" s="293">
        <f ca="1">ROUND(C39*(1-((1+F42)/(1+F40))^F41)/(F40-F42),0)</f>
        <v>16691374</v>
      </c>
      <c r="D40" s="316" t="s">
        <v>758</v>
      </c>
      <c r="E40" s="294" t="s">
        <v>759</v>
      </c>
      <c r="F40" s="304">
        <f ca="1">INDIRECT("'数据-取费表'!I"&amp;$G$1)</f>
        <v>0.06</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20.81</v>
      </c>
      <c r="G41" s="1290"/>
      <c r="H41" s="121"/>
      <c r="I41" s="1303"/>
      <c r="J41" s="1304"/>
      <c r="K41" s="2329"/>
      <c r="L41" s="121"/>
      <c r="M41" s="121"/>
    </row>
    <row r="42" spans="1:18" ht="18" customHeight="1">
      <c r="A42" s="300"/>
      <c r="B42" s="301"/>
      <c r="C42" s="302"/>
      <c r="D42" s="319"/>
      <c r="E42" s="294" t="s">
        <v>766</v>
      </c>
      <c r="F42" s="304">
        <f ca="1">INDIRECT("'数据-取费表'!v"&amp;$G$1)</f>
        <v>0.03</v>
      </c>
      <c r="G42" s="1290"/>
      <c r="H42" s="121"/>
      <c r="I42" s="1303"/>
      <c r="J42" s="1304"/>
      <c r="K42" s="2329"/>
      <c r="L42" s="121"/>
      <c r="M42" s="121"/>
    </row>
    <row r="43" spans="1:18" ht="18" customHeight="1" thickBot="1">
      <c r="A43" s="325" t="s">
        <v>396</v>
      </c>
      <c r="B43" s="326" t="s">
        <v>776</v>
      </c>
      <c r="C43" s="327">
        <f ca="1">ROUND(C40/F43,0)</f>
        <v>59011</v>
      </c>
      <c r="D43" s="328" t="s">
        <v>777</v>
      </c>
      <c r="E43" s="329" t="s">
        <v>778</v>
      </c>
      <c r="F43" s="330">
        <f ca="1">INDIRECT("'数据-取费表'!k"&amp;$G$1)</f>
        <v>282.85000000000002</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3348</v>
      </c>
      <c r="B45" s="1305"/>
      <c r="C45" s="1374">
        <f ca="1">ROUND((C68-C40)/10000,4)</f>
        <v>-1709.6956</v>
      </c>
      <c r="D45" s="3129" t="s">
        <v>3349</v>
      </c>
      <c r="E45" s="1305"/>
      <c r="F45" s="1305"/>
      <c r="O45" s="1308" t="s">
        <v>808</v>
      </c>
      <c r="P45" s="1364"/>
      <c r="Q45" s="1364"/>
      <c r="R45" s="1364"/>
    </row>
    <row r="46" spans="1:18" s="1290" customFormat="1" ht="13.5" thickBot="1">
      <c r="A46" s="1309" t="s">
        <v>809</v>
      </c>
      <c r="C46" s="1310">
        <f ca="1">ROUND(C45,0)</f>
        <v>-1710</v>
      </c>
      <c r="D46" s="1311" t="str">
        <f>C2</f>
        <v>万元</v>
      </c>
      <c r="I46" s="1312" t="s">
        <v>810</v>
      </c>
      <c r="J46" s="1313"/>
      <c r="K46" s="1314"/>
      <c r="L46" s="1315">
        <f ca="1">IF(M47="住宅",0,IF(L48&gt;J51,L60,J60))</f>
        <v>197255</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3574</v>
      </c>
      <c r="K47" s="1321" t="s">
        <v>816</v>
      </c>
      <c r="L47" s="1322">
        <f ca="1">INDIRECT("'数据-取费表'!d"&amp;$G$1)</f>
        <v>40</v>
      </c>
      <c r="M47" s="1286" t="str">
        <f>IF(ISNUMBER(FIND("住宅",C1)),"住宅","非住宅")</f>
        <v>非住宅</v>
      </c>
      <c r="O47" s="1323" t="s">
        <v>403</v>
      </c>
      <c r="P47" s="1324" t="s">
        <v>817</v>
      </c>
      <c r="Q47" s="1325">
        <f ca="1">C40+J29</f>
        <v>16691374</v>
      </c>
      <c r="R47" s="1325" t="s">
        <v>818</v>
      </c>
    </row>
    <row r="48" spans="1:18" s="1290" customFormat="1" ht="28.5" thickBot="1">
      <c r="A48" s="1046" t="s">
        <v>438</v>
      </c>
      <c r="B48" s="292" t="s">
        <v>692</v>
      </c>
      <c r="C48" s="1266">
        <f ca="1">C49+C53+C55</f>
        <v>0</v>
      </c>
      <c r="D48" s="1048"/>
      <c r="E48" s="1049"/>
      <c r="F48" s="907"/>
      <c r="G48" s="680"/>
      <c r="H48" s="681"/>
      <c r="I48" s="1326" t="s">
        <v>819</v>
      </c>
      <c r="J48" s="1327" t="s">
        <v>3590</v>
      </c>
      <c r="K48" s="1328" t="s">
        <v>820</v>
      </c>
      <c r="L48" s="1329">
        <f ca="1">INDIRECT("'数据-取费表'!f"&amp;$G$1)</f>
        <v>20.81</v>
      </c>
      <c r="O48" s="1323" t="s">
        <v>404</v>
      </c>
      <c r="P48" s="1324" t="s">
        <v>821</v>
      </c>
      <c r="Q48" s="1325">
        <f ca="1">J60</f>
        <v>197255</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2012</v>
      </c>
      <c r="K49" s="1328" t="s">
        <v>824</v>
      </c>
      <c r="L49" s="1331"/>
      <c r="O49" s="1332" t="s">
        <v>405</v>
      </c>
      <c r="P49" s="1324" t="s">
        <v>825</v>
      </c>
      <c r="Q49" s="1325">
        <f ca="1">C29</f>
        <v>2081988</v>
      </c>
      <c r="R49" s="1325" t="s">
        <v>818</v>
      </c>
    </row>
    <row r="50" spans="1:18" s="1290" customFormat="1" ht="13.5" thickBot="1">
      <c r="A50" s="921"/>
      <c r="B50" s="924"/>
      <c r="C50" s="925"/>
      <c r="D50" s="898"/>
      <c r="E50" s="992" t="s">
        <v>697</v>
      </c>
      <c r="F50" s="993">
        <f ca="1">F7</f>
        <v>282.85000000000002</v>
      </c>
      <c r="H50" s="681"/>
      <c r="I50" s="1326" t="s">
        <v>826</v>
      </c>
      <c r="J50" s="1333">
        <f>SUMPRODUCT((I63:I65=J47)*(J62:L62=J48)*(J63:L65))</f>
        <v>60</v>
      </c>
      <c r="K50" s="1328" t="s">
        <v>827</v>
      </c>
      <c r="L50" s="1331"/>
      <c r="M50" s="1334"/>
      <c r="O50" s="1332" t="s">
        <v>406</v>
      </c>
      <c r="P50" s="1324" t="s">
        <v>828</v>
      </c>
      <c r="Q50" s="1335">
        <f ca="1">J58</f>
        <v>0.47</v>
      </c>
      <c r="R50" s="1325"/>
    </row>
    <row r="51" spans="1:18" s="1290" customFormat="1" ht="13.5" thickBot="1">
      <c r="A51" s="922"/>
      <c r="B51" s="924"/>
      <c r="C51" s="925"/>
      <c r="D51" s="898"/>
      <c r="E51" s="926" t="s">
        <v>698</v>
      </c>
      <c r="F51" s="295">
        <f ca="1">F8</f>
        <v>365</v>
      </c>
      <c r="I51" s="1336" t="s">
        <v>829</v>
      </c>
      <c r="J51" s="1329">
        <f>IF(J49="",J50,J49+J50-YEAR('数据-取费表'!B2))</f>
        <v>49</v>
      </c>
      <c r="K51" s="1337" t="s">
        <v>830</v>
      </c>
      <c r="L51" s="1338">
        <f ca="1">ROUND(-PV(INDIRECT("'数据-取费表'!h"&amp;$G$1),J51,(C39-C13*C76),0),0)</f>
        <v>17900420</v>
      </c>
      <c r="M51" s="1339"/>
      <c r="O51" s="1332" t="s">
        <v>407</v>
      </c>
      <c r="P51" s="1324" t="s">
        <v>831</v>
      </c>
      <c r="Q51" s="1335">
        <f>J52</f>
        <v>0.08</v>
      </c>
      <c r="R51" s="1325"/>
    </row>
    <row r="52" spans="1:18" s="1290" customFormat="1" ht="13.5" thickBot="1">
      <c r="A52" s="922"/>
      <c r="B52" s="924"/>
      <c r="C52" s="925"/>
      <c r="D52" s="898"/>
      <c r="E52" s="926" t="s">
        <v>699</v>
      </c>
      <c r="F52" s="990"/>
      <c r="I52" s="1340" t="s">
        <v>832</v>
      </c>
      <c r="J52" s="1341">
        <v>0.08</v>
      </c>
      <c r="K52" s="1340" t="s">
        <v>833</v>
      </c>
      <c r="L52" s="1341"/>
      <c r="O52" s="1332" t="s">
        <v>408</v>
      </c>
      <c r="P52" s="1324" t="s">
        <v>834</v>
      </c>
      <c r="Q52" s="1325">
        <f ca="1">J53</f>
        <v>20.81</v>
      </c>
      <c r="R52" s="1325" t="s">
        <v>835</v>
      </c>
    </row>
    <row r="53" spans="1:18" s="1290" customFormat="1" ht="30.75" customHeight="1" thickBot="1">
      <c r="A53" s="1047" t="s">
        <v>440</v>
      </c>
      <c r="B53" s="315" t="s">
        <v>700</v>
      </c>
      <c r="C53" s="308">
        <f ca="1">ROUND(IF(F53="押一",C49/12*F11,IF(F53="押二",C49/12*2*F11,IF(F53="押三",C49/12*3*F11,C54*F11))),0)</f>
        <v>0</v>
      </c>
      <c r="D53" s="150" t="s">
        <v>2114</v>
      </c>
      <c r="E53" s="305" t="s">
        <v>701</v>
      </c>
      <c r="F53" s="1052"/>
      <c r="I53" s="1342" t="s">
        <v>836</v>
      </c>
      <c r="J53" s="2004">
        <f ca="1">IF(M47="住宅",IF(D1="——",MAX(J51,L48),MAX(J51,L48-'数据-取费表'!B24)),IF(D1="——",MIN(J51,L48),MIN(J51,L48-'数据-取费表'!B24)))</f>
        <v>20.81</v>
      </c>
      <c r="K53" s="3353" t="s">
        <v>837</v>
      </c>
      <c r="L53" s="3354"/>
      <c r="O53" s="1323" t="s">
        <v>409</v>
      </c>
      <c r="P53" s="1324" t="s">
        <v>838</v>
      </c>
      <c r="Q53" s="1325">
        <f ca="1">Q47+Q48</f>
        <v>16888629</v>
      </c>
      <c r="R53" s="1325" t="s">
        <v>410</v>
      </c>
    </row>
    <row r="54" spans="1:18" s="1290" customFormat="1" ht="13.5"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50"/>
      <c r="E55" s="1280"/>
      <c r="F55" s="1343"/>
      <c r="I55" s="1346" t="s">
        <v>840</v>
      </c>
      <c r="J55" s="1347">
        <f ca="1">ROUND(IF(J47="钢混",J57/J50,1-(1-2%)*(J50-J57)/J50),3)</f>
        <v>0.47</v>
      </c>
      <c r="K55" s="1348" t="s">
        <v>841</v>
      </c>
      <c r="L55" s="1349"/>
      <c r="O55" s="1316" t="s">
        <v>811</v>
      </c>
      <c r="P55" s="1317" t="s">
        <v>812</v>
      </c>
      <c r="Q55" s="1318" t="s">
        <v>813</v>
      </c>
      <c r="R55" s="1318" t="s">
        <v>814</v>
      </c>
    </row>
    <row r="56" spans="1:18" s="1290" customFormat="1" ht="36" customHeight="1" thickTop="1" thickBot="1">
      <c r="A56" s="902">
        <v>2</v>
      </c>
      <c r="B56" s="903" t="s">
        <v>704</v>
      </c>
      <c r="C56" s="224">
        <f ca="1">C13</f>
        <v>1707230</v>
      </c>
      <c r="D56" s="1350"/>
      <c r="E56" s="1351"/>
      <c r="F56" s="1343"/>
      <c r="I56" s="1352" t="s">
        <v>842</v>
      </c>
      <c r="J56" s="1353" t="s">
        <v>3591</v>
      </c>
      <c r="K56" s="1326" t="s">
        <v>843</v>
      </c>
      <c r="L56" s="1329" t="str">
        <f ca="1">IF(L48&lt;J51,"——",L48-J51)</f>
        <v>——</v>
      </c>
      <c r="O56" s="1323" t="s">
        <v>403</v>
      </c>
      <c r="P56" s="1324" t="s">
        <v>817</v>
      </c>
      <c r="Q56" s="1325">
        <f ca="1">C40+J29</f>
        <v>16691374</v>
      </c>
      <c r="R56" s="1325" t="s">
        <v>818</v>
      </c>
    </row>
    <row r="57" spans="1:18" s="1290" customFormat="1" ht="24.75" thickBot="1">
      <c r="A57" s="1354"/>
      <c r="B57" s="895" t="s">
        <v>767</v>
      </c>
      <c r="C57" s="230">
        <f ca="1">C29</f>
        <v>2081988</v>
      </c>
      <c r="D57" s="1355"/>
      <c r="E57" s="1356"/>
      <c r="F57" s="1357"/>
      <c r="I57" s="1358" t="s">
        <v>844</v>
      </c>
      <c r="J57" s="1359">
        <f ca="1">IF(OR(M47="住宅",J51&lt;L48,J56="是"),"——",J51-L48)</f>
        <v>28.19</v>
      </c>
      <c r="K57" s="1326" t="s">
        <v>892</v>
      </c>
      <c r="L57" s="1329" t="str">
        <f ca="1">IF(L48&lt;J51,"——",IF(L55="比较法",L49,IF(L55="基准地价",L50,L51)))</f>
        <v>——</v>
      </c>
      <c r="O57" s="1323" t="s">
        <v>404</v>
      </c>
      <c r="P57" s="1324" t="s">
        <v>846</v>
      </c>
      <c r="Q57" s="1325">
        <f ca="1">L60</f>
        <v>0</v>
      </c>
      <c r="R57" s="1325" t="s">
        <v>894</v>
      </c>
    </row>
    <row r="58" spans="1:18" s="1290" customFormat="1" ht="24.75" thickBot="1">
      <c r="A58" s="307" t="s">
        <v>393</v>
      </c>
      <c r="B58" s="903" t="s">
        <v>714</v>
      </c>
      <c r="C58" s="308">
        <f ca="1">ROUND(C59+C64+C65+C66,0)</f>
        <v>34637</v>
      </c>
      <c r="D58" s="905" t="s">
        <v>715</v>
      </c>
      <c r="E58" s="906"/>
      <c r="F58" s="907"/>
      <c r="I58" s="1358" t="s">
        <v>848</v>
      </c>
      <c r="J58" s="1360">
        <f ca="1">IF(J55&lt;0.4,0.4,J55)</f>
        <v>0.47</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846</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978534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1" t="s">
        <v>853</v>
      </c>
      <c r="J60" s="1362">
        <f ca="1">IF(OR(M47="住宅",J51&lt;L48,J56="是"),"0",ROUND(J59/(1+J52)^J53,0))</f>
        <v>197255</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3332</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846</v>
      </c>
      <c r="D62" s="910" t="s">
        <v>786</v>
      </c>
      <c r="E62" s="895" t="s">
        <v>787</v>
      </c>
      <c r="F62" s="317">
        <f t="shared" si="0"/>
        <v>24</v>
      </c>
      <c r="I62" s="1365" t="s">
        <v>858</v>
      </c>
      <c r="J62" s="609" t="s">
        <v>859</v>
      </c>
      <c r="K62" s="609" t="s">
        <v>860</v>
      </c>
      <c r="L62" s="609" t="s">
        <v>861</v>
      </c>
      <c r="M62" s="1366" t="s">
        <v>862</v>
      </c>
      <c r="O62" s="1323" t="s">
        <v>409</v>
      </c>
      <c r="P62" s="1324" t="s">
        <v>863</v>
      </c>
      <c r="Q62" s="1325">
        <f ca="1">Q56+Q57</f>
        <v>16691374</v>
      </c>
      <c r="R62" s="1325" t="s">
        <v>410</v>
      </c>
    </row>
    <row r="63" spans="1:18" s="1290" customFormat="1" ht="13.5" thickBot="1">
      <c r="A63" s="318"/>
      <c r="B63" s="901"/>
      <c r="C63" s="26"/>
      <c r="D63" s="911"/>
      <c r="E63" s="895" t="s">
        <v>788</v>
      </c>
      <c r="F63" s="295">
        <f t="shared" ca="1" si="0"/>
        <v>35.270000000000003</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31230</v>
      </c>
      <c r="D64" s="909" t="s">
        <v>791</v>
      </c>
      <c r="E64" s="895" t="s">
        <v>783</v>
      </c>
      <c r="F64" s="320">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2561</v>
      </c>
      <c r="D65" s="909" t="s">
        <v>743</v>
      </c>
      <c r="E65" s="895" t="s">
        <v>744</v>
      </c>
      <c r="F65" s="321">
        <f t="shared" ca="1" si="0"/>
        <v>1.5E-3</v>
      </c>
      <c r="I65" s="1365" t="s">
        <v>867</v>
      </c>
      <c r="J65" s="609">
        <v>40</v>
      </c>
      <c r="K65" s="609">
        <v>30</v>
      </c>
      <c r="L65" s="609">
        <v>50</v>
      </c>
      <c r="M65" s="1367">
        <v>0.02</v>
      </c>
      <c r="O65" s="1323" t="s">
        <v>403</v>
      </c>
      <c r="P65" s="1324" t="s">
        <v>868</v>
      </c>
      <c r="Q65" s="1325">
        <f ca="1">C40+J29</f>
        <v>16691374</v>
      </c>
      <c r="R65" s="1325" t="s">
        <v>818</v>
      </c>
    </row>
    <row r="66" spans="1:18" s="1290" customFormat="1" ht="16.5" thickBot="1">
      <c r="A66" s="927" t="s">
        <v>793</v>
      </c>
      <c r="B66" s="895" t="s">
        <v>728</v>
      </c>
      <c r="C66" s="21">
        <f ca="1">ROUND(C48*F66,0)</f>
        <v>0</v>
      </c>
      <c r="D66" s="909" t="s">
        <v>794</v>
      </c>
      <c r="E66" s="895" t="s">
        <v>712</v>
      </c>
      <c r="F66" s="304">
        <f t="shared" ca="1" si="0"/>
        <v>0.01</v>
      </c>
      <c r="O66" s="1323" t="s">
        <v>404</v>
      </c>
      <c r="P66" s="1324" t="s">
        <v>846</v>
      </c>
      <c r="Q66" s="1325">
        <f ca="1">L60</f>
        <v>0</v>
      </c>
      <c r="R66" s="1325" t="s">
        <v>869</v>
      </c>
    </row>
    <row r="67" spans="1:18" s="1290" customFormat="1" ht="16.5" thickBot="1">
      <c r="A67" s="902" t="s">
        <v>394</v>
      </c>
      <c r="B67" s="912" t="s">
        <v>752</v>
      </c>
      <c r="C67" s="308">
        <f ca="1">C48-C58</f>
        <v>-34637</v>
      </c>
      <c r="D67" s="908" t="s">
        <v>753</v>
      </c>
      <c r="E67" s="913"/>
      <c r="F67" s="914"/>
      <c r="O67" s="1332" t="s">
        <v>405</v>
      </c>
      <c r="P67" s="1324" t="s">
        <v>850</v>
      </c>
      <c r="Q67" s="1368">
        <f ca="1">L51</f>
        <v>17900420</v>
      </c>
      <c r="R67" s="1325" t="s">
        <v>870</v>
      </c>
    </row>
    <row r="68" spans="1:18" s="1290" customFormat="1" ht="16.5" thickBot="1">
      <c r="A68" s="892" t="s">
        <v>395</v>
      </c>
      <c r="B68" s="893" t="s">
        <v>774</v>
      </c>
      <c r="C68" s="293">
        <f ca="1">ROUND(C67*(1-((1+F70)/(1+F68))^F69)/(F68-F70),0)</f>
        <v>-405582</v>
      </c>
      <c r="D68" s="910" t="s">
        <v>758</v>
      </c>
      <c r="E68" s="895" t="s">
        <v>759</v>
      </c>
      <c r="F68" s="304">
        <f ca="1">F40</f>
        <v>0.06</v>
      </c>
      <c r="O68" s="1332" t="s">
        <v>406</v>
      </c>
      <c r="P68" s="1369" t="s">
        <v>871</v>
      </c>
      <c r="Q68" s="1325">
        <f ca="1">ROUND(Q69-Q70*Q71,0)</f>
        <v>985233</v>
      </c>
      <c r="R68" s="1325" t="s">
        <v>414</v>
      </c>
    </row>
    <row r="69" spans="1:18" s="1290" customFormat="1" ht="13.5" thickBot="1">
      <c r="A69" s="896"/>
      <c r="B69" s="897"/>
      <c r="C69" s="298"/>
      <c r="D69" s="915" t="s">
        <v>762</v>
      </c>
      <c r="E69" s="895" t="s">
        <v>763</v>
      </c>
      <c r="F69" s="324">
        <f ca="1">F41</f>
        <v>20.81</v>
      </c>
      <c r="O69" s="1332" t="s">
        <v>411</v>
      </c>
      <c r="P69" s="1369" t="s">
        <v>872</v>
      </c>
      <c r="Q69" s="1325">
        <f ca="1">C39</f>
        <v>1113275</v>
      </c>
      <c r="R69" s="1325" t="s">
        <v>818</v>
      </c>
    </row>
    <row r="70" spans="1:18" s="1290" customFormat="1" ht="13.5" thickBot="1">
      <c r="A70" s="899"/>
      <c r="B70" s="900"/>
      <c r="C70" s="302"/>
      <c r="D70" s="911"/>
      <c r="E70" s="895" t="s">
        <v>766</v>
      </c>
      <c r="F70" s="990"/>
      <c r="O70" s="1332" t="s">
        <v>412</v>
      </c>
      <c r="P70" s="1369" t="s">
        <v>873</v>
      </c>
      <c r="Q70" s="1325">
        <f ca="1">C13</f>
        <v>1707230</v>
      </c>
      <c r="R70" s="1325" t="s">
        <v>818</v>
      </c>
    </row>
    <row r="71" spans="1:18" s="1290" customFormat="1" ht="13.5" thickBot="1">
      <c r="A71" s="916" t="s">
        <v>396</v>
      </c>
      <c r="B71" s="917" t="s">
        <v>776</v>
      </c>
      <c r="C71" s="327">
        <f ca="1">ROUND(C68/F71,0)</f>
        <v>-1434</v>
      </c>
      <c r="D71" s="918" t="s">
        <v>777</v>
      </c>
      <c r="E71" s="919" t="s">
        <v>778</v>
      </c>
      <c r="F71" s="330">
        <f ca="1">F43</f>
        <v>282.85000000000002</v>
      </c>
      <c r="O71" s="1332" t="s">
        <v>413</v>
      </c>
      <c r="P71" s="1369" t="s">
        <v>874</v>
      </c>
      <c r="Q71" s="1335">
        <f ca="1">C76</f>
        <v>7.4999999999999997E-2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128042</v>
      </c>
      <c r="D75" s="1290"/>
      <c r="E75" s="1290"/>
      <c r="F75" s="1290"/>
      <c r="K75" s="1307"/>
      <c r="L75" s="1290"/>
      <c r="O75" s="1323" t="s">
        <v>409</v>
      </c>
      <c r="P75" s="1324" t="s">
        <v>838</v>
      </c>
      <c r="Q75" s="1325">
        <f ca="1">Q65+Q66</f>
        <v>16691374</v>
      </c>
      <c r="R75" s="1325" t="s">
        <v>410</v>
      </c>
    </row>
    <row r="76" spans="1:18">
      <c r="B76" s="333" t="s">
        <v>796</v>
      </c>
      <c r="C76" s="334">
        <f ca="1">INDIRECT("'数据-取费表'!j"&amp;$G$1)</f>
        <v>7.4999999999999997E-2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0.88500000000000001</v>
      </c>
    </row>
    <row r="80" spans="1:18">
      <c r="B80" s="331" t="s">
        <v>800</v>
      </c>
      <c r="C80" s="266">
        <f ca="1">ROUND(C75/C39,3)</f>
        <v>0.115</v>
      </c>
    </row>
    <row r="81" spans="2:3">
      <c r="B81" s="262" t="s">
        <v>801</v>
      </c>
      <c r="C81" s="230"/>
    </row>
    <row r="82" spans="2:3">
      <c r="B82" s="265" t="s">
        <v>802</v>
      </c>
      <c r="C82" s="267">
        <f ca="1">1-C83</f>
        <v>0.89800000000000002</v>
      </c>
    </row>
    <row r="83" spans="2:3">
      <c r="B83" s="265" t="s">
        <v>803</v>
      </c>
      <c r="C83" s="266">
        <f ca="1">ROUND(C13/C40,3)</f>
        <v>0.10199999999999999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H1" zoomScale="90" zoomScaleNormal="90" workbookViewId="0">
      <pane ySplit="24" topLeftCell="A25" activePane="bottomLeft" state="frozen"/>
      <selection activeCell="Q80" sqref="Q80"/>
      <selection pane="bottomLeft" activeCell="S22" sqref="S22"/>
    </sheetView>
  </sheetViews>
  <sheetFormatPr defaultColWidth="9" defaultRowHeight="12.75"/>
  <cols>
    <col min="1" max="1" width="11.5" style="122" customWidth="1"/>
    <col min="2" max="2" width="9.25" style="24" customWidth="1"/>
    <col min="3" max="3" width="6"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11" t="s">
        <v>2083</v>
      </c>
      <c r="D1" s="3412"/>
      <c r="E1" s="3412"/>
      <c r="F1" s="3412"/>
      <c r="G1" s="3412"/>
      <c r="H1" s="3412"/>
      <c r="I1" s="3412"/>
      <c r="J1" s="3412"/>
      <c r="K1" s="3412"/>
      <c r="L1" s="3412"/>
      <c r="M1" s="3412"/>
      <c r="N1" s="3412"/>
      <c r="O1" s="3412"/>
      <c r="P1" s="3412"/>
      <c r="Q1" s="3412"/>
      <c r="R1" s="3412"/>
      <c r="S1" s="3413"/>
      <c r="T1" s="928" t="s">
        <v>1988</v>
      </c>
    </row>
    <row r="2" spans="1:45" s="624" customFormat="1" ht="38.25">
      <c r="A2" s="929"/>
      <c r="B2" s="621" t="s">
        <v>1089</v>
      </c>
      <c r="C2" s="14" t="str">
        <f t="shared" ref="C2:R2" si="0">C3&amp;"(含)"&amp;"-"&amp;D3</f>
        <v>0(含)-100</v>
      </c>
      <c r="D2" s="622" t="str">
        <f t="shared" si="0"/>
        <v>100(含)-200</v>
      </c>
      <c r="E2" s="622" t="str">
        <f t="shared" si="0"/>
        <v>200(含)-300</v>
      </c>
      <c r="F2" s="622" t="str">
        <f t="shared" si="0"/>
        <v>300(含)-500</v>
      </c>
      <c r="G2" s="622" t="str">
        <f t="shared" si="0"/>
        <v>500(含)-1000</v>
      </c>
      <c r="H2" s="622" t="str">
        <f t="shared" si="0"/>
        <v>1000(含)-</v>
      </c>
      <c r="I2" s="622" t="str">
        <f t="shared" si="0"/>
        <v>(含)-</v>
      </c>
      <c r="J2" s="622" t="str">
        <f t="shared" si="0"/>
        <v>(含)-</v>
      </c>
      <c r="K2" s="622" t="str">
        <f t="shared" si="0"/>
        <v>(含)-</v>
      </c>
      <c r="L2" s="622" t="str">
        <f t="shared" si="0"/>
        <v>(含)-</v>
      </c>
      <c r="M2" s="622" t="str">
        <f t="shared" si="0"/>
        <v>(含)-</v>
      </c>
      <c r="N2" s="622" t="str">
        <f t="shared" si="0"/>
        <v>(含)-</v>
      </c>
      <c r="O2" s="622" t="str">
        <f t="shared" si="0"/>
        <v>(含)-</v>
      </c>
      <c r="P2" s="622" t="str">
        <f t="shared" si="0"/>
        <v>(含)-</v>
      </c>
      <c r="Q2" s="622" t="str">
        <f t="shared" si="0"/>
        <v>(含)-</v>
      </c>
      <c r="R2" s="622" t="str">
        <f t="shared" si="0"/>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100</v>
      </c>
      <c r="E3" s="627">
        <v>200</v>
      </c>
      <c r="F3" s="1219">
        <v>300</v>
      </c>
      <c r="G3" s="1219">
        <v>500</v>
      </c>
      <c r="H3" s="1219">
        <v>1000</v>
      </c>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100</v>
      </c>
      <c r="D4" s="935">
        <v>99</v>
      </c>
      <c r="E4" s="935">
        <v>98</v>
      </c>
      <c r="F4" s="1223">
        <v>97</v>
      </c>
      <c r="G4" s="1223">
        <v>96</v>
      </c>
      <c r="H4" s="1223">
        <v>95</v>
      </c>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8" customHeight="1">
      <c r="A5" s="924"/>
      <c r="B5" s="3157" t="s">
        <v>3605</v>
      </c>
      <c r="C5" s="939" t="s">
        <v>3575</v>
      </c>
      <c r="D5" s="940" t="s">
        <v>3580</v>
      </c>
      <c r="E5" s="940" t="s">
        <v>3606</v>
      </c>
      <c r="F5" s="1226" t="s">
        <v>3598</v>
      </c>
      <c r="G5" s="1226"/>
      <c r="H5" s="1226"/>
      <c r="I5" s="1226"/>
      <c r="J5" s="1226"/>
      <c r="K5" s="1226"/>
      <c r="L5" s="1227"/>
      <c r="M5" s="1228"/>
      <c r="N5" s="1228"/>
      <c r="O5" s="1226"/>
      <c r="P5" s="1226"/>
      <c r="Q5" s="1226"/>
      <c r="R5" s="1226"/>
      <c r="S5" s="1229"/>
      <c r="T5" s="942">
        <f>'比较法-办公'!K43</f>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99</v>
      </c>
      <c r="E6" s="848">
        <f t="shared" ref="E6:S6" si="1">D6-$T5</f>
        <v>98</v>
      </c>
      <c r="F6" s="1230">
        <f t="shared" si="1"/>
        <v>97</v>
      </c>
      <c r="G6" s="1230">
        <f t="shared" si="1"/>
        <v>96</v>
      </c>
      <c r="H6" s="1230">
        <f t="shared" si="1"/>
        <v>95</v>
      </c>
      <c r="I6" s="1230">
        <f t="shared" si="1"/>
        <v>94</v>
      </c>
      <c r="J6" s="1230">
        <f t="shared" si="1"/>
        <v>93</v>
      </c>
      <c r="K6" s="1230">
        <f t="shared" si="1"/>
        <v>92</v>
      </c>
      <c r="L6" s="1230">
        <f t="shared" si="1"/>
        <v>91</v>
      </c>
      <c r="M6" s="1230">
        <f t="shared" si="1"/>
        <v>90</v>
      </c>
      <c r="N6" s="1230">
        <f t="shared" si="1"/>
        <v>89</v>
      </c>
      <c r="O6" s="1230">
        <f t="shared" si="1"/>
        <v>88</v>
      </c>
      <c r="P6" s="1230">
        <f t="shared" si="1"/>
        <v>87</v>
      </c>
      <c r="Q6" s="1230">
        <f t="shared" si="1"/>
        <v>86</v>
      </c>
      <c r="R6" s="1230">
        <f t="shared" si="1"/>
        <v>85</v>
      </c>
      <c r="S6" s="1230">
        <f t="shared" si="1"/>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3156" t="s">
        <v>3627</v>
      </c>
      <c r="C7" s="939" t="s">
        <v>3564</v>
      </c>
      <c r="D7" s="940" t="s">
        <v>3520</v>
      </c>
      <c r="E7" s="940" t="s">
        <v>3565</v>
      </c>
      <c r="F7" s="1231" t="s">
        <v>3566</v>
      </c>
      <c r="G7" s="1231" t="s">
        <v>3567</v>
      </c>
      <c r="H7" s="1231"/>
      <c r="I7" s="1231"/>
      <c r="J7" s="1231"/>
      <c r="K7" s="1231"/>
      <c r="L7" s="1231"/>
      <c r="M7" s="1232"/>
      <c r="N7" s="1233"/>
      <c r="O7" s="1234"/>
      <c r="P7" s="1234"/>
      <c r="Q7" s="1235"/>
      <c r="R7" s="1236"/>
      <c r="S7" s="1237"/>
      <c r="T7" s="630">
        <v>5</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95</v>
      </c>
      <c r="E8" s="848">
        <f t="shared" ref="E8:S8" si="2">D8-$T7</f>
        <v>90</v>
      </c>
      <c r="F8" s="1230">
        <f t="shared" si="2"/>
        <v>85</v>
      </c>
      <c r="G8" s="1230">
        <f t="shared" si="2"/>
        <v>80</v>
      </c>
      <c r="H8" s="1230">
        <f t="shared" si="2"/>
        <v>75</v>
      </c>
      <c r="I8" s="1230">
        <f t="shared" si="2"/>
        <v>70</v>
      </c>
      <c r="J8" s="1230">
        <f t="shared" si="2"/>
        <v>65</v>
      </c>
      <c r="K8" s="1230">
        <f t="shared" si="2"/>
        <v>60</v>
      </c>
      <c r="L8" s="1230">
        <f t="shared" si="2"/>
        <v>55</v>
      </c>
      <c r="M8" s="1230">
        <f t="shared" si="2"/>
        <v>50</v>
      </c>
      <c r="N8" s="1230">
        <f t="shared" si="2"/>
        <v>45</v>
      </c>
      <c r="O8" s="1230">
        <f t="shared" si="2"/>
        <v>40</v>
      </c>
      <c r="P8" s="1230">
        <f t="shared" si="2"/>
        <v>35</v>
      </c>
      <c r="Q8" s="1230">
        <f t="shared" si="2"/>
        <v>30</v>
      </c>
      <c r="R8" s="1230">
        <f t="shared" si="2"/>
        <v>25</v>
      </c>
      <c r="S8" s="1230">
        <f t="shared" si="2"/>
        <v>20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3156" t="s">
        <v>3628</v>
      </c>
      <c r="C9" s="850" t="s">
        <v>3629</v>
      </c>
      <c r="D9" s="844" t="s">
        <v>3620</v>
      </c>
      <c r="E9" s="844" t="s">
        <v>3565</v>
      </c>
      <c r="F9" s="1231" t="s">
        <v>3630</v>
      </c>
      <c r="G9" s="1231" t="s">
        <v>3631</v>
      </c>
      <c r="H9" s="1231"/>
      <c r="I9" s="1231"/>
      <c r="J9" s="1231"/>
      <c r="K9" s="1231"/>
      <c r="L9" s="1238"/>
      <c r="M9" s="1232"/>
      <c r="N9" s="1233"/>
      <c r="O9" s="1234"/>
      <c r="P9" s="1234"/>
      <c r="Q9" s="1235"/>
      <c r="R9" s="1236"/>
      <c r="S9" s="1237"/>
      <c r="T9" s="630">
        <f>'比较法-商业'!K27</f>
        <v>5</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95</v>
      </c>
      <c r="E10" s="714">
        <f t="shared" ref="E10:S10" si="3">D10-$T9</f>
        <v>90</v>
      </c>
      <c r="F10" s="1239">
        <f t="shared" si="3"/>
        <v>85</v>
      </c>
      <c r="G10" s="1239">
        <f t="shared" si="3"/>
        <v>80</v>
      </c>
      <c r="H10" s="1239">
        <f t="shared" si="3"/>
        <v>75</v>
      </c>
      <c r="I10" s="1239">
        <f t="shared" si="3"/>
        <v>70</v>
      </c>
      <c r="J10" s="1239">
        <f t="shared" si="3"/>
        <v>65</v>
      </c>
      <c r="K10" s="1239">
        <f t="shared" si="3"/>
        <v>60</v>
      </c>
      <c r="L10" s="1239">
        <f t="shared" si="3"/>
        <v>55</v>
      </c>
      <c r="M10" s="1239">
        <f t="shared" si="3"/>
        <v>50</v>
      </c>
      <c r="N10" s="1239">
        <f t="shared" si="3"/>
        <v>45</v>
      </c>
      <c r="O10" s="1239">
        <f t="shared" si="3"/>
        <v>40</v>
      </c>
      <c r="P10" s="1239">
        <f t="shared" si="3"/>
        <v>35</v>
      </c>
      <c r="Q10" s="1239">
        <f t="shared" si="3"/>
        <v>30</v>
      </c>
      <c r="R10" s="1239">
        <f t="shared" si="3"/>
        <v>25</v>
      </c>
      <c r="S10" s="1239">
        <f t="shared" si="3"/>
        <v>20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2086</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4">D12-$T11</f>
        <v>100</v>
      </c>
      <c r="F12" s="848">
        <f t="shared" si="4"/>
        <v>100</v>
      </c>
      <c r="G12" s="848">
        <f t="shared" si="4"/>
        <v>100</v>
      </c>
      <c r="H12" s="848">
        <f t="shared" si="4"/>
        <v>100</v>
      </c>
      <c r="I12" s="848">
        <f t="shared" si="4"/>
        <v>100</v>
      </c>
      <c r="J12" s="848">
        <f t="shared" si="4"/>
        <v>100</v>
      </c>
      <c r="K12" s="848">
        <f t="shared" si="4"/>
        <v>100</v>
      </c>
      <c r="L12" s="848">
        <f t="shared" si="4"/>
        <v>100</v>
      </c>
      <c r="M12" s="848">
        <f t="shared" si="4"/>
        <v>100</v>
      </c>
      <c r="N12" s="848">
        <f t="shared" si="4"/>
        <v>100</v>
      </c>
      <c r="O12" s="848">
        <f t="shared" si="4"/>
        <v>100</v>
      </c>
      <c r="P12" s="848">
        <f t="shared" si="4"/>
        <v>100</v>
      </c>
      <c r="Q12" s="848">
        <f t="shared" si="4"/>
        <v>100</v>
      </c>
      <c r="R12" s="848">
        <f>Q12-$T11</f>
        <v>100</v>
      </c>
      <c r="S12" s="848">
        <f t="shared" si="4"/>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2087</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2088</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2089</v>
      </c>
      <c r="B17" s="1985" t="s">
        <v>2090</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2091</v>
      </c>
      <c r="E19" s="1251"/>
      <c r="F19" s="1251"/>
      <c r="G19" s="1251"/>
      <c r="H19" s="995"/>
      <c r="I19" s="151"/>
      <c r="J19" s="151"/>
      <c r="K19" s="151"/>
      <c r="L19" s="151"/>
      <c r="M19" s="151"/>
      <c r="N19" s="151"/>
      <c r="O19" s="151"/>
      <c r="P19" s="151"/>
      <c r="Q19" s="151"/>
      <c r="R19" s="151"/>
      <c r="S19" s="121"/>
    </row>
    <row r="20" spans="1:45" ht="16.5" thickBot="1">
      <c r="A20" s="631" t="s">
        <v>2092</v>
      </c>
      <c r="B20" s="286">
        <f ca="1">IF(D20="——",S22,S22-F20)</f>
        <v>23237</v>
      </c>
      <c r="C20" s="151"/>
      <c r="D20" s="1987" t="s">
        <v>43</v>
      </c>
      <c r="E20" s="1252"/>
      <c r="F20" s="928" t="e">
        <f ca="1">SUMIF(INDIRECT("'"&amp;H20&amp;"'"&amp;"!A:A"),"承租人权益价值",INDIRECT("'"&amp;H20&amp;"'"&amp;"!c:c"))</f>
        <v>#REF!</v>
      </c>
      <c r="G20" s="928" t="s">
        <v>2093</v>
      </c>
      <c r="H20" s="1988"/>
      <c r="I20" s="151"/>
      <c r="J20" s="151"/>
      <c r="K20" s="151"/>
      <c r="L20" s="151"/>
      <c r="M20" s="151"/>
      <c r="N20" s="151"/>
      <c r="O20" s="151"/>
      <c r="P20" s="151"/>
      <c r="Q20" s="151"/>
      <c r="R20" s="151"/>
      <c r="S20" s="121"/>
    </row>
    <row r="21" spans="1:45" ht="15.75">
      <c r="A21" s="631" t="s">
        <v>2094</v>
      </c>
      <c r="B21" s="286">
        <f ca="1">ROUND(B20*10000/B22,0)</f>
        <v>73922</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3143.44</v>
      </c>
      <c r="C22" s="3408" t="s">
        <v>27</v>
      </c>
      <c r="D22" s="3409"/>
      <c r="E22" s="3409"/>
      <c r="F22" s="3409"/>
      <c r="G22" s="3409"/>
      <c r="H22" s="3409"/>
      <c r="I22" s="3409"/>
      <c r="J22" s="3409"/>
      <c r="K22" s="3409"/>
      <c r="L22" s="3409"/>
      <c r="M22" s="3409"/>
      <c r="N22" s="3409"/>
      <c r="O22" s="3409"/>
      <c r="P22" s="3409"/>
      <c r="Q22" s="3410"/>
      <c r="R22" s="21">
        <f ca="1">ROUND(S22*10000/B22,0)</f>
        <v>73922</v>
      </c>
      <c r="S22" s="21">
        <f ca="1">SUM(S24:S10000)</f>
        <v>23237</v>
      </c>
      <c r="U22" s="683">
        <f ca="1">S22-S24</f>
        <v>20982</v>
      </c>
    </row>
    <row r="23" spans="1:45" s="9" customFormat="1" ht="24">
      <c r="A23" s="8" t="s">
        <v>2096</v>
      </c>
      <c r="B23" s="8" t="s">
        <v>2097</v>
      </c>
      <c r="C23" s="8" t="s">
        <v>2098</v>
      </c>
      <c r="D23" s="8" t="str">
        <f>B5</f>
        <v>装修</v>
      </c>
      <c r="E23" s="8" t="s">
        <v>2098</v>
      </c>
      <c r="F23" s="8" t="str">
        <f>B7</f>
        <v>可视性</v>
      </c>
      <c r="G23" s="8" t="s">
        <v>2098</v>
      </c>
      <c r="H23" s="8" t="str">
        <f>B9</f>
        <v>人流量</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明细表!B112</f>
        <v>3单元103</v>
      </c>
      <c r="B24" s="632">
        <f>明细表!E112</f>
        <v>282.85000000000002</v>
      </c>
      <c r="C24" s="2569">
        <v>1</v>
      </c>
      <c r="D24" s="2570" t="s">
        <v>3575</v>
      </c>
      <c r="E24" s="2569">
        <v>1</v>
      </c>
      <c r="F24" s="2570" t="s">
        <v>3520</v>
      </c>
      <c r="G24" s="2569">
        <v>1</v>
      </c>
      <c r="H24" s="2570" t="s">
        <v>3620</v>
      </c>
      <c r="I24" s="2569">
        <v>1</v>
      </c>
      <c r="J24" s="2570"/>
      <c r="K24" s="2569">
        <v>1</v>
      </c>
      <c r="L24" s="2570"/>
      <c r="M24" s="2569">
        <v>1</v>
      </c>
      <c r="N24" s="2570"/>
      <c r="O24" s="2569">
        <v>1</v>
      </c>
      <c r="P24" s="2570"/>
      <c r="Q24" s="2569">
        <v>1</v>
      </c>
      <c r="R24" s="632">
        <f ca="1">结果表商业!G20</f>
        <v>79712</v>
      </c>
      <c r="S24" s="633">
        <f t="shared" ref="S24:S87" ca="1" si="5">ROUND(R24*B24/10000,0)</f>
        <v>2255</v>
      </c>
      <c r="T24" s="683" t="s">
        <v>3596</v>
      </c>
      <c r="U24" s="3160" t="str">
        <f>明细表!H112</f>
        <v>浙商银行</v>
      </c>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明细表!B113</f>
        <v>3单元105</v>
      </c>
      <c r="B25" s="52">
        <f>明细表!E113</f>
        <v>204.95</v>
      </c>
      <c r="C25" s="21">
        <f>IF(B25="",1,(LOOKUP(B25,$3:$3,$4:$4)-LOOKUP($B$24,$3:$3,$4:$4)+100)/100)</f>
        <v>1</v>
      </c>
      <c r="D25" s="2570" t="s">
        <v>3575</v>
      </c>
      <c r="E25" s="21">
        <f>(SUMIF($5:$5,D25,$6:$6)-SUMIF($5:$5,$D$24,$6:$6)+100)/100</f>
        <v>1</v>
      </c>
      <c r="F25" s="2570" t="s">
        <v>3520</v>
      </c>
      <c r="G25" s="21">
        <f>(SUMIF($7:$7,F25,$8:$8)-SUMIF($7:$7,$F$24,$8:$8)+100)/100</f>
        <v>1</v>
      </c>
      <c r="H25" s="2570" t="s">
        <v>3620</v>
      </c>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79712</v>
      </c>
      <c r="S25" s="308">
        <f t="shared" ca="1" si="5"/>
        <v>1634</v>
      </c>
      <c r="T25" s="683" t="str">
        <f>明细表!G2</f>
        <v>办公</v>
      </c>
      <c r="U25" s="3160" t="str">
        <f>明细表!H113</f>
        <v>浙商银行</v>
      </c>
    </row>
    <row r="26" spans="1:45">
      <c r="A26" s="142" t="str">
        <f>明细表!B114</f>
        <v>1单元101</v>
      </c>
      <c r="B26" s="52">
        <f>明细表!E114</f>
        <v>256.02999999999997</v>
      </c>
      <c r="C26" s="21">
        <f t="shared" ref="C26:C89" si="6">IF(B26="",1,(LOOKUP(B26,$3:$3,$4:$4)-LOOKUP($B$24,$3:$3,$4:$4)+100)/100)</f>
        <v>1</v>
      </c>
      <c r="D26" s="2570" t="s">
        <v>3575</v>
      </c>
      <c r="E26" s="21">
        <f t="shared" ref="E26:E89" si="7">(SUMIF($5:$5,D26,$6:$6)-SUMIF($5:$5,$D$24,$6:$6)+100)/100</f>
        <v>1</v>
      </c>
      <c r="F26" s="2570" t="s">
        <v>3520</v>
      </c>
      <c r="G26" s="21">
        <f t="shared" ref="G26:G89" si="8">(SUMIF($7:$7,F26,$8:$8)-SUMIF($7:$7,$F$24,$8:$8)+100)/100</f>
        <v>1</v>
      </c>
      <c r="H26" s="2570" t="s">
        <v>3620</v>
      </c>
      <c r="I26" s="21">
        <f t="shared" ref="I26:I89" si="9">(SUMIF($9:$9,H26,$10:$10)-SUMIF($9:$9,$H$24,$10:$10)+100)/100</f>
        <v>1</v>
      </c>
      <c r="J26" s="634"/>
      <c r="K26" s="21">
        <f t="shared" ref="K26:K89" si="10">(SUMIF($11:$11,J26,$12:$12)-SUMIF($11:$11,$J$24,$12:$12)+100)/100</f>
        <v>1</v>
      </c>
      <c r="L26" s="634"/>
      <c r="M26" s="21">
        <f t="shared" ref="M26:M89" si="11">(SUMIF($13:$13,L26,$14:$14)-SUMIF($13:$13,$L$24,$14:$14)+100)/100</f>
        <v>1</v>
      </c>
      <c r="N26" s="634"/>
      <c r="O26" s="21">
        <f t="shared" ref="O26:O89" si="12">(SUMIF($15:$15,N26,$16:$16)-SUMIF($15:$15,$N$24,$16:$16)+100)/100</f>
        <v>1</v>
      </c>
      <c r="P26" s="634"/>
      <c r="Q26" s="21">
        <f t="shared" ref="Q26:Q89" si="13">(SUMIF($17:$17,P26,$18:$18)-SUMIF($17:$17,$P$24,$18:$18)+100)/100</f>
        <v>1</v>
      </c>
      <c r="R26" s="21">
        <f t="shared" ref="R26:R89" ca="1" si="14">IF(B26="",0,ROUND($R$24*C26*E26*G26*I26*K26*M26*O26*Q26,0))</f>
        <v>79712</v>
      </c>
      <c r="S26" s="308">
        <f t="shared" ca="1" si="5"/>
        <v>2041</v>
      </c>
      <c r="T26" s="683" t="str">
        <f>明细表!G3</f>
        <v>办公</v>
      </c>
      <c r="U26" s="3160" t="str">
        <f>明细表!H114</f>
        <v>浦发银行</v>
      </c>
    </row>
    <row r="27" spans="1:45">
      <c r="A27" s="142" t="str">
        <f>明细表!B115</f>
        <v>1单元102</v>
      </c>
      <c r="B27" s="52">
        <f>明细表!E115</f>
        <v>467.92</v>
      </c>
      <c r="C27" s="21">
        <f t="shared" si="6"/>
        <v>0.99</v>
      </c>
      <c r="D27" s="2570" t="s">
        <v>3575</v>
      </c>
      <c r="E27" s="21">
        <f t="shared" si="7"/>
        <v>1</v>
      </c>
      <c r="F27" s="2570" t="s">
        <v>3520</v>
      </c>
      <c r="G27" s="21">
        <f t="shared" si="8"/>
        <v>1</v>
      </c>
      <c r="H27" s="2570" t="s">
        <v>3620</v>
      </c>
      <c r="I27" s="21">
        <f t="shared" si="9"/>
        <v>1</v>
      </c>
      <c r="J27" s="634"/>
      <c r="K27" s="21">
        <f t="shared" si="10"/>
        <v>1</v>
      </c>
      <c r="L27" s="634"/>
      <c r="M27" s="21">
        <f t="shared" si="11"/>
        <v>1</v>
      </c>
      <c r="N27" s="634"/>
      <c r="O27" s="21">
        <f t="shared" si="12"/>
        <v>1</v>
      </c>
      <c r="P27" s="634"/>
      <c r="Q27" s="21">
        <f t="shared" si="13"/>
        <v>1</v>
      </c>
      <c r="R27" s="21">
        <f t="shared" ca="1" si="14"/>
        <v>78915</v>
      </c>
      <c r="S27" s="308">
        <f t="shared" ca="1" si="5"/>
        <v>3693</v>
      </c>
      <c r="T27" s="683" t="str">
        <f>明细表!G4</f>
        <v>公寓</v>
      </c>
      <c r="U27" s="3160" t="str">
        <f>明细表!H115</f>
        <v>浦发银行</v>
      </c>
    </row>
    <row r="28" spans="1:45">
      <c r="A28" s="142" t="str">
        <f>明细表!B116</f>
        <v>1单元103</v>
      </c>
      <c r="B28" s="52">
        <f>明细表!E116</f>
        <v>396.96</v>
      </c>
      <c r="C28" s="21">
        <f t="shared" si="6"/>
        <v>0.99</v>
      </c>
      <c r="D28" s="2570" t="s">
        <v>3575</v>
      </c>
      <c r="E28" s="21">
        <f t="shared" si="7"/>
        <v>1</v>
      </c>
      <c r="F28" s="2570" t="s">
        <v>3565</v>
      </c>
      <c r="G28" s="21">
        <f t="shared" si="8"/>
        <v>0.95</v>
      </c>
      <c r="H28" s="634" t="s">
        <v>3565</v>
      </c>
      <c r="I28" s="21">
        <f t="shared" si="9"/>
        <v>0.95</v>
      </c>
      <c r="J28" s="634"/>
      <c r="K28" s="21">
        <f t="shared" si="10"/>
        <v>1</v>
      </c>
      <c r="L28" s="634"/>
      <c r="M28" s="21">
        <f t="shared" si="11"/>
        <v>1</v>
      </c>
      <c r="N28" s="634"/>
      <c r="O28" s="21">
        <f t="shared" si="12"/>
        <v>1</v>
      </c>
      <c r="P28" s="634"/>
      <c r="Q28" s="21">
        <f t="shared" si="13"/>
        <v>1</v>
      </c>
      <c r="R28" s="21">
        <f t="shared" ca="1" si="14"/>
        <v>71221</v>
      </c>
      <c r="S28" s="308">
        <f t="shared" ca="1" si="5"/>
        <v>2827</v>
      </c>
      <c r="T28" s="683" t="str">
        <f>明细表!G5</f>
        <v>办公</v>
      </c>
      <c r="U28" s="3160">
        <f>明细表!H116</f>
        <v>711</v>
      </c>
    </row>
    <row r="29" spans="1:45">
      <c r="A29" s="142" t="str">
        <f>明细表!B117</f>
        <v>1单元105</v>
      </c>
      <c r="B29" s="52">
        <f>明细表!E117</f>
        <v>251.25</v>
      </c>
      <c r="C29" s="21">
        <f t="shared" si="6"/>
        <v>1</v>
      </c>
      <c r="D29" s="2570" t="s">
        <v>3575</v>
      </c>
      <c r="E29" s="21">
        <f t="shared" si="7"/>
        <v>1</v>
      </c>
      <c r="F29" s="2570" t="s">
        <v>3565</v>
      </c>
      <c r="G29" s="21">
        <f t="shared" si="8"/>
        <v>0.95</v>
      </c>
      <c r="H29" s="634" t="s">
        <v>3565</v>
      </c>
      <c r="I29" s="21">
        <f t="shared" si="9"/>
        <v>0.95</v>
      </c>
      <c r="J29" s="634"/>
      <c r="K29" s="21">
        <f t="shared" si="10"/>
        <v>1</v>
      </c>
      <c r="L29" s="634"/>
      <c r="M29" s="21">
        <f t="shared" si="11"/>
        <v>1</v>
      </c>
      <c r="N29" s="634"/>
      <c r="O29" s="21">
        <f t="shared" si="12"/>
        <v>1</v>
      </c>
      <c r="P29" s="634"/>
      <c r="Q29" s="21">
        <f t="shared" si="13"/>
        <v>1</v>
      </c>
      <c r="R29" s="21">
        <f t="shared" ca="1" si="14"/>
        <v>71940</v>
      </c>
      <c r="S29" s="308">
        <f t="shared" ca="1" si="5"/>
        <v>1807</v>
      </c>
      <c r="T29" s="683" t="str">
        <f>明细表!G6</f>
        <v>办公</v>
      </c>
      <c r="U29" s="3160" t="str">
        <f>明细表!H117</f>
        <v>链家</v>
      </c>
    </row>
    <row r="30" spans="1:45">
      <c r="A30" s="142" t="str">
        <f>明细表!B118</f>
        <v>1单元106</v>
      </c>
      <c r="B30" s="52">
        <f>明细表!E118</f>
        <v>195.05</v>
      </c>
      <c r="C30" s="21">
        <f t="shared" si="6"/>
        <v>1.01</v>
      </c>
      <c r="D30" s="2570" t="s">
        <v>3575</v>
      </c>
      <c r="E30" s="21">
        <f t="shared" si="7"/>
        <v>1</v>
      </c>
      <c r="F30" s="2570" t="s">
        <v>3565</v>
      </c>
      <c r="G30" s="21">
        <f t="shared" si="8"/>
        <v>0.95</v>
      </c>
      <c r="H30" s="634" t="s">
        <v>3565</v>
      </c>
      <c r="I30" s="21">
        <f t="shared" si="9"/>
        <v>0.95</v>
      </c>
      <c r="J30" s="634"/>
      <c r="K30" s="21">
        <f t="shared" si="10"/>
        <v>1</v>
      </c>
      <c r="L30" s="634"/>
      <c r="M30" s="21">
        <f t="shared" si="11"/>
        <v>1</v>
      </c>
      <c r="N30" s="634"/>
      <c r="O30" s="21">
        <f t="shared" si="12"/>
        <v>1</v>
      </c>
      <c r="P30" s="634"/>
      <c r="Q30" s="21">
        <f t="shared" si="13"/>
        <v>1</v>
      </c>
      <c r="R30" s="21">
        <f t="shared" ca="1" si="14"/>
        <v>72659</v>
      </c>
      <c r="S30" s="308">
        <f t="shared" ca="1" si="5"/>
        <v>1417</v>
      </c>
      <c r="T30" s="683" t="str">
        <f>明细表!G7</f>
        <v>办公</v>
      </c>
      <c r="U30" s="3160" t="str">
        <f>明细表!H118</f>
        <v>餐厅</v>
      </c>
    </row>
    <row r="31" spans="1:45">
      <c r="A31" s="142" t="str">
        <f>明细表!B119</f>
        <v>6单元101</v>
      </c>
      <c r="B31" s="52">
        <f>明细表!E119</f>
        <v>324.41000000000003</v>
      </c>
      <c r="C31" s="21">
        <f t="shared" si="6"/>
        <v>0.99</v>
      </c>
      <c r="D31" s="2570" t="s">
        <v>3575</v>
      </c>
      <c r="E31" s="21">
        <f t="shared" si="7"/>
        <v>1</v>
      </c>
      <c r="F31" s="2570" t="s">
        <v>3565</v>
      </c>
      <c r="G31" s="21">
        <f t="shared" si="8"/>
        <v>0.95</v>
      </c>
      <c r="H31" s="634" t="s">
        <v>3565</v>
      </c>
      <c r="I31" s="21">
        <f t="shared" si="9"/>
        <v>0.95</v>
      </c>
      <c r="J31" s="634"/>
      <c r="K31" s="21">
        <f t="shared" si="10"/>
        <v>1</v>
      </c>
      <c r="L31" s="634"/>
      <c r="M31" s="21">
        <f t="shared" si="11"/>
        <v>1</v>
      </c>
      <c r="N31" s="634"/>
      <c r="O31" s="21">
        <f t="shared" si="12"/>
        <v>1</v>
      </c>
      <c r="P31" s="634"/>
      <c r="Q31" s="21">
        <f t="shared" si="13"/>
        <v>1</v>
      </c>
      <c r="R31" s="21">
        <f t="shared" ca="1" si="14"/>
        <v>71221</v>
      </c>
      <c r="S31" s="308">
        <f t="shared" ca="1" si="5"/>
        <v>2310</v>
      </c>
      <c r="T31" s="683" t="str">
        <f>明细表!G8</f>
        <v>办公</v>
      </c>
      <c r="U31" s="3160" t="str">
        <f>明细表!H119</f>
        <v>蛋糕房</v>
      </c>
    </row>
    <row r="32" spans="1:45">
      <c r="A32" s="142" t="str">
        <f>明细表!B120</f>
        <v>6单元102</v>
      </c>
      <c r="B32" s="52">
        <f>明细表!E120</f>
        <v>480.71</v>
      </c>
      <c r="C32" s="21">
        <f t="shared" si="6"/>
        <v>0.99</v>
      </c>
      <c r="D32" s="2570" t="s">
        <v>3575</v>
      </c>
      <c r="E32" s="21">
        <f t="shared" si="7"/>
        <v>1</v>
      </c>
      <c r="F32" s="2570" t="s">
        <v>3565</v>
      </c>
      <c r="G32" s="21">
        <f t="shared" si="8"/>
        <v>0.95</v>
      </c>
      <c r="H32" s="634" t="s">
        <v>3565</v>
      </c>
      <c r="I32" s="21">
        <f t="shared" si="9"/>
        <v>0.95</v>
      </c>
      <c r="J32" s="634"/>
      <c r="K32" s="21">
        <f t="shared" si="10"/>
        <v>1</v>
      </c>
      <c r="L32" s="634"/>
      <c r="M32" s="21">
        <f t="shared" si="11"/>
        <v>1</v>
      </c>
      <c r="N32" s="634"/>
      <c r="O32" s="21">
        <f t="shared" si="12"/>
        <v>1</v>
      </c>
      <c r="P32" s="634"/>
      <c r="Q32" s="21">
        <f t="shared" si="13"/>
        <v>1</v>
      </c>
      <c r="R32" s="21">
        <f t="shared" ca="1" si="14"/>
        <v>71221</v>
      </c>
      <c r="S32" s="308">
        <f t="shared" ca="1" si="5"/>
        <v>3424</v>
      </c>
      <c r="T32" s="683" t="str">
        <f>明细表!G9</f>
        <v>公寓</v>
      </c>
      <c r="U32" s="3160" t="str">
        <f>明细表!H120</f>
        <v>基金会</v>
      </c>
    </row>
    <row r="33" spans="1:21">
      <c r="A33" s="142" t="str">
        <f>明细表!B121</f>
        <v>6单元103</v>
      </c>
      <c r="B33" s="52">
        <f>明细表!E121</f>
        <v>283.31</v>
      </c>
      <c r="C33" s="21">
        <f t="shared" si="6"/>
        <v>1</v>
      </c>
      <c r="D33" s="2570" t="s">
        <v>3575</v>
      </c>
      <c r="E33" s="21">
        <f t="shared" si="7"/>
        <v>1</v>
      </c>
      <c r="F33" s="2570" t="s">
        <v>3566</v>
      </c>
      <c r="G33" s="21">
        <f t="shared" si="8"/>
        <v>0.9</v>
      </c>
      <c r="H33" s="634" t="s">
        <v>3630</v>
      </c>
      <c r="I33" s="21">
        <f t="shared" si="9"/>
        <v>0.9</v>
      </c>
      <c r="J33" s="634"/>
      <c r="K33" s="21">
        <f t="shared" si="10"/>
        <v>1</v>
      </c>
      <c r="L33" s="634"/>
      <c r="M33" s="21">
        <f t="shared" si="11"/>
        <v>1</v>
      </c>
      <c r="N33" s="634"/>
      <c r="O33" s="21">
        <f t="shared" si="12"/>
        <v>1</v>
      </c>
      <c r="P33" s="634"/>
      <c r="Q33" s="21">
        <f t="shared" si="13"/>
        <v>1</v>
      </c>
      <c r="R33" s="21">
        <f t="shared" ca="1" si="14"/>
        <v>64567</v>
      </c>
      <c r="S33" s="308">
        <f t="shared" ca="1" si="5"/>
        <v>1829</v>
      </c>
      <c r="T33" s="683" t="str">
        <f>明细表!G10</f>
        <v>公寓</v>
      </c>
      <c r="U33" s="3160" t="str">
        <f>明细表!H121</f>
        <v>人寿</v>
      </c>
    </row>
    <row r="34" spans="1:21">
      <c r="A34" s="142"/>
      <c r="B34" s="52"/>
      <c r="C34" s="21">
        <f t="shared" si="6"/>
        <v>1</v>
      </c>
      <c r="D34" s="2570"/>
      <c r="E34" s="21">
        <f t="shared" si="7"/>
        <v>0</v>
      </c>
      <c r="F34" s="2570"/>
      <c r="G34" s="21">
        <f t="shared" si="8"/>
        <v>0.05</v>
      </c>
      <c r="H34" s="634"/>
      <c r="I34" s="21">
        <f t="shared" si="9"/>
        <v>0.05</v>
      </c>
      <c r="J34" s="634"/>
      <c r="K34" s="21">
        <f t="shared" si="10"/>
        <v>1</v>
      </c>
      <c r="L34" s="634"/>
      <c r="M34" s="21">
        <f t="shared" si="11"/>
        <v>1</v>
      </c>
      <c r="N34" s="634"/>
      <c r="O34" s="21">
        <f t="shared" si="12"/>
        <v>1</v>
      </c>
      <c r="P34" s="634"/>
      <c r="Q34" s="21">
        <f t="shared" si="13"/>
        <v>1</v>
      </c>
      <c r="R34" s="21">
        <f t="shared" si="14"/>
        <v>0</v>
      </c>
      <c r="S34" s="308">
        <f t="shared" si="5"/>
        <v>0</v>
      </c>
      <c r="T34" s="683" t="str">
        <f>明细表!G11</f>
        <v>办公</v>
      </c>
      <c r="U34" s="683">
        <f>明细表!D11</f>
        <v>6</v>
      </c>
    </row>
    <row r="35" spans="1:21">
      <c r="A35" s="142"/>
      <c r="B35" s="52"/>
      <c r="C35" s="21">
        <f t="shared" si="6"/>
        <v>1</v>
      </c>
      <c r="D35" s="2570"/>
      <c r="E35" s="21">
        <f t="shared" si="7"/>
        <v>0</v>
      </c>
      <c r="F35" s="2570"/>
      <c r="G35" s="21">
        <f t="shared" si="8"/>
        <v>0.05</v>
      </c>
      <c r="H35" s="634"/>
      <c r="I35" s="21">
        <f t="shared" si="9"/>
        <v>0.05</v>
      </c>
      <c r="J35" s="634"/>
      <c r="K35" s="21">
        <f t="shared" si="10"/>
        <v>1</v>
      </c>
      <c r="L35" s="634"/>
      <c r="M35" s="21">
        <f t="shared" si="11"/>
        <v>1</v>
      </c>
      <c r="N35" s="634"/>
      <c r="O35" s="21">
        <f t="shared" si="12"/>
        <v>1</v>
      </c>
      <c r="P35" s="634"/>
      <c r="Q35" s="21">
        <f t="shared" si="13"/>
        <v>1</v>
      </c>
      <c r="R35" s="21">
        <f t="shared" si="14"/>
        <v>0</v>
      </c>
      <c r="S35" s="308">
        <f t="shared" si="5"/>
        <v>0</v>
      </c>
      <c r="T35" s="683" t="str">
        <f>明细表!G12</f>
        <v>办公</v>
      </c>
      <c r="U35" s="683">
        <f>明细表!D12</f>
        <v>6</v>
      </c>
    </row>
    <row r="36" spans="1:21">
      <c r="A36" s="142"/>
      <c r="B36" s="52"/>
      <c r="C36" s="21">
        <f t="shared" si="6"/>
        <v>1</v>
      </c>
      <c r="D36" s="2570"/>
      <c r="E36" s="21">
        <f t="shared" si="7"/>
        <v>0</v>
      </c>
      <c r="F36" s="2570"/>
      <c r="G36" s="21">
        <f t="shared" si="8"/>
        <v>0.05</v>
      </c>
      <c r="H36" s="634"/>
      <c r="I36" s="21">
        <f t="shared" si="9"/>
        <v>0.05</v>
      </c>
      <c r="J36" s="634"/>
      <c r="K36" s="21">
        <f t="shared" si="10"/>
        <v>1</v>
      </c>
      <c r="L36" s="634"/>
      <c r="M36" s="21">
        <f t="shared" si="11"/>
        <v>1</v>
      </c>
      <c r="N36" s="634"/>
      <c r="O36" s="21">
        <f t="shared" si="12"/>
        <v>1</v>
      </c>
      <c r="P36" s="634"/>
      <c r="Q36" s="21">
        <f t="shared" si="13"/>
        <v>1</v>
      </c>
      <c r="R36" s="21">
        <f t="shared" si="14"/>
        <v>0</v>
      </c>
      <c r="S36" s="308">
        <f t="shared" si="5"/>
        <v>0</v>
      </c>
      <c r="T36" s="683" t="str">
        <f>明细表!G13</f>
        <v>办公</v>
      </c>
      <c r="U36" s="683">
        <f>明细表!D13</f>
        <v>6</v>
      </c>
    </row>
    <row r="37" spans="1:21">
      <c r="A37" s="142"/>
      <c r="B37" s="52"/>
      <c r="C37" s="21">
        <f t="shared" si="6"/>
        <v>1</v>
      </c>
      <c r="D37" s="2570"/>
      <c r="E37" s="21">
        <f t="shared" si="7"/>
        <v>0</v>
      </c>
      <c r="F37" s="2570"/>
      <c r="G37" s="21">
        <f t="shared" si="8"/>
        <v>0.05</v>
      </c>
      <c r="H37" s="634"/>
      <c r="I37" s="21">
        <f t="shared" si="9"/>
        <v>0.05</v>
      </c>
      <c r="J37" s="634"/>
      <c r="K37" s="21">
        <f t="shared" si="10"/>
        <v>1</v>
      </c>
      <c r="L37" s="634"/>
      <c r="M37" s="21">
        <f t="shared" si="11"/>
        <v>1</v>
      </c>
      <c r="N37" s="634"/>
      <c r="O37" s="21">
        <f t="shared" si="12"/>
        <v>1</v>
      </c>
      <c r="P37" s="634"/>
      <c r="Q37" s="21">
        <f t="shared" si="13"/>
        <v>1</v>
      </c>
      <c r="R37" s="21">
        <f t="shared" si="14"/>
        <v>0</v>
      </c>
      <c r="S37" s="308">
        <f t="shared" si="5"/>
        <v>0</v>
      </c>
      <c r="T37" s="683" t="str">
        <f>明细表!G14</f>
        <v>办公</v>
      </c>
      <c r="U37" s="683">
        <f>明细表!D14</f>
        <v>6</v>
      </c>
    </row>
    <row r="38" spans="1:21">
      <c r="A38" s="142"/>
      <c r="B38" s="52"/>
      <c r="C38" s="21">
        <f t="shared" si="6"/>
        <v>1</v>
      </c>
      <c r="D38" s="2570"/>
      <c r="E38" s="21">
        <f t="shared" si="7"/>
        <v>0</v>
      </c>
      <c r="F38" s="2570"/>
      <c r="G38" s="21">
        <f t="shared" si="8"/>
        <v>0.05</v>
      </c>
      <c r="H38" s="634"/>
      <c r="I38" s="21">
        <f t="shared" si="9"/>
        <v>0.05</v>
      </c>
      <c r="J38" s="634"/>
      <c r="K38" s="21">
        <f t="shared" si="10"/>
        <v>1</v>
      </c>
      <c r="L38" s="634"/>
      <c r="M38" s="21">
        <f t="shared" si="11"/>
        <v>1</v>
      </c>
      <c r="N38" s="634"/>
      <c r="O38" s="21">
        <f t="shared" si="12"/>
        <v>1</v>
      </c>
      <c r="P38" s="634"/>
      <c r="Q38" s="21">
        <f t="shared" si="13"/>
        <v>1</v>
      </c>
      <c r="R38" s="21">
        <f t="shared" si="14"/>
        <v>0</v>
      </c>
      <c r="S38" s="308">
        <f t="shared" si="5"/>
        <v>0</v>
      </c>
      <c r="T38" s="683" t="str">
        <f>明细表!G15</f>
        <v>公寓</v>
      </c>
      <c r="U38" s="683">
        <f>明细表!D15</f>
        <v>6</v>
      </c>
    </row>
    <row r="39" spans="1:21">
      <c r="A39" s="142"/>
      <c r="B39" s="52"/>
      <c r="C39" s="21">
        <f t="shared" si="6"/>
        <v>1</v>
      </c>
      <c r="D39" s="2570"/>
      <c r="E39" s="21">
        <f t="shared" si="7"/>
        <v>0</v>
      </c>
      <c r="F39" s="634"/>
      <c r="G39" s="21">
        <f t="shared" si="8"/>
        <v>0.05</v>
      </c>
      <c r="H39" s="634"/>
      <c r="I39" s="21">
        <f t="shared" si="9"/>
        <v>0.05</v>
      </c>
      <c r="J39" s="634"/>
      <c r="K39" s="21">
        <f t="shared" si="10"/>
        <v>1</v>
      </c>
      <c r="L39" s="634"/>
      <c r="M39" s="21">
        <f t="shared" si="11"/>
        <v>1</v>
      </c>
      <c r="N39" s="634"/>
      <c r="O39" s="21">
        <f t="shared" si="12"/>
        <v>1</v>
      </c>
      <c r="P39" s="634"/>
      <c r="Q39" s="21">
        <f t="shared" si="13"/>
        <v>1</v>
      </c>
      <c r="R39" s="21">
        <f t="shared" si="14"/>
        <v>0</v>
      </c>
      <c r="S39" s="308">
        <f t="shared" si="5"/>
        <v>0</v>
      </c>
      <c r="T39" s="683" t="str">
        <f>明细表!G16</f>
        <v>公寓</v>
      </c>
      <c r="U39" s="683">
        <f>明细表!D16</f>
        <v>7</v>
      </c>
    </row>
    <row r="40" spans="1:21">
      <c r="A40" s="142"/>
      <c r="B40" s="52"/>
      <c r="C40" s="21">
        <f t="shared" si="6"/>
        <v>1</v>
      </c>
      <c r="D40" s="2570"/>
      <c r="E40" s="21">
        <f t="shared" si="7"/>
        <v>0</v>
      </c>
      <c r="F40" s="634"/>
      <c r="G40" s="21">
        <f t="shared" si="8"/>
        <v>0.05</v>
      </c>
      <c r="H40" s="634"/>
      <c r="I40" s="21">
        <f t="shared" si="9"/>
        <v>0.05</v>
      </c>
      <c r="J40" s="634"/>
      <c r="K40" s="21">
        <f t="shared" si="10"/>
        <v>1</v>
      </c>
      <c r="L40" s="634"/>
      <c r="M40" s="21">
        <f t="shared" si="11"/>
        <v>1</v>
      </c>
      <c r="N40" s="634"/>
      <c r="O40" s="21">
        <f t="shared" si="12"/>
        <v>1</v>
      </c>
      <c r="P40" s="634"/>
      <c r="Q40" s="21">
        <f t="shared" si="13"/>
        <v>1</v>
      </c>
      <c r="R40" s="21">
        <f t="shared" si="14"/>
        <v>0</v>
      </c>
      <c r="S40" s="308">
        <f t="shared" si="5"/>
        <v>0</v>
      </c>
      <c r="T40" s="683" t="str">
        <f>明细表!G17</f>
        <v>办公</v>
      </c>
      <c r="U40" s="683">
        <f>明细表!D17</f>
        <v>7</v>
      </c>
    </row>
    <row r="41" spans="1:21">
      <c r="A41" s="142"/>
      <c r="B41" s="52"/>
      <c r="C41" s="21">
        <f t="shared" si="6"/>
        <v>1</v>
      </c>
      <c r="D41" s="2570"/>
      <c r="E41" s="21">
        <f t="shared" si="7"/>
        <v>0</v>
      </c>
      <c r="F41" s="634"/>
      <c r="G41" s="21">
        <f t="shared" si="8"/>
        <v>0.05</v>
      </c>
      <c r="H41" s="634"/>
      <c r="I41" s="21">
        <f t="shared" si="9"/>
        <v>0.05</v>
      </c>
      <c r="J41" s="634"/>
      <c r="K41" s="21">
        <f t="shared" si="10"/>
        <v>1</v>
      </c>
      <c r="L41" s="634"/>
      <c r="M41" s="21">
        <f t="shared" si="11"/>
        <v>1</v>
      </c>
      <c r="N41" s="634"/>
      <c r="O41" s="21">
        <f t="shared" si="12"/>
        <v>1</v>
      </c>
      <c r="P41" s="634"/>
      <c r="Q41" s="21">
        <f t="shared" si="13"/>
        <v>1</v>
      </c>
      <c r="R41" s="21">
        <f t="shared" si="14"/>
        <v>0</v>
      </c>
      <c r="S41" s="308">
        <f t="shared" si="5"/>
        <v>0</v>
      </c>
      <c r="T41" s="683" t="str">
        <f>明细表!G18</f>
        <v>办公</v>
      </c>
      <c r="U41" s="683">
        <f>明细表!D18</f>
        <v>7</v>
      </c>
    </row>
    <row r="42" spans="1:21">
      <c r="A42" s="142"/>
      <c r="B42" s="52"/>
      <c r="C42" s="21">
        <f t="shared" si="6"/>
        <v>1</v>
      </c>
      <c r="D42" s="2570"/>
      <c r="E42" s="21">
        <f t="shared" si="7"/>
        <v>0</v>
      </c>
      <c r="F42" s="634"/>
      <c r="G42" s="21">
        <f t="shared" si="8"/>
        <v>0.05</v>
      </c>
      <c r="H42" s="634"/>
      <c r="I42" s="21">
        <f t="shared" si="9"/>
        <v>0.05</v>
      </c>
      <c r="J42" s="634"/>
      <c r="K42" s="21">
        <f t="shared" si="10"/>
        <v>1</v>
      </c>
      <c r="L42" s="634"/>
      <c r="M42" s="21">
        <f t="shared" si="11"/>
        <v>1</v>
      </c>
      <c r="N42" s="634"/>
      <c r="O42" s="21">
        <f t="shared" si="12"/>
        <v>1</v>
      </c>
      <c r="P42" s="634"/>
      <c r="Q42" s="21">
        <f t="shared" si="13"/>
        <v>1</v>
      </c>
      <c r="R42" s="21">
        <f t="shared" si="14"/>
        <v>0</v>
      </c>
      <c r="S42" s="308">
        <f t="shared" si="5"/>
        <v>0</v>
      </c>
      <c r="T42" s="683" t="str">
        <f>明细表!G19</f>
        <v>公寓</v>
      </c>
      <c r="U42" s="683">
        <f>明细表!D19</f>
        <v>7</v>
      </c>
    </row>
    <row r="43" spans="1:21">
      <c r="A43" s="142"/>
      <c r="B43" s="52"/>
      <c r="C43" s="21">
        <f t="shared" si="6"/>
        <v>1</v>
      </c>
      <c r="D43" s="2570"/>
      <c r="E43" s="21">
        <f t="shared" si="7"/>
        <v>0</v>
      </c>
      <c r="F43" s="634"/>
      <c r="G43" s="21">
        <f t="shared" si="8"/>
        <v>0.05</v>
      </c>
      <c r="H43" s="634"/>
      <c r="I43" s="21">
        <f t="shared" si="9"/>
        <v>0.05</v>
      </c>
      <c r="J43" s="634"/>
      <c r="K43" s="21">
        <f t="shared" si="10"/>
        <v>1</v>
      </c>
      <c r="L43" s="634"/>
      <c r="M43" s="21">
        <f t="shared" si="11"/>
        <v>1</v>
      </c>
      <c r="N43" s="634"/>
      <c r="O43" s="21">
        <f t="shared" si="12"/>
        <v>1</v>
      </c>
      <c r="P43" s="634"/>
      <c r="Q43" s="21">
        <f t="shared" si="13"/>
        <v>1</v>
      </c>
      <c r="R43" s="21">
        <f t="shared" si="14"/>
        <v>0</v>
      </c>
      <c r="S43" s="308">
        <f t="shared" si="5"/>
        <v>0</v>
      </c>
      <c r="T43" s="683" t="str">
        <f>明细表!G20</f>
        <v>公寓</v>
      </c>
      <c r="U43" s="683">
        <f>明细表!D20</f>
        <v>7</v>
      </c>
    </row>
    <row r="44" spans="1:21">
      <c r="A44" s="142"/>
      <c r="B44" s="52"/>
      <c r="C44" s="21">
        <f t="shared" si="6"/>
        <v>1</v>
      </c>
      <c r="D44" s="2570"/>
      <c r="E44" s="21">
        <f t="shared" si="7"/>
        <v>0</v>
      </c>
      <c r="F44" s="634"/>
      <c r="G44" s="21">
        <f t="shared" si="8"/>
        <v>0.05</v>
      </c>
      <c r="H44" s="634"/>
      <c r="I44" s="21">
        <f t="shared" si="9"/>
        <v>0.05</v>
      </c>
      <c r="J44" s="634"/>
      <c r="K44" s="21">
        <f t="shared" si="10"/>
        <v>1</v>
      </c>
      <c r="L44" s="634"/>
      <c r="M44" s="21">
        <f t="shared" si="11"/>
        <v>1</v>
      </c>
      <c r="N44" s="634"/>
      <c r="O44" s="21">
        <f t="shared" si="12"/>
        <v>1</v>
      </c>
      <c r="P44" s="634"/>
      <c r="Q44" s="21">
        <f t="shared" si="13"/>
        <v>1</v>
      </c>
      <c r="R44" s="21">
        <f t="shared" si="14"/>
        <v>0</v>
      </c>
      <c r="S44" s="308">
        <f t="shared" si="5"/>
        <v>0</v>
      </c>
      <c r="T44" s="683" t="str">
        <f>明细表!G21</f>
        <v>公寓</v>
      </c>
      <c r="U44" s="683">
        <f>明细表!D21</f>
        <v>7</v>
      </c>
    </row>
    <row r="45" spans="1:21">
      <c r="A45" s="142"/>
      <c r="B45" s="52"/>
      <c r="C45" s="21">
        <f t="shared" si="6"/>
        <v>1</v>
      </c>
      <c r="D45" s="2570"/>
      <c r="E45" s="21">
        <f t="shared" si="7"/>
        <v>0</v>
      </c>
      <c r="F45" s="634"/>
      <c r="G45" s="21">
        <f t="shared" si="8"/>
        <v>0.05</v>
      </c>
      <c r="H45" s="634"/>
      <c r="I45" s="21">
        <f t="shared" si="9"/>
        <v>0.05</v>
      </c>
      <c r="J45" s="634"/>
      <c r="K45" s="21">
        <f t="shared" si="10"/>
        <v>1</v>
      </c>
      <c r="L45" s="634"/>
      <c r="M45" s="21">
        <f t="shared" si="11"/>
        <v>1</v>
      </c>
      <c r="N45" s="634"/>
      <c r="O45" s="21">
        <f t="shared" si="12"/>
        <v>1</v>
      </c>
      <c r="P45" s="634"/>
      <c r="Q45" s="21">
        <f t="shared" si="13"/>
        <v>1</v>
      </c>
      <c r="R45" s="21">
        <f t="shared" si="14"/>
        <v>0</v>
      </c>
      <c r="S45" s="308">
        <f t="shared" si="5"/>
        <v>0</v>
      </c>
      <c r="T45" s="683" t="str">
        <f>明细表!G22</f>
        <v>公寓</v>
      </c>
      <c r="U45" s="683">
        <f>明细表!D22</f>
        <v>8</v>
      </c>
    </row>
    <row r="46" spans="1:21">
      <c r="A46" s="142"/>
      <c r="B46" s="52"/>
      <c r="C46" s="21">
        <f t="shared" si="6"/>
        <v>1</v>
      </c>
      <c r="D46" s="2570"/>
      <c r="E46" s="21">
        <f t="shared" si="7"/>
        <v>0</v>
      </c>
      <c r="F46" s="634"/>
      <c r="G46" s="21">
        <f t="shared" si="8"/>
        <v>0.05</v>
      </c>
      <c r="H46" s="634"/>
      <c r="I46" s="21">
        <f t="shared" si="9"/>
        <v>0.05</v>
      </c>
      <c r="J46" s="634"/>
      <c r="K46" s="21">
        <f t="shared" si="10"/>
        <v>1</v>
      </c>
      <c r="L46" s="634"/>
      <c r="M46" s="21">
        <f t="shared" si="11"/>
        <v>1</v>
      </c>
      <c r="N46" s="634"/>
      <c r="O46" s="21">
        <f t="shared" si="12"/>
        <v>1</v>
      </c>
      <c r="P46" s="634"/>
      <c r="Q46" s="21">
        <f t="shared" si="13"/>
        <v>1</v>
      </c>
      <c r="R46" s="21">
        <f t="shared" si="14"/>
        <v>0</v>
      </c>
      <c r="S46" s="308">
        <f t="shared" si="5"/>
        <v>0</v>
      </c>
      <c r="T46" s="683" t="str">
        <f>明细表!G23</f>
        <v>公寓</v>
      </c>
      <c r="U46" s="683">
        <f>明细表!D23</f>
        <v>8</v>
      </c>
    </row>
    <row r="47" spans="1:21">
      <c r="A47" s="142"/>
      <c r="B47" s="52"/>
      <c r="C47" s="21">
        <f t="shared" si="6"/>
        <v>1</v>
      </c>
      <c r="D47" s="2570"/>
      <c r="E47" s="21">
        <f t="shared" si="7"/>
        <v>0</v>
      </c>
      <c r="F47" s="634"/>
      <c r="G47" s="21">
        <f t="shared" si="8"/>
        <v>0.05</v>
      </c>
      <c r="H47" s="634"/>
      <c r="I47" s="21">
        <f t="shared" si="9"/>
        <v>0.05</v>
      </c>
      <c r="J47" s="634"/>
      <c r="K47" s="21">
        <f t="shared" si="10"/>
        <v>1</v>
      </c>
      <c r="L47" s="634"/>
      <c r="M47" s="21">
        <f t="shared" si="11"/>
        <v>1</v>
      </c>
      <c r="N47" s="634"/>
      <c r="O47" s="21">
        <f t="shared" si="12"/>
        <v>1</v>
      </c>
      <c r="P47" s="634"/>
      <c r="Q47" s="21">
        <f t="shared" si="13"/>
        <v>1</v>
      </c>
      <c r="R47" s="21">
        <f t="shared" si="14"/>
        <v>0</v>
      </c>
      <c r="S47" s="308">
        <f t="shared" si="5"/>
        <v>0</v>
      </c>
      <c r="T47" s="683" t="str">
        <f>明细表!G24</f>
        <v>公寓</v>
      </c>
      <c r="U47" s="683">
        <f>明细表!D24</f>
        <v>8</v>
      </c>
    </row>
    <row r="48" spans="1:21">
      <c r="A48" s="142"/>
      <c r="B48" s="52"/>
      <c r="C48" s="21">
        <f t="shared" si="6"/>
        <v>1</v>
      </c>
      <c r="D48" s="2570"/>
      <c r="E48" s="21">
        <f t="shared" si="7"/>
        <v>0</v>
      </c>
      <c r="F48" s="634"/>
      <c r="G48" s="21">
        <f t="shared" si="8"/>
        <v>0.05</v>
      </c>
      <c r="H48" s="634"/>
      <c r="I48" s="21">
        <f t="shared" si="9"/>
        <v>0.05</v>
      </c>
      <c r="J48" s="634"/>
      <c r="K48" s="21">
        <f t="shared" si="10"/>
        <v>1</v>
      </c>
      <c r="L48" s="634"/>
      <c r="M48" s="21">
        <f t="shared" si="11"/>
        <v>1</v>
      </c>
      <c r="N48" s="634"/>
      <c r="O48" s="21">
        <f t="shared" si="12"/>
        <v>1</v>
      </c>
      <c r="P48" s="634"/>
      <c r="Q48" s="21">
        <f t="shared" si="13"/>
        <v>1</v>
      </c>
      <c r="R48" s="21">
        <f t="shared" si="14"/>
        <v>0</v>
      </c>
      <c r="S48" s="308">
        <f t="shared" si="5"/>
        <v>0</v>
      </c>
      <c r="T48" s="683" t="str">
        <f>明细表!G25</f>
        <v>公寓</v>
      </c>
      <c r="U48" s="683">
        <f>明细表!D25</f>
        <v>8</v>
      </c>
    </row>
    <row r="49" spans="1:21">
      <c r="A49" s="142"/>
      <c r="B49" s="52"/>
      <c r="C49" s="21">
        <f t="shared" si="6"/>
        <v>1</v>
      </c>
      <c r="D49" s="2570"/>
      <c r="E49" s="21">
        <f t="shared" si="7"/>
        <v>0</v>
      </c>
      <c r="F49" s="634"/>
      <c r="G49" s="21">
        <f t="shared" si="8"/>
        <v>0.05</v>
      </c>
      <c r="H49" s="634"/>
      <c r="I49" s="21">
        <f t="shared" si="9"/>
        <v>0.05</v>
      </c>
      <c r="J49" s="634"/>
      <c r="K49" s="21">
        <f t="shared" si="10"/>
        <v>1</v>
      </c>
      <c r="L49" s="634"/>
      <c r="M49" s="21">
        <f t="shared" si="11"/>
        <v>1</v>
      </c>
      <c r="N49" s="634"/>
      <c r="O49" s="21">
        <f t="shared" si="12"/>
        <v>1</v>
      </c>
      <c r="P49" s="634"/>
      <c r="Q49" s="21">
        <f t="shared" si="13"/>
        <v>1</v>
      </c>
      <c r="R49" s="21">
        <f t="shared" si="14"/>
        <v>0</v>
      </c>
      <c r="S49" s="308">
        <f t="shared" si="5"/>
        <v>0</v>
      </c>
      <c r="T49" s="683" t="str">
        <f>明细表!G26</f>
        <v>公寓</v>
      </c>
      <c r="U49" s="683">
        <f>明细表!D26</f>
        <v>8</v>
      </c>
    </row>
    <row r="50" spans="1:21">
      <c r="A50" s="142"/>
      <c r="B50" s="52"/>
      <c r="C50" s="21">
        <f t="shared" si="6"/>
        <v>1</v>
      </c>
      <c r="D50" s="2570"/>
      <c r="E50" s="21">
        <f t="shared" si="7"/>
        <v>0</v>
      </c>
      <c r="F50" s="634"/>
      <c r="G50" s="21">
        <f t="shared" si="8"/>
        <v>0.05</v>
      </c>
      <c r="H50" s="634"/>
      <c r="I50" s="21">
        <f t="shared" si="9"/>
        <v>0.05</v>
      </c>
      <c r="J50" s="634"/>
      <c r="K50" s="21">
        <f t="shared" si="10"/>
        <v>1</v>
      </c>
      <c r="L50" s="634"/>
      <c r="M50" s="21">
        <f t="shared" si="11"/>
        <v>1</v>
      </c>
      <c r="N50" s="634"/>
      <c r="O50" s="21">
        <f t="shared" si="12"/>
        <v>1</v>
      </c>
      <c r="P50" s="634"/>
      <c r="Q50" s="21">
        <f t="shared" si="13"/>
        <v>1</v>
      </c>
      <c r="R50" s="21">
        <f t="shared" si="14"/>
        <v>0</v>
      </c>
      <c r="S50" s="308">
        <f t="shared" si="5"/>
        <v>0</v>
      </c>
      <c r="T50" s="683" t="str">
        <f>明细表!G27</f>
        <v>公寓</v>
      </c>
      <c r="U50" s="683">
        <f>明细表!D27</f>
        <v>9</v>
      </c>
    </row>
    <row r="51" spans="1:21">
      <c r="A51" s="142"/>
      <c r="B51" s="52"/>
      <c r="C51" s="21">
        <f t="shared" si="6"/>
        <v>1</v>
      </c>
      <c r="D51" s="2570"/>
      <c r="E51" s="21">
        <f t="shared" si="7"/>
        <v>0</v>
      </c>
      <c r="F51" s="634"/>
      <c r="G51" s="21">
        <f t="shared" si="8"/>
        <v>0.05</v>
      </c>
      <c r="H51" s="634"/>
      <c r="I51" s="21">
        <f t="shared" si="9"/>
        <v>0.05</v>
      </c>
      <c r="J51" s="634"/>
      <c r="K51" s="21">
        <f t="shared" si="10"/>
        <v>1</v>
      </c>
      <c r="L51" s="634"/>
      <c r="M51" s="21">
        <f t="shared" si="11"/>
        <v>1</v>
      </c>
      <c r="N51" s="634"/>
      <c r="O51" s="21">
        <f t="shared" si="12"/>
        <v>1</v>
      </c>
      <c r="P51" s="634"/>
      <c r="Q51" s="21">
        <f t="shared" si="13"/>
        <v>1</v>
      </c>
      <c r="R51" s="21">
        <f t="shared" si="14"/>
        <v>0</v>
      </c>
      <c r="S51" s="308">
        <f t="shared" si="5"/>
        <v>0</v>
      </c>
      <c r="T51" s="683" t="str">
        <f>明细表!G28</f>
        <v>公寓</v>
      </c>
      <c r="U51" s="683">
        <f>明细表!D28</f>
        <v>9</v>
      </c>
    </row>
    <row r="52" spans="1:21">
      <c r="A52" s="142"/>
      <c r="B52" s="52"/>
      <c r="C52" s="21">
        <f t="shared" si="6"/>
        <v>1</v>
      </c>
      <c r="D52" s="2570"/>
      <c r="E52" s="21">
        <f t="shared" si="7"/>
        <v>0</v>
      </c>
      <c r="F52" s="634"/>
      <c r="G52" s="21">
        <f t="shared" si="8"/>
        <v>0.05</v>
      </c>
      <c r="H52" s="634"/>
      <c r="I52" s="21">
        <f t="shared" si="9"/>
        <v>0.05</v>
      </c>
      <c r="J52" s="634"/>
      <c r="K52" s="21">
        <f t="shared" si="10"/>
        <v>1</v>
      </c>
      <c r="L52" s="634"/>
      <c r="M52" s="21">
        <f t="shared" si="11"/>
        <v>1</v>
      </c>
      <c r="N52" s="634"/>
      <c r="O52" s="21">
        <f t="shared" si="12"/>
        <v>1</v>
      </c>
      <c r="P52" s="634"/>
      <c r="Q52" s="21">
        <f t="shared" si="13"/>
        <v>1</v>
      </c>
      <c r="R52" s="21">
        <f t="shared" si="14"/>
        <v>0</v>
      </c>
      <c r="S52" s="308">
        <f t="shared" si="5"/>
        <v>0</v>
      </c>
      <c r="T52" s="683" t="str">
        <f>明细表!G29</f>
        <v>公寓</v>
      </c>
      <c r="U52" s="683">
        <f>明细表!D29</f>
        <v>9</v>
      </c>
    </row>
    <row r="53" spans="1:21">
      <c r="A53" s="142"/>
      <c r="B53" s="52"/>
      <c r="C53" s="21">
        <f t="shared" si="6"/>
        <v>1</v>
      </c>
      <c r="D53" s="2570"/>
      <c r="E53" s="21">
        <f t="shared" si="7"/>
        <v>0</v>
      </c>
      <c r="F53" s="634"/>
      <c r="G53" s="21">
        <f t="shared" si="8"/>
        <v>0.05</v>
      </c>
      <c r="H53" s="634"/>
      <c r="I53" s="21">
        <f t="shared" si="9"/>
        <v>0.05</v>
      </c>
      <c r="J53" s="634"/>
      <c r="K53" s="21">
        <f t="shared" si="10"/>
        <v>1</v>
      </c>
      <c r="L53" s="634"/>
      <c r="M53" s="21">
        <f t="shared" si="11"/>
        <v>1</v>
      </c>
      <c r="N53" s="634"/>
      <c r="O53" s="21">
        <f t="shared" si="12"/>
        <v>1</v>
      </c>
      <c r="P53" s="634"/>
      <c r="Q53" s="21">
        <f t="shared" si="13"/>
        <v>1</v>
      </c>
      <c r="R53" s="21">
        <f t="shared" si="14"/>
        <v>0</v>
      </c>
      <c r="S53" s="308">
        <f t="shared" si="5"/>
        <v>0</v>
      </c>
      <c r="T53" s="683" t="str">
        <f>明细表!G30</f>
        <v>公寓</v>
      </c>
      <c r="U53" s="683">
        <f>明细表!D30</f>
        <v>9</v>
      </c>
    </row>
    <row r="54" spans="1:21">
      <c r="A54" s="142"/>
      <c r="B54" s="52"/>
      <c r="C54" s="21">
        <f t="shared" si="6"/>
        <v>1</v>
      </c>
      <c r="D54" s="2570"/>
      <c r="E54" s="21">
        <f t="shared" si="7"/>
        <v>0</v>
      </c>
      <c r="F54" s="634"/>
      <c r="G54" s="21">
        <f t="shared" si="8"/>
        <v>0.05</v>
      </c>
      <c r="H54" s="634"/>
      <c r="I54" s="21">
        <f t="shared" si="9"/>
        <v>0.05</v>
      </c>
      <c r="J54" s="634"/>
      <c r="K54" s="21">
        <f t="shared" si="10"/>
        <v>1</v>
      </c>
      <c r="L54" s="634"/>
      <c r="M54" s="21">
        <f t="shared" si="11"/>
        <v>1</v>
      </c>
      <c r="N54" s="634"/>
      <c r="O54" s="21">
        <f t="shared" si="12"/>
        <v>1</v>
      </c>
      <c r="P54" s="634"/>
      <c r="Q54" s="21">
        <f t="shared" si="13"/>
        <v>1</v>
      </c>
      <c r="R54" s="21">
        <f t="shared" si="14"/>
        <v>0</v>
      </c>
      <c r="S54" s="308">
        <f t="shared" si="5"/>
        <v>0</v>
      </c>
      <c r="T54" s="683" t="str">
        <f>明细表!G31</f>
        <v>公寓</v>
      </c>
      <c r="U54" s="683">
        <f>明细表!D31</f>
        <v>9</v>
      </c>
    </row>
    <row r="55" spans="1:21">
      <c r="A55" s="142"/>
      <c r="B55" s="52"/>
      <c r="C55" s="21">
        <f t="shared" si="6"/>
        <v>1</v>
      </c>
      <c r="D55" s="2570"/>
      <c r="E55" s="21">
        <f t="shared" si="7"/>
        <v>0</v>
      </c>
      <c r="F55" s="634"/>
      <c r="G55" s="21">
        <f t="shared" si="8"/>
        <v>0.05</v>
      </c>
      <c r="H55" s="634"/>
      <c r="I55" s="21">
        <f t="shared" si="9"/>
        <v>0.05</v>
      </c>
      <c r="J55" s="634"/>
      <c r="K55" s="21">
        <f t="shared" si="10"/>
        <v>1</v>
      </c>
      <c r="L55" s="634"/>
      <c r="M55" s="21">
        <f t="shared" si="11"/>
        <v>1</v>
      </c>
      <c r="N55" s="634"/>
      <c r="O55" s="21">
        <f t="shared" si="12"/>
        <v>1</v>
      </c>
      <c r="P55" s="634"/>
      <c r="Q55" s="21">
        <f t="shared" si="13"/>
        <v>1</v>
      </c>
      <c r="R55" s="21">
        <f t="shared" si="14"/>
        <v>0</v>
      </c>
      <c r="S55" s="308">
        <f t="shared" si="5"/>
        <v>0</v>
      </c>
      <c r="T55" s="683" t="str">
        <f>明细表!G32</f>
        <v>公寓</v>
      </c>
      <c r="U55" s="683">
        <f>明细表!D32</f>
        <v>9</v>
      </c>
    </row>
    <row r="56" spans="1:21">
      <c r="A56" s="142"/>
      <c r="B56" s="52"/>
      <c r="C56" s="21">
        <f t="shared" si="6"/>
        <v>1</v>
      </c>
      <c r="D56" s="2570"/>
      <c r="E56" s="21">
        <f t="shared" si="7"/>
        <v>0</v>
      </c>
      <c r="F56" s="634"/>
      <c r="G56" s="21">
        <f t="shared" si="8"/>
        <v>0.05</v>
      </c>
      <c r="H56" s="634"/>
      <c r="I56" s="21">
        <f t="shared" si="9"/>
        <v>0.05</v>
      </c>
      <c r="J56" s="634"/>
      <c r="K56" s="21">
        <f t="shared" si="10"/>
        <v>1</v>
      </c>
      <c r="L56" s="634"/>
      <c r="M56" s="21">
        <f t="shared" si="11"/>
        <v>1</v>
      </c>
      <c r="N56" s="634"/>
      <c r="O56" s="21">
        <f t="shared" si="12"/>
        <v>1</v>
      </c>
      <c r="P56" s="634"/>
      <c r="Q56" s="21">
        <f t="shared" si="13"/>
        <v>1</v>
      </c>
      <c r="R56" s="21">
        <f t="shared" si="14"/>
        <v>0</v>
      </c>
      <c r="S56" s="308">
        <f t="shared" si="5"/>
        <v>0</v>
      </c>
      <c r="T56" s="683" t="str">
        <f>明细表!G33</f>
        <v>公寓</v>
      </c>
      <c r="U56" s="683">
        <f>明细表!D33</f>
        <v>9</v>
      </c>
    </row>
    <row r="57" spans="1:21">
      <c r="A57" s="142"/>
      <c r="B57" s="52"/>
      <c r="C57" s="21">
        <f t="shared" si="6"/>
        <v>1</v>
      </c>
      <c r="D57" s="2570"/>
      <c r="E57" s="21">
        <f t="shared" si="7"/>
        <v>0</v>
      </c>
      <c r="F57" s="634"/>
      <c r="G57" s="21">
        <f t="shared" si="8"/>
        <v>0.05</v>
      </c>
      <c r="H57" s="634"/>
      <c r="I57" s="21">
        <f t="shared" si="9"/>
        <v>0.05</v>
      </c>
      <c r="J57" s="634"/>
      <c r="K57" s="21">
        <f t="shared" si="10"/>
        <v>1</v>
      </c>
      <c r="L57" s="634"/>
      <c r="M57" s="21">
        <f t="shared" si="11"/>
        <v>1</v>
      </c>
      <c r="N57" s="634"/>
      <c r="O57" s="21">
        <f t="shared" si="12"/>
        <v>1</v>
      </c>
      <c r="P57" s="634"/>
      <c r="Q57" s="21">
        <f t="shared" si="13"/>
        <v>1</v>
      </c>
      <c r="R57" s="21">
        <f t="shared" si="14"/>
        <v>0</v>
      </c>
      <c r="S57" s="308">
        <f t="shared" si="5"/>
        <v>0</v>
      </c>
      <c r="T57" s="683" t="str">
        <f>明细表!G34</f>
        <v>公寓</v>
      </c>
      <c r="U57" s="683">
        <f>明细表!D34</f>
        <v>9</v>
      </c>
    </row>
    <row r="58" spans="1:21">
      <c r="A58" s="142"/>
      <c r="B58" s="52"/>
      <c r="C58" s="21">
        <f t="shared" si="6"/>
        <v>1</v>
      </c>
      <c r="D58" s="2570"/>
      <c r="E58" s="21">
        <f t="shared" si="7"/>
        <v>0</v>
      </c>
      <c r="F58" s="634"/>
      <c r="G58" s="21">
        <f t="shared" si="8"/>
        <v>0.05</v>
      </c>
      <c r="H58" s="634"/>
      <c r="I58" s="21">
        <f t="shared" si="9"/>
        <v>0.05</v>
      </c>
      <c r="J58" s="634"/>
      <c r="K58" s="21">
        <f t="shared" si="10"/>
        <v>1</v>
      </c>
      <c r="L58" s="634"/>
      <c r="M58" s="21">
        <f t="shared" si="11"/>
        <v>1</v>
      </c>
      <c r="N58" s="634"/>
      <c r="O58" s="21">
        <f t="shared" si="12"/>
        <v>1</v>
      </c>
      <c r="P58" s="634"/>
      <c r="Q58" s="21">
        <f t="shared" si="13"/>
        <v>1</v>
      </c>
      <c r="R58" s="21">
        <f t="shared" si="14"/>
        <v>0</v>
      </c>
      <c r="S58" s="308">
        <f t="shared" si="5"/>
        <v>0</v>
      </c>
      <c r="T58" s="683" t="str">
        <f>明细表!G35</f>
        <v>公寓</v>
      </c>
      <c r="U58" s="683">
        <f>明细表!D35</f>
        <v>9</v>
      </c>
    </row>
    <row r="59" spans="1:21">
      <c r="A59" s="142"/>
      <c r="B59" s="52"/>
      <c r="C59" s="21">
        <f t="shared" si="6"/>
        <v>1</v>
      </c>
      <c r="D59" s="2570"/>
      <c r="E59" s="21">
        <f t="shared" si="7"/>
        <v>0</v>
      </c>
      <c r="F59" s="634"/>
      <c r="G59" s="21">
        <f t="shared" si="8"/>
        <v>0.05</v>
      </c>
      <c r="H59" s="634"/>
      <c r="I59" s="21">
        <f t="shared" si="9"/>
        <v>0.05</v>
      </c>
      <c r="J59" s="634"/>
      <c r="K59" s="21">
        <f t="shared" si="10"/>
        <v>1</v>
      </c>
      <c r="L59" s="634"/>
      <c r="M59" s="21">
        <f t="shared" si="11"/>
        <v>1</v>
      </c>
      <c r="N59" s="634"/>
      <c r="O59" s="21">
        <f t="shared" si="12"/>
        <v>1</v>
      </c>
      <c r="P59" s="634"/>
      <c r="Q59" s="21">
        <f t="shared" si="13"/>
        <v>1</v>
      </c>
      <c r="R59" s="21">
        <f t="shared" si="14"/>
        <v>0</v>
      </c>
      <c r="S59" s="308">
        <f t="shared" si="5"/>
        <v>0</v>
      </c>
      <c r="T59" s="683" t="str">
        <f>明细表!G36</f>
        <v>公寓</v>
      </c>
      <c r="U59" s="683">
        <f>明细表!D36</f>
        <v>9</v>
      </c>
    </row>
    <row r="60" spans="1:21">
      <c r="A60" s="142"/>
      <c r="B60" s="52"/>
      <c r="C60" s="21">
        <f t="shared" si="6"/>
        <v>1</v>
      </c>
      <c r="D60" s="2570"/>
      <c r="E60" s="21">
        <f t="shared" si="7"/>
        <v>0</v>
      </c>
      <c r="F60" s="634"/>
      <c r="G60" s="21">
        <f t="shared" si="8"/>
        <v>0.05</v>
      </c>
      <c r="H60" s="634"/>
      <c r="I60" s="21">
        <f t="shared" si="9"/>
        <v>0.05</v>
      </c>
      <c r="J60" s="634"/>
      <c r="K60" s="21">
        <f t="shared" si="10"/>
        <v>1</v>
      </c>
      <c r="L60" s="634"/>
      <c r="M60" s="21">
        <f t="shared" si="11"/>
        <v>1</v>
      </c>
      <c r="N60" s="634"/>
      <c r="O60" s="21">
        <f t="shared" si="12"/>
        <v>1</v>
      </c>
      <c r="P60" s="634"/>
      <c r="Q60" s="21">
        <f t="shared" si="13"/>
        <v>1</v>
      </c>
      <c r="R60" s="21">
        <f t="shared" si="14"/>
        <v>0</v>
      </c>
      <c r="S60" s="308">
        <f t="shared" si="5"/>
        <v>0</v>
      </c>
      <c r="T60" s="683" t="str">
        <f>明细表!G37</f>
        <v>公寓</v>
      </c>
      <c r="U60" s="683">
        <f>明细表!D37</f>
        <v>10</v>
      </c>
    </row>
    <row r="61" spans="1:21">
      <c r="A61" s="142"/>
      <c r="B61" s="52"/>
      <c r="C61" s="21">
        <f t="shared" si="6"/>
        <v>1</v>
      </c>
      <c r="D61" s="2570"/>
      <c r="E61" s="21">
        <f t="shared" si="7"/>
        <v>0</v>
      </c>
      <c r="F61" s="634"/>
      <c r="G61" s="21">
        <f t="shared" si="8"/>
        <v>0.05</v>
      </c>
      <c r="H61" s="634"/>
      <c r="I61" s="21">
        <f t="shared" si="9"/>
        <v>0.05</v>
      </c>
      <c r="J61" s="634"/>
      <c r="K61" s="21">
        <f t="shared" si="10"/>
        <v>1</v>
      </c>
      <c r="L61" s="634"/>
      <c r="M61" s="21">
        <f t="shared" si="11"/>
        <v>1</v>
      </c>
      <c r="N61" s="634"/>
      <c r="O61" s="21">
        <f t="shared" si="12"/>
        <v>1</v>
      </c>
      <c r="P61" s="634"/>
      <c r="Q61" s="21">
        <f t="shared" si="13"/>
        <v>1</v>
      </c>
      <c r="R61" s="21">
        <f t="shared" si="14"/>
        <v>0</v>
      </c>
      <c r="S61" s="308">
        <f t="shared" si="5"/>
        <v>0</v>
      </c>
      <c r="T61" s="683" t="str">
        <f>明细表!G38</f>
        <v>公寓</v>
      </c>
      <c r="U61" s="683">
        <f>明细表!D38</f>
        <v>10</v>
      </c>
    </row>
    <row r="62" spans="1:21">
      <c r="A62" s="142"/>
      <c r="B62" s="52"/>
      <c r="C62" s="21">
        <f t="shared" si="6"/>
        <v>1</v>
      </c>
      <c r="D62" s="2570"/>
      <c r="E62" s="21">
        <f t="shared" si="7"/>
        <v>0</v>
      </c>
      <c r="F62" s="634"/>
      <c r="G62" s="21">
        <f t="shared" si="8"/>
        <v>0.05</v>
      </c>
      <c r="H62" s="634"/>
      <c r="I62" s="21">
        <f t="shared" si="9"/>
        <v>0.05</v>
      </c>
      <c r="J62" s="634"/>
      <c r="K62" s="21">
        <f t="shared" si="10"/>
        <v>1</v>
      </c>
      <c r="L62" s="634"/>
      <c r="M62" s="21">
        <f t="shared" si="11"/>
        <v>1</v>
      </c>
      <c r="N62" s="634"/>
      <c r="O62" s="21">
        <f t="shared" si="12"/>
        <v>1</v>
      </c>
      <c r="P62" s="634"/>
      <c r="Q62" s="21">
        <f t="shared" si="13"/>
        <v>1</v>
      </c>
      <c r="R62" s="21">
        <f t="shared" si="14"/>
        <v>0</v>
      </c>
      <c r="S62" s="308">
        <f t="shared" si="5"/>
        <v>0</v>
      </c>
      <c r="T62" s="683" t="str">
        <f>明细表!G39</f>
        <v>公寓</v>
      </c>
      <c r="U62" s="683">
        <f>明细表!D39</f>
        <v>11</v>
      </c>
    </row>
    <row r="63" spans="1:21">
      <c r="A63" s="142"/>
      <c r="B63" s="52"/>
      <c r="C63" s="21">
        <f t="shared" si="6"/>
        <v>1</v>
      </c>
      <c r="D63" s="2570"/>
      <c r="E63" s="21">
        <f t="shared" si="7"/>
        <v>0</v>
      </c>
      <c r="F63" s="634"/>
      <c r="G63" s="21">
        <f t="shared" si="8"/>
        <v>0.05</v>
      </c>
      <c r="H63" s="634"/>
      <c r="I63" s="21">
        <f t="shared" si="9"/>
        <v>0.05</v>
      </c>
      <c r="J63" s="634"/>
      <c r="K63" s="21">
        <f t="shared" si="10"/>
        <v>1</v>
      </c>
      <c r="L63" s="634"/>
      <c r="M63" s="21">
        <f t="shared" si="11"/>
        <v>1</v>
      </c>
      <c r="N63" s="634"/>
      <c r="O63" s="21">
        <f t="shared" si="12"/>
        <v>1</v>
      </c>
      <c r="P63" s="634"/>
      <c r="Q63" s="21">
        <f t="shared" si="13"/>
        <v>1</v>
      </c>
      <c r="R63" s="21">
        <f t="shared" si="14"/>
        <v>0</v>
      </c>
      <c r="S63" s="308">
        <f t="shared" si="5"/>
        <v>0</v>
      </c>
      <c r="T63" s="683" t="str">
        <f>明细表!G40</f>
        <v>公寓</v>
      </c>
      <c r="U63" s="683">
        <f>明细表!D40</f>
        <v>11</v>
      </c>
    </row>
    <row r="64" spans="1:21">
      <c r="A64" s="142"/>
      <c r="B64" s="52"/>
      <c r="C64" s="21">
        <f t="shared" si="6"/>
        <v>1</v>
      </c>
      <c r="D64" s="2570"/>
      <c r="E64" s="21">
        <f t="shared" si="7"/>
        <v>0</v>
      </c>
      <c r="F64" s="634"/>
      <c r="G64" s="21">
        <f t="shared" si="8"/>
        <v>0.05</v>
      </c>
      <c r="H64" s="634"/>
      <c r="I64" s="21">
        <f t="shared" si="9"/>
        <v>0.05</v>
      </c>
      <c r="J64" s="634"/>
      <c r="K64" s="21">
        <f t="shared" si="10"/>
        <v>1</v>
      </c>
      <c r="L64" s="634"/>
      <c r="M64" s="21">
        <f t="shared" si="11"/>
        <v>1</v>
      </c>
      <c r="N64" s="634"/>
      <c r="O64" s="21">
        <f t="shared" si="12"/>
        <v>1</v>
      </c>
      <c r="P64" s="634"/>
      <c r="Q64" s="21">
        <f t="shared" si="13"/>
        <v>1</v>
      </c>
      <c r="R64" s="21">
        <f t="shared" si="14"/>
        <v>0</v>
      </c>
      <c r="S64" s="308">
        <f t="shared" si="5"/>
        <v>0</v>
      </c>
      <c r="T64" s="683" t="str">
        <f>明细表!G41</f>
        <v>公寓</v>
      </c>
      <c r="U64" s="683">
        <f>明细表!D41</f>
        <v>11</v>
      </c>
    </row>
    <row r="65" spans="1:21">
      <c r="A65" s="142"/>
      <c r="B65" s="52"/>
      <c r="C65" s="21">
        <f t="shared" si="6"/>
        <v>1</v>
      </c>
      <c r="D65" s="2570"/>
      <c r="E65" s="21">
        <f t="shared" si="7"/>
        <v>0</v>
      </c>
      <c r="F65" s="634"/>
      <c r="G65" s="21">
        <f t="shared" si="8"/>
        <v>0.05</v>
      </c>
      <c r="H65" s="634"/>
      <c r="I65" s="21">
        <f t="shared" si="9"/>
        <v>0.05</v>
      </c>
      <c r="J65" s="634"/>
      <c r="K65" s="21">
        <f t="shared" si="10"/>
        <v>1</v>
      </c>
      <c r="L65" s="634"/>
      <c r="M65" s="21">
        <f t="shared" si="11"/>
        <v>1</v>
      </c>
      <c r="N65" s="634"/>
      <c r="O65" s="21">
        <f t="shared" si="12"/>
        <v>1</v>
      </c>
      <c r="P65" s="634"/>
      <c r="Q65" s="21">
        <f t="shared" si="13"/>
        <v>1</v>
      </c>
      <c r="R65" s="21">
        <f t="shared" si="14"/>
        <v>0</v>
      </c>
      <c r="S65" s="308">
        <f t="shared" si="5"/>
        <v>0</v>
      </c>
      <c r="T65" s="683" t="str">
        <f>明细表!G42</f>
        <v>公寓</v>
      </c>
      <c r="U65" s="683">
        <f>明细表!D42</f>
        <v>11</v>
      </c>
    </row>
    <row r="66" spans="1:21">
      <c r="A66" s="142"/>
      <c r="B66" s="52"/>
      <c r="C66" s="21">
        <f t="shared" si="6"/>
        <v>1</v>
      </c>
      <c r="D66" s="2570"/>
      <c r="E66" s="21">
        <f t="shared" si="7"/>
        <v>0</v>
      </c>
      <c r="F66" s="634"/>
      <c r="G66" s="21">
        <f t="shared" si="8"/>
        <v>0.05</v>
      </c>
      <c r="H66" s="634"/>
      <c r="I66" s="21">
        <f t="shared" si="9"/>
        <v>0.05</v>
      </c>
      <c r="J66" s="634"/>
      <c r="K66" s="21">
        <f t="shared" si="10"/>
        <v>1</v>
      </c>
      <c r="L66" s="634"/>
      <c r="M66" s="21">
        <f t="shared" si="11"/>
        <v>1</v>
      </c>
      <c r="N66" s="634"/>
      <c r="O66" s="21">
        <f t="shared" si="12"/>
        <v>1</v>
      </c>
      <c r="P66" s="634"/>
      <c r="Q66" s="21">
        <f t="shared" si="13"/>
        <v>1</v>
      </c>
      <c r="R66" s="21">
        <f t="shared" si="14"/>
        <v>0</v>
      </c>
      <c r="S66" s="308">
        <f t="shared" si="5"/>
        <v>0</v>
      </c>
      <c r="T66" s="683" t="str">
        <f>明细表!G43</f>
        <v>公寓</v>
      </c>
      <c r="U66" s="683">
        <f>明细表!D43</f>
        <v>11</v>
      </c>
    </row>
    <row r="67" spans="1:21">
      <c r="A67" s="142"/>
      <c r="B67" s="52"/>
      <c r="C67" s="21">
        <f t="shared" si="6"/>
        <v>1</v>
      </c>
      <c r="D67" s="2570"/>
      <c r="E67" s="21">
        <f t="shared" si="7"/>
        <v>0</v>
      </c>
      <c r="F67" s="634"/>
      <c r="G67" s="21">
        <f t="shared" si="8"/>
        <v>0.05</v>
      </c>
      <c r="H67" s="634"/>
      <c r="I67" s="21">
        <f t="shared" si="9"/>
        <v>0.05</v>
      </c>
      <c r="J67" s="634"/>
      <c r="K67" s="21">
        <f t="shared" si="10"/>
        <v>1</v>
      </c>
      <c r="L67" s="634"/>
      <c r="M67" s="21">
        <f t="shared" si="11"/>
        <v>1</v>
      </c>
      <c r="N67" s="634"/>
      <c r="O67" s="21">
        <f t="shared" si="12"/>
        <v>1</v>
      </c>
      <c r="P67" s="634"/>
      <c r="Q67" s="21">
        <f t="shared" si="13"/>
        <v>1</v>
      </c>
      <c r="R67" s="21">
        <f t="shared" si="14"/>
        <v>0</v>
      </c>
      <c r="S67" s="308">
        <f t="shared" si="5"/>
        <v>0</v>
      </c>
      <c r="T67" s="683" t="str">
        <f>明细表!G44</f>
        <v>公寓</v>
      </c>
      <c r="U67" s="683">
        <f>明细表!D44</f>
        <v>11</v>
      </c>
    </row>
    <row r="68" spans="1:21">
      <c r="A68" s="142"/>
      <c r="B68" s="52"/>
      <c r="C68" s="21">
        <f t="shared" si="6"/>
        <v>1</v>
      </c>
      <c r="D68" s="2570"/>
      <c r="E68" s="21">
        <f t="shared" si="7"/>
        <v>0</v>
      </c>
      <c r="F68" s="634"/>
      <c r="G68" s="21">
        <f t="shared" si="8"/>
        <v>0.05</v>
      </c>
      <c r="H68" s="634"/>
      <c r="I68" s="21">
        <f t="shared" si="9"/>
        <v>0.05</v>
      </c>
      <c r="J68" s="634"/>
      <c r="K68" s="21">
        <f t="shared" si="10"/>
        <v>1</v>
      </c>
      <c r="L68" s="634"/>
      <c r="M68" s="21">
        <f t="shared" si="11"/>
        <v>1</v>
      </c>
      <c r="N68" s="634"/>
      <c r="O68" s="21">
        <f t="shared" si="12"/>
        <v>1</v>
      </c>
      <c r="P68" s="634"/>
      <c r="Q68" s="21">
        <f t="shared" si="13"/>
        <v>1</v>
      </c>
      <c r="R68" s="21">
        <f t="shared" si="14"/>
        <v>0</v>
      </c>
      <c r="S68" s="308">
        <f t="shared" si="5"/>
        <v>0</v>
      </c>
      <c r="T68" s="683" t="str">
        <f>明细表!G45</f>
        <v>办公</v>
      </c>
      <c r="U68" s="683">
        <f>明细表!D45</f>
        <v>14</v>
      </c>
    </row>
    <row r="69" spans="1:21">
      <c r="A69" s="142"/>
      <c r="B69" s="52"/>
      <c r="C69" s="21">
        <f t="shared" si="6"/>
        <v>1</v>
      </c>
      <c r="D69" s="2570"/>
      <c r="E69" s="21">
        <f t="shared" si="7"/>
        <v>0</v>
      </c>
      <c r="F69" s="634"/>
      <c r="G69" s="21">
        <f t="shared" si="8"/>
        <v>0.05</v>
      </c>
      <c r="H69" s="634"/>
      <c r="I69" s="21">
        <f t="shared" si="9"/>
        <v>0.05</v>
      </c>
      <c r="J69" s="634"/>
      <c r="K69" s="21">
        <f t="shared" si="10"/>
        <v>1</v>
      </c>
      <c r="L69" s="634"/>
      <c r="M69" s="21">
        <f t="shared" si="11"/>
        <v>1</v>
      </c>
      <c r="N69" s="634"/>
      <c r="O69" s="21">
        <f t="shared" si="12"/>
        <v>1</v>
      </c>
      <c r="P69" s="634"/>
      <c r="Q69" s="21">
        <f t="shared" si="13"/>
        <v>1</v>
      </c>
      <c r="R69" s="21">
        <f t="shared" si="14"/>
        <v>0</v>
      </c>
      <c r="S69" s="308">
        <f t="shared" si="5"/>
        <v>0</v>
      </c>
      <c r="T69" s="683" t="str">
        <f>明细表!G46</f>
        <v>办公</v>
      </c>
      <c r="U69" s="683">
        <f>明细表!D46</f>
        <v>14</v>
      </c>
    </row>
    <row r="70" spans="1:21">
      <c r="A70" s="142"/>
      <c r="B70" s="52"/>
      <c r="C70" s="21">
        <f t="shared" si="6"/>
        <v>1</v>
      </c>
      <c r="D70" s="2570"/>
      <c r="E70" s="21">
        <f t="shared" si="7"/>
        <v>0</v>
      </c>
      <c r="F70" s="634"/>
      <c r="G70" s="21">
        <f t="shared" si="8"/>
        <v>0.05</v>
      </c>
      <c r="H70" s="634"/>
      <c r="I70" s="21">
        <f t="shared" si="9"/>
        <v>0.05</v>
      </c>
      <c r="J70" s="634"/>
      <c r="K70" s="21">
        <f t="shared" si="10"/>
        <v>1</v>
      </c>
      <c r="L70" s="634"/>
      <c r="M70" s="21">
        <f t="shared" si="11"/>
        <v>1</v>
      </c>
      <c r="N70" s="634"/>
      <c r="O70" s="21">
        <f t="shared" si="12"/>
        <v>1</v>
      </c>
      <c r="P70" s="634"/>
      <c r="Q70" s="21">
        <f t="shared" si="13"/>
        <v>1</v>
      </c>
      <c r="R70" s="21">
        <f t="shared" si="14"/>
        <v>0</v>
      </c>
      <c r="S70" s="308">
        <f t="shared" si="5"/>
        <v>0</v>
      </c>
      <c r="T70" s="683" t="str">
        <f>明细表!G47</f>
        <v>办公</v>
      </c>
      <c r="U70" s="683">
        <f>明细表!D47</f>
        <v>14</v>
      </c>
    </row>
    <row r="71" spans="1:21">
      <c r="A71" s="142"/>
      <c r="B71" s="52"/>
      <c r="C71" s="21">
        <f t="shared" si="6"/>
        <v>1</v>
      </c>
      <c r="D71" s="2570"/>
      <c r="E71" s="21">
        <f t="shared" si="7"/>
        <v>0</v>
      </c>
      <c r="F71" s="634"/>
      <c r="G71" s="21">
        <f t="shared" si="8"/>
        <v>0.05</v>
      </c>
      <c r="H71" s="634"/>
      <c r="I71" s="21">
        <f t="shared" si="9"/>
        <v>0.05</v>
      </c>
      <c r="J71" s="634"/>
      <c r="K71" s="21">
        <f t="shared" si="10"/>
        <v>1</v>
      </c>
      <c r="L71" s="634"/>
      <c r="M71" s="21">
        <f t="shared" si="11"/>
        <v>1</v>
      </c>
      <c r="N71" s="634"/>
      <c r="O71" s="21">
        <f t="shared" si="12"/>
        <v>1</v>
      </c>
      <c r="P71" s="634"/>
      <c r="Q71" s="21">
        <f t="shared" si="13"/>
        <v>1</v>
      </c>
      <c r="R71" s="21">
        <f t="shared" si="14"/>
        <v>0</v>
      </c>
      <c r="S71" s="308">
        <f t="shared" si="5"/>
        <v>0</v>
      </c>
      <c r="T71" s="683" t="str">
        <f>明细表!G48</f>
        <v>办公</v>
      </c>
      <c r="U71" s="683">
        <f>明细表!D48</f>
        <v>14</v>
      </c>
    </row>
    <row r="72" spans="1:21">
      <c r="A72" s="142"/>
      <c r="B72" s="52"/>
      <c r="C72" s="21">
        <f t="shared" si="6"/>
        <v>1</v>
      </c>
      <c r="D72" s="2570"/>
      <c r="E72" s="21">
        <f t="shared" si="7"/>
        <v>0</v>
      </c>
      <c r="F72" s="634"/>
      <c r="G72" s="21">
        <f t="shared" si="8"/>
        <v>0.05</v>
      </c>
      <c r="H72" s="634"/>
      <c r="I72" s="21">
        <f t="shared" si="9"/>
        <v>0.05</v>
      </c>
      <c r="J72" s="634"/>
      <c r="K72" s="21">
        <f t="shared" si="10"/>
        <v>1</v>
      </c>
      <c r="L72" s="634"/>
      <c r="M72" s="21">
        <f t="shared" si="11"/>
        <v>1</v>
      </c>
      <c r="N72" s="634"/>
      <c r="O72" s="21">
        <f t="shared" si="12"/>
        <v>1</v>
      </c>
      <c r="P72" s="634"/>
      <c r="Q72" s="21">
        <f t="shared" si="13"/>
        <v>1</v>
      </c>
      <c r="R72" s="21">
        <f t="shared" si="14"/>
        <v>0</v>
      </c>
      <c r="S72" s="308">
        <f t="shared" si="5"/>
        <v>0</v>
      </c>
      <c r="T72" s="683" t="str">
        <f>明细表!G49</f>
        <v>办公</v>
      </c>
      <c r="U72" s="683">
        <f>明细表!D49</f>
        <v>14</v>
      </c>
    </row>
    <row r="73" spans="1:21">
      <c r="A73" s="142"/>
      <c r="B73" s="52"/>
      <c r="C73" s="21">
        <f t="shared" si="6"/>
        <v>1</v>
      </c>
      <c r="D73" s="2570"/>
      <c r="E73" s="21">
        <f t="shared" si="7"/>
        <v>0</v>
      </c>
      <c r="F73" s="634"/>
      <c r="G73" s="21">
        <f t="shared" si="8"/>
        <v>0.05</v>
      </c>
      <c r="H73" s="634"/>
      <c r="I73" s="21">
        <f t="shared" si="9"/>
        <v>0.05</v>
      </c>
      <c r="J73" s="634"/>
      <c r="K73" s="21">
        <f t="shared" si="10"/>
        <v>1</v>
      </c>
      <c r="L73" s="634"/>
      <c r="M73" s="21">
        <f t="shared" si="11"/>
        <v>1</v>
      </c>
      <c r="N73" s="634"/>
      <c r="O73" s="21">
        <f t="shared" si="12"/>
        <v>1</v>
      </c>
      <c r="P73" s="634"/>
      <c r="Q73" s="21">
        <f t="shared" si="13"/>
        <v>1</v>
      </c>
      <c r="R73" s="21">
        <f t="shared" si="14"/>
        <v>0</v>
      </c>
      <c r="S73" s="308">
        <f t="shared" si="5"/>
        <v>0</v>
      </c>
      <c r="T73" s="683" t="str">
        <f>明细表!G50</f>
        <v>办公</v>
      </c>
      <c r="U73" s="683">
        <f>明细表!D50</f>
        <v>14</v>
      </c>
    </row>
    <row r="74" spans="1:21">
      <c r="A74" s="142"/>
      <c r="B74" s="52"/>
      <c r="C74" s="21">
        <f t="shared" si="6"/>
        <v>1</v>
      </c>
      <c r="D74" s="2570"/>
      <c r="E74" s="21">
        <f t="shared" si="7"/>
        <v>0</v>
      </c>
      <c r="F74" s="634"/>
      <c r="G74" s="21">
        <f t="shared" si="8"/>
        <v>0.05</v>
      </c>
      <c r="H74" s="634"/>
      <c r="I74" s="21">
        <f t="shared" si="9"/>
        <v>0.05</v>
      </c>
      <c r="J74" s="634"/>
      <c r="K74" s="21">
        <f t="shared" si="10"/>
        <v>1</v>
      </c>
      <c r="L74" s="634"/>
      <c r="M74" s="21">
        <f t="shared" si="11"/>
        <v>1</v>
      </c>
      <c r="N74" s="634"/>
      <c r="O74" s="21">
        <f t="shared" si="12"/>
        <v>1</v>
      </c>
      <c r="P74" s="634"/>
      <c r="Q74" s="21">
        <f t="shared" si="13"/>
        <v>1</v>
      </c>
      <c r="R74" s="21">
        <f t="shared" si="14"/>
        <v>0</v>
      </c>
      <c r="S74" s="308">
        <f t="shared" si="5"/>
        <v>0</v>
      </c>
      <c r="T74" s="683" t="str">
        <f>明细表!G51</f>
        <v>公寓</v>
      </c>
      <c r="U74" s="683">
        <f>明细表!D51</f>
        <v>14</v>
      </c>
    </row>
    <row r="75" spans="1:21">
      <c r="A75" s="142"/>
      <c r="B75" s="52"/>
      <c r="C75" s="21">
        <f t="shared" si="6"/>
        <v>1</v>
      </c>
      <c r="D75" s="2570"/>
      <c r="E75" s="21">
        <f t="shared" si="7"/>
        <v>0</v>
      </c>
      <c r="F75" s="634"/>
      <c r="G75" s="21">
        <f t="shared" si="8"/>
        <v>0.05</v>
      </c>
      <c r="H75" s="634"/>
      <c r="I75" s="21">
        <f t="shared" si="9"/>
        <v>0.05</v>
      </c>
      <c r="J75" s="634"/>
      <c r="K75" s="21">
        <f t="shared" si="10"/>
        <v>1</v>
      </c>
      <c r="L75" s="634"/>
      <c r="M75" s="21">
        <f t="shared" si="11"/>
        <v>1</v>
      </c>
      <c r="N75" s="634"/>
      <c r="O75" s="21">
        <f t="shared" si="12"/>
        <v>1</v>
      </c>
      <c r="P75" s="634"/>
      <c r="Q75" s="21">
        <f t="shared" si="13"/>
        <v>1</v>
      </c>
      <c r="R75" s="21">
        <f t="shared" si="14"/>
        <v>0</v>
      </c>
      <c r="S75" s="308">
        <f t="shared" si="5"/>
        <v>0</v>
      </c>
      <c r="T75" s="683" t="str">
        <f>明细表!G52</f>
        <v>公寓</v>
      </c>
      <c r="U75" s="683">
        <f>明细表!D52</f>
        <v>14</v>
      </c>
    </row>
    <row r="76" spans="1:21">
      <c r="A76" s="142"/>
      <c r="B76" s="52"/>
      <c r="C76" s="21">
        <f t="shared" si="6"/>
        <v>1</v>
      </c>
      <c r="D76" s="2570"/>
      <c r="E76" s="21">
        <f t="shared" si="7"/>
        <v>0</v>
      </c>
      <c r="F76" s="634"/>
      <c r="G76" s="21">
        <f t="shared" si="8"/>
        <v>0.05</v>
      </c>
      <c r="H76" s="634"/>
      <c r="I76" s="21">
        <f t="shared" si="9"/>
        <v>0.05</v>
      </c>
      <c r="J76" s="634"/>
      <c r="K76" s="21">
        <f t="shared" si="10"/>
        <v>1</v>
      </c>
      <c r="L76" s="634"/>
      <c r="M76" s="21">
        <f t="shared" si="11"/>
        <v>1</v>
      </c>
      <c r="N76" s="634"/>
      <c r="O76" s="21">
        <f t="shared" si="12"/>
        <v>1</v>
      </c>
      <c r="P76" s="634"/>
      <c r="Q76" s="21">
        <f t="shared" si="13"/>
        <v>1</v>
      </c>
      <c r="R76" s="21">
        <f t="shared" si="14"/>
        <v>0</v>
      </c>
      <c r="S76" s="308">
        <f t="shared" si="5"/>
        <v>0</v>
      </c>
      <c r="T76" s="683" t="str">
        <f>明细表!G53</f>
        <v>公寓</v>
      </c>
      <c r="U76" s="683">
        <f>明细表!D53</f>
        <v>14</v>
      </c>
    </row>
    <row r="77" spans="1:21">
      <c r="A77" s="142"/>
      <c r="B77" s="52"/>
      <c r="C77" s="21">
        <f t="shared" si="6"/>
        <v>1</v>
      </c>
      <c r="D77" s="2570"/>
      <c r="E77" s="21">
        <f t="shared" si="7"/>
        <v>0</v>
      </c>
      <c r="F77" s="634"/>
      <c r="G77" s="21">
        <f t="shared" si="8"/>
        <v>0.05</v>
      </c>
      <c r="H77" s="634"/>
      <c r="I77" s="21">
        <f t="shared" si="9"/>
        <v>0.05</v>
      </c>
      <c r="J77" s="634"/>
      <c r="K77" s="21">
        <f t="shared" si="10"/>
        <v>1</v>
      </c>
      <c r="L77" s="634"/>
      <c r="M77" s="21">
        <f t="shared" si="11"/>
        <v>1</v>
      </c>
      <c r="N77" s="634"/>
      <c r="O77" s="21">
        <f t="shared" si="12"/>
        <v>1</v>
      </c>
      <c r="P77" s="634"/>
      <c r="Q77" s="21">
        <f t="shared" si="13"/>
        <v>1</v>
      </c>
      <c r="R77" s="21">
        <f t="shared" si="14"/>
        <v>0</v>
      </c>
      <c r="S77" s="308">
        <f t="shared" si="5"/>
        <v>0</v>
      </c>
      <c r="T77" s="683" t="str">
        <f>明细表!G54</f>
        <v>公寓</v>
      </c>
      <c r="U77" s="683">
        <f>明细表!D54</f>
        <v>14</v>
      </c>
    </row>
    <row r="78" spans="1:21">
      <c r="A78" s="142"/>
      <c r="B78" s="52"/>
      <c r="C78" s="21">
        <f t="shared" si="6"/>
        <v>1</v>
      </c>
      <c r="D78" s="2570"/>
      <c r="E78" s="21">
        <f t="shared" si="7"/>
        <v>0</v>
      </c>
      <c r="F78" s="634"/>
      <c r="G78" s="21">
        <f t="shared" si="8"/>
        <v>0.05</v>
      </c>
      <c r="H78" s="634"/>
      <c r="I78" s="21">
        <f t="shared" si="9"/>
        <v>0.05</v>
      </c>
      <c r="J78" s="634"/>
      <c r="K78" s="21">
        <f t="shared" si="10"/>
        <v>1</v>
      </c>
      <c r="L78" s="634"/>
      <c r="M78" s="21">
        <f t="shared" si="11"/>
        <v>1</v>
      </c>
      <c r="N78" s="634"/>
      <c r="O78" s="21">
        <f t="shared" si="12"/>
        <v>1</v>
      </c>
      <c r="P78" s="634"/>
      <c r="Q78" s="21">
        <f t="shared" si="13"/>
        <v>1</v>
      </c>
      <c r="R78" s="21">
        <f t="shared" si="14"/>
        <v>0</v>
      </c>
      <c r="S78" s="308">
        <f t="shared" si="5"/>
        <v>0</v>
      </c>
      <c r="T78" s="683" t="str">
        <f>明细表!G55</f>
        <v>公寓</v>
      </c>
      <c r="U78" s="683">
        <f>明细表!D55</f>
        <v>14</v>
      </c>
    </row>
    <row r="79" spans="1:21">
      <c r="A79" s="142"/>
      <c r="B79" s="52"/>
      <c r="C79" s="21">
        <f t="shared" si="6"/>
        <v>1</v>
      </c>
      <c r="D79" s="2570"/>
      <c r="E79" s="21">
        <f t="shared" si="7"/>
        <v>0</v>
      </c>
      <c r="F79" s="634"/>
      <c r="G79" s="21">
        <f t="shared" si="8"/>
        <v>0.05</v>
      </c>
      <c r="H79" s="634"/>
      <c r="I79" s="21">
        <f t="shared" si="9"/>
        <v>0.05</v>
      </c>
      <c r="J79" s="634"/>
      <c r="K79" s="21">
        <f t="shared" si="10"/>
        <v>1</v>
      </c>
      <c r="L79" s="634"/>
      <c r="M79" s="21">
        <f t="shared" si="11"/>
        <v>1</v>
      </c>
      <c r="N79" s="634"/>
      <c r="O79" s="21">
        <f t="shared" si="12"/>
        <v>1</v>
      </c>
      <c r="P79" s="634"/>
      <c r="Q79" s="21">
        <f t="shared" si="13"/>
        <v>1</v>
      </c>
      <c r="R79" s="21">
        <f t="shared" si="14"/>
        <v>0</v>
      </c>
      <c r="S79" s="308">
        <f t="shared" si="5"/>
        <v>0</v>
      </c>
      <c r="T79" s="683" t="str">
        <f>明细表!G56</f>
        <v>公寓</v>
      </c>
      <c r="U79" s="683">
        <f>明细表!D56</f>
        <v>15</v>
      </c>
    </row>
    <row r="80" spans="1:21">
      <c r="A80" s="142"/>
      <c r="B80" s="52"/>
      <c r="C80" s="21">
        <f t="shared" si="6"/>
        <v>1</v>
      </c>
      <c r="D80" s="2570"/>
      <c r="E80" s="21">
        <f t="shared" si="7"/>
        <v>0</v>
      </c>
      <c r="F80" s="634"/>
      <c r="G80" s="21">
        <f t="shared" si="8"/>
        <v>0.05</v>
      </c>
      <c r="H80" s="634"/>
      <c r="I80" s="21">
        <f t="shared" si="9"/>
        <v>0.05</v>
      </c>
      <c r="J80" s="634"/>
      <c r="K80" s="21">
        <f t="shared" si="10"/>
        <v>1</v>
      </c>
      <c r="L80" s="634"/>
      <c r="M80" s="21">
        <f t="shared" si="11"/>
        <v>1</v>
      </c>
      <c r="N80" s="634"/>
      <c r="O80" s="21">
        <f t="shared" si="12"/>
        <v>1</v>
      </c>
      <c r="P80" s="634"/>
      <c r="Q80" s="21">
        <f t="shared" si="13"/>
        <v>1</v>
      </c>
      <c r="R80" s="21">
        <f t="shared" si="14"/>
        <v>0</v>
      </c>
      <c r="S80" s="308">
        <f t="shared" si="5"/>
        <v>0</v>
      </c>
      <c r="T80" s="683" t="str">
        <f>明细表!G57</f>
        <v>公寓</v>
      </c>
      <c r="U80" s="683">
        <f>明细表!D57</f>
        <v>15</v>
      </c>
    </row>
    <row r="81" spans="1:21">
      <c r="A81" s="142"/>
      <c r="B81" s="52"/>
      <c r="C81" s="21">
        <f t="shared" si="6"/>
        <v>1</v>
      </c>
      <c r="D81" s="2570"/>
      <c r="E81" s="21">
        <f t="shared" si="7"/>
        <v>0</v>
      </c>
      <c r="F81" s="634"/>
      <c r="G81" s="21">
        <f t="shared" si="8"/>
        <v>0.05</v>
      </c>
      <c r="H81" s="634"/>
      <c r="I81" s="21">
        <f t="shared" si="9"/>
        <v>0.05</v>
      </c>
      <c r="J81" s="634"/>
      <c r="K81" s="21">
        <f t="shared" si="10"/>
        <v>1</v>
      </c>
      <c r="L81" s="634"/>
      <c r="M81" s="21">
        <f t="shared" si="11"/>
        <v>1</v>
      </c>
      <c r="N81" s="634"/>
      <c r="O81" s="21">
        <f t="shared" si="12"/>
        <v>1</v>
      </c>
      <c r="P81" s="634"/>
      <c r="Q81" s="21">
        <f t="shared" si="13"/>
        <v>1</v>
      </c>
      <c r="R81" s="21">
        <f t="shared" si="14"/>
        <v>0</v>
      </c>
      <c r="S81" s="308">
        <f t="shared" si="5"/>
        <v>0</v>
      </c>
      <c r="T81" s="683" t="str">
        <f>明细表!G58</f>
        <v>公寓</v>
      </c>
      <c r="U81" s="683">
        <f>明细表!D58</f>
        <v>15</v>
      </c>
    </row>
    <row r="82" spans="1:21">
      <c r="A82" s="142"/>
      <c r="B82" s="52"/>
      <c r="C82" s="21">
        <f t="shared" si="6"/>
        <v>1</v>
      </c>
      <c r="D82" s="2570"/>
      <c r="E82" s="21">
        <f t="shared" si="7"/>
        <v>0</v>
      </c>
      <c r="F82" s="634"/>
      <c r="G82" s="21">
        <f t="shared" si="8"/>
        <v>0.05</v>
      </c>
      <c r="H82" s="634"/>
      <c r="I82" s="21">
        <f t="shared" si="9"/>
        <v>0.05</v>
      </c>
      <c r="J82" s="634"/>
      <c r="K82" s="21">
        <f t="shared" si="10"/>
        <v>1</v>
      </c>
      <c r="L82" s="634"/>
      <c r="M82" s="21">
        <f t="shared" si="11"/>
        <v>1</v>
      </c>
      <c r="N82" s="634"/>
      <c r="O82" s="21">
        <f t="shared" si="12"/>
        <v>1</v>
      </c>
      <c r="P82" s="634"/>
      <c r="Q82" s="21">
        <f t="shared" si="13"/>
        <v>1</v>
      </c>
      <c r="R82" s="21">
        <f t="shared" si="14"/>
        <v>0</v>
      </c>
      <c r="S82" s="308">
        <f t="shared" si="5"/>
        <v>0</v>
      </c>
      <c r="T82" s="683" t="str">
        <f>明细表!G59</f>
        <v>公寓</v>
      </c>
      <c r="U82" s="683">
        <f>明细表!D59</f>
        <v>15</v>
      </c>
    </row>
    <row r="83" spans="1:21">
      <c r="A83" s="142"/>
      <c r="B83" s="52"/>
      <c r="C83" s="21">
        <f t="shared" si="6"/>
        <v>1</v>
      </c>
      <c r="D83" s="2570"/>
      <c r="E83" s="21">
        <f t="shared" si="7"/>
        <v>0</v>
      </c>
      <c r="F83" s="634"/>
      <c r="G83" s="21">
        <f t="shared" si="8"/>
        <v>0.05</v>
      </c>
      <c r="H83" s="634"/>
      <c r="I83" s="21">
        <f t="shared" si="9"/>
        <v>0.05</v>
      </c>
      <c r="J83" s="634"/>
      <c r="K83" s="21">
        <f t="shared" si="10"/>
        <v>1</v>
      </c>
      <c r="L83" s="634"/>
      <c r="M83" s="21">
        <f t="shared" si="11"/>
        <v>1</v>
      </c>
      <c r="N83" s="634"/>
      <c r="O83" s="21">
        <f t="shared" si="12"/>
        <v>1</v>
      </c>
      <c r="P83" s="634"/>
      <c r="Q83" s="21">
        <f t="shared" si="13"/>
        <v>1</v>
      </c>
      <c r="R83" s="21">
        <f t="shared" si="14"/>
        <v>0</v>
      </c>
      <c r="S83" s="308">
        <f t="shared" si="5"/>
        <v>0</v>
      </c>
      <c r="T83" s="683" t="str">
        <f>明细表!G60</f>
        <v>公寓</v>
      </c>
      <c r="U83" s="683">
        <f>明细表!D60</f>
        <v>15</v>
      </c>
    </row>
    <row r="84" spans="1:21">
      <c r="A84" s="142"/>
      <c r="B84" s="52"/>
      <c r="C84" s="21">
        <f t="shared" si="6"/>
        <v>1</v>
      </c>
      <c r="D84" s="2570"/>
      <c r="E84" s="21">
        <f t="shared" si="7"/>
        <v>0</v>
      </c>
      <c r="F84" s="634"/>
      <c r="G84" s="21">
        <f t="shared" si="8"/>
        <v>0.05</v>
      </c>
      <c r="H84" s="634"/>
      <c r="I84" s="21">
        <f t="shared" si="9"/>
        <v>0.05</v>
      </c>
      <c r="J84" s="634"/>
      <c r="K84" s="21">
        <f t="shared" si="10"/>
        <v>1</v>
      </c>
      <c r="L84" s="634"/>
      <c r="M84" s="21">
        <f t="shared" si="11"/>
        <v>1</v>
      </c>
      <c r="N84" s="634"/>
      <c r="O84" s="21">
        <f t="shared" si="12"/>
        <v>1</v>
      </c>
      <c r="P84" s="634"/>
      <c r="Q84" s="21">
        <f t="shared" si="13"/>
        <v>1</v>
      </c>
      <c r="R84" s="21">
        <f t="shared" si="14"/>
        <v>0</v>
      </c>
      <c r="S84" s="308">
        <f t="shared" si="5"/>
        <v>0</v>
      </c>
      <c r="T84" s="683" t="str">
        <f>明细表!G61</f>
        <v>公寓</v>
      </c>
      <c r="U84" s="683">
        <f>明细表!D61</f>
        <v>15</v>
      </c>
    </row>
    <row r="85" spans="1:21">
      <c r="A85" s="142"/>
      <c r="B85" s="52"/>
      <c r="C85" s="21">
        <f t="shared" si="6"/>
        <v>1</v>
      </c>
      <c r="D85" s="2570"/>
      <c r="E85" s="21">
        <f t="shared" si="7"/>
        <v>0</v>
      </c>
      <c r="F85" s="634"/>
      <c r="G85" s="21">
        <f t="shared" si="8"/>
        <v>0.05</v>
      </c>
      <c r="H85" s="634"/>
      <c r="I85" s="21">
        <f t="shared" si="9"/>
        <v>0.05</v>
      </c>
      <c r="J85" s="634"/>
      <c r="K85" s="21">
        <f t="shared" si="10"/>
        <v>1</v>
      </c>
      <c r="L85" s="634"/>
      <c r="M85" s="21">
        <f t="shared" si="11"/>
        <v>1</v>
      </c>
      <c r="N85" s="634"/>
      <c r="O85" s="21">
        <f t="shared" si="12"/>
        <v>1</v>
      </c>
      <c r="P85" s="634"/>
      <c r="Q85" s="21">
        <f t="shared" si="13"/>
        <v>1</v>
      </c>
      <c r="R85" s="21">
        <f t="shared" si="14"/>
        <v>0</v>
      </c>
      <c r="S85" s="308">
        <f t="shared" si="5"/>
        <v>0</v>
      </c>
      <c r="T85" s="683" t="str">
        <f>明细表!G62</f>
        <v>公寓</v>
      </c>
      <c r="U85" s="683">
        <f>明细表!D62</f>
        <v>15</v>
      </c>
    </row>
    <row r="86" spans="1:21">
      <c r="A86" s="142"/>
      <c r="B86" s="52"/>
      <c r="C86" s="21">
        <f t="shared" si="6"/>
        <v>1</v>
      </c>
      <c r="D86" s="2570"/>
      <c r="E86" s="21">
        <f t="shared" si="7"/>
        <v>0</v>
      </c>
      <c r="F86" s="634"/>
      <c r="G86" s="21">
        <f t="shared" si="8"/>
        <v>0.05</v>
      </c>
      <c r="H86" s="634"/>
      <c r="I86" s="21">
        <f t="shared" si="9"/>
        <v>0.05</v>
      </c>
      <c r="J86" s="634"/>
      <c r="K86" s="21">
        <f t="shared" si="10"/>
        <v>1</v>
      </c>
      <c r="L86" s="634"/>
      <c r="M86" s="21">
        <f t="shared" si="11"/>
        <v>1</v>
      </c>
      <c r="N86" s="634"/>
      <c r="O86" s="21">
        <f t="shared" si="12"/>
        <v>1</v>
      </c>
      <c r="P86" s="634"/>
      <c r="Q86" s="21">
        <f t="shared" si="13"/>
        <v>1</v>
      </c>
      <c r="R86" s="21">
        <f t="shared" si="14"/>
        <v>0</v>
      </c>
      <c r="S86" s="308">
        <f t="shared" si="5"/>
        <v>0</v>
      </c>
      <c r="T86" s="683" t="str">
        <f>明细表!G63</f>
        <v>公寓</v>
      </c>
      <c r="U86" s="683">
        <f>明细表!D63</f>
        <v>15</v>
      </c>
    </row>
    <row r="87" spans="1:21">
      <c r="A87" s="142"/>
      <c r="B87" s="52"/>
      <c r="C87" s="21">
        <f t="shared" si="6"/>
        <v>1</v>
      </c>
      <c r="D87" s="2570"/>
      <c r="E87" s="21">
        <f t="shared" si="7"/>
        <v>0</v>
      </c>
      <c r="F87" s="634"/>
      <c r="G87" s="21">
        <f t="shared" si="8"/>
        <v>0.05</v>
      </c>
      <c r="H87" s="634"/>
      <c r="I87" s="21">
        <f t="shared" si="9"/>
        <v>0.05</v>
      </c>
      <c r="J87" s="634"/>
      <c r="K87" s="21">
        <f t="shared" si="10"/>
        <v>1</v>
      </c>
      <c r="L87" s="634"/>
      <c r="M87" s="21">
        <f t="shared" si="11"/>
        <v>1</v>
      </c>
      <c r="N87" s="634"/>
      <c r="O87" s="21">
        <f t="shared" si="12"/>
        <v>1</v>
      </c>
      <c r="P87" s="634"/>
      <c r="Q87" s="21">
        <f t="shared" si="13"/>
        <v>1</v>
      </c>
      <c r="R87" s="21">
        <f t="shared" si="14"/>
        <v>0</v>
      </c>
      <c r="S87" s="308">
        <f t="shared" si="5"/>
        <v>0</v>
      </c>
      <c r="T87" s="683" t="str">
        <f>明细表!G64</f>
        <v>公寓</v>
      </c>
      <c r="U87" s="683">
        <f>明细表!D64</f>
        <v>16</v>
      </c>
    </row>
    <row r="88" spans="1:21">
      <c r="A88" s="142"/>
      <c r="B88" s="52"/>
      <c r="C88" s="21">
        <f t="shared" si="6"/>
        <v>1</v>
      </c>
      <c r="D88" s="2570"/>
      <c r="E88" s="21">
        <f t="shared" si="7"/>
        <v>0</v>
      </c>
      <c r="F88" s="634"/>
      <c r="G88" s="21">
        <f t="shared" si="8"/>
        <v>0.05</v>
      </c>
      <c r="H88" s="634"/>
      <c r="I88" s="21">
        <f t="shared" si="9"/>
        <v>0.05</v>
      </c>
      <c r="J88" s="634"/>
      <c r="K88" s="21">
        <f t="shared" si="10"/>
        <v>1</v>
      </c>
      <c r="L88" s="634"/>
      <c r="M88" s="21">
        <f t="shared" si="11"/>
        <v>1</v>
      </c>
      <c r="N88" s="634"/>
      <c r="O88" s="21">
        <f t="shared" si="12"/>
        <v>1</v>
      </c>
      <c r="P88" s="634"/>
      <c r="Q88" s="21">
        <f t="shared" si="13"/>
        <v>1</v>
      </c>
      <c r="R88" s="21">
        <f t="shared" si="14"/>
        <v>0</v>
      </c>
      <c r="S88" s="308">
        <f t="shared" ref="S88:S151" si="15">ROUND(R88*B88/10000,0)</f>
        <v>0</v>
      </c>
      <c r="T88" s="683" t="str">
        <f>明细表!G65</f>
        <v>公寓</v>
      </c>
      <c r="U88" s="683">
        <f>明细表!D65</f>
        <v>16</v>
      </c>
    </row>
    <row r="89" spans="1:21">
      <c r="A89" s="142"/>
      <c r="B89" s="52"/>
      <c r="C89" s="21">
        <f t="shared" si="6"/>
        <v>1</v>
      </c>
      <c r="D89" s="2570"/>
      <c r="E89" s="21">
        <f t="shared" si="7"/>
        <v>0</v>
      </c>
      <c r="F89" s="634"/>
      <c r="G89" s="21">
        <f t="shared" si="8"/>
        <v>0.05</v>
      </c>
      <c r="H89" s="634"/>
      <c r="I89" s="21">
        <f t="shared" si="9"/>
        <v>0.05</v>
      </c>
      <c r="J89" s="634"/>
      <c r="K89" s="21">
        <f t="shared" si="10"/>
        <v>1</v>
      </c>
      <c r="L89" s="634"/>
      <c r="M89" s="21">
        <f t="shared" si="11"/>
        <v>1</v>
      </c>
      <c r="N89" s="634"/>
      <c r="O89" s="21">
        <f t="shared" si="12"/>
        <v>1</v>
      </c>
      <c r="P89" s="634"/>
      <c r="Q89" s="21">
        <f t="shared" si="13"/>
        <v>1</v>
      </c>
      <c r="R89" s="21">
        <f t="shared" si="14"/>
        <v>0</v>
      </c>
      <c r="S89" s="308">
        <f t="shared" si="15"/>
        <v>0</v>
      </c>
      <c r="T89" s="683" t="str">
        <f>明细表!G66</f>
        <v>公寓</v>
      </c>
      <c r="U89" s="683">
        <f>明细表!D66</f>
        <v>16</v>
      </c>
    </row>
    <row r="90" spans="1:21">
      <c r="A90" s="142"/>
      <c r="B90" s="52"/>
      <c r="C90" s="21">
        <f t="shared" ref="C90:C153" si="16">IF(B90="",1,(LOOKUP(B90,$3:$3,$4:$4)-LOOKUP($B$24,$3:$3,$4:$4)+100)/100)</f>
        <v>1</v>
      </c>
      <c r="D90" s="2570"/>
      <c r="E90" s="21">
        <f t="shared" ref="E90:E153" si="17">(SUMIF($5:$5,D90,$6:$6)-SUMIF($5:$5,$D$24,$6:$6)+100)/100</f>
        <v>0</v>
      </c>
      <c r="F90" s="634"/>
      <c r="G90" s="21">
        <f t="shared" ref="G90:G153" si="18">(SUMIF($7:$7,F90,$8:$8)-SUMIF($7:$7,$F$24,$8:$8)+100)/100</f>
        <v>0.05</v>
      </c>
      <c r="H90" s="634"/>
      <c r="I90" s="21">
        <f t="shared" ref="I90:I153" si="19">(SUMIF($9:$9,H90,$10:$10)-SUMIF($9:$9,$H$24,$10:$10)+100)/100</f>
        <v>0.05</v>
      </c>
      <c r="J90" s="634"/>
      <c r="K90" s="21">
        <f t="shared" ref="K90:K153" si="20">(SUMIF($11:$11,J90,$12:$12)-SUMIF($11:$11,$J$24,$12:$12)+100)/100</f>
        <v>1</v>
      </c>
      <c r="L90" s="634"/>
      <c r="M90" s="21">
        <f t="shared" ref="M90:M153" si="21">(SUMIF($13:$13,L90,$14:$14)-SUMIF($13:$13,$L$24,$14:$14)+100)/100</f>
        <v>1</v>
      </c>
      <c r="N90" s="634"/>
      <c r="O90" s="21">
        <f t="shared" ref="O90:O153" si="22">(SUMIF($15:$15,N90,$16:$16)-SUMIF($15:$15,$N$24,$16:$16)+100)/100</f>
        <v>1</v>
      </c>
      <c r="P90" s="634"/>
      <c r="Q90" s="21">
        <f t="shared" ref="Q90:Q153" si="23">(SUMIF($17:$17,P90,$18:$18)-SUMIF($17:$17,$P$24,$18:$18)+100)/100</f>
        <v>1</v>
      </c>
      <c r="R90" s="21">
        <f t="shared" ref="R90:R153" si="24">IF(B90="",0,ROUND($R$24*C90*E90*G90*I90*K90*M90*O90*Q90,0))</f>
        <v>0</v>
      </c>
      <c r="S90" s="308">
        <f t="shared" si="15"/>
        <v>0</v>
      </c>
      <c r="T90" s="683" t="str">
        <f>明细表!G67</f>
        <v>公寓</v>
      </c>
      <c r="U90" s="683">
        <f>明细表!D67</f>
        <v>16</v>
      </c>
    </row>
    <row r="91" spans="1:21">
      <c r="A91" s="142"/>
      <c r="B91" s="52"/>
      <c r="C91" s="21">
        <f t="shared" si="16"/>
        <v>1</v>
      </c>
      <c r="D91" s="2570"/>
      <c r="E91" s="21">
        <f t="shared" si="17"/>
        <v>0</v>
      </c>
      <c r="F91" s="634"/>
      <c r="G91" s="21">
        <f t="shared" si="18"/>
        <v>0.05</v>
      </c>
      <c r="H91" s="634"/>
      <c r="I91" s="21">
        <f t="shared" si="19"/>
        <v>0.05</v>
      </c>
      <c r="J91" s="634"/>
      <c r="K91" s="21">
        <f t="shared" si="20"/>
        <v>1</v>
      </c>
      <c r="L91" s="634"/>
      <c r="M91" s="21">
        <f t="shared" si="21"/>
        <v>1</v>
      </c>
      <c r="N91" s="634"/>
      <c r="O91" s="21">
        <f t="shared" si="22"/>
        <v>1</v>
      </c>
      <c r="P91" s="634"/>
      <c r="Q91" s="21">
        <f t="shared" si="23"/>
        <v>1</v>
      </c>
      <c r="R91" s="21">
        <f t="shared" si="24"/>
        <v>0</v>
      </c>
      <c r="S91" s="308">
        <f t="shared" si="15"/>
        <v>0</v>
      </c>
      <c r="T91" s="683" t="str">
        <f>明细表!G68</f>
        <v>公寓</v>
      </c>
      <c r="U91" s="683">
        <f>明细表!D68</f>
        <v>16</v>
      </c>
    </row>
    <row r="92" spans="1:21">
      <c r="A92" s="142"/>
      <c r="B92" s="52"/>
      <c r="C92" s="21">
        <f t="shared" si="16"/>
        <v>1</v>
      </c>
      <c r="D92" s="2570"/>
      <c r="E92" s="21">
        <f t="shared" si="17"/>
        <v>0</v>
      </c>
      <c r="F92" s="634"/>
      <c r="G92" s="21">
        <f t="shared" si="18"/>
        <v>0.05</v>
      </c>
      <c r="H92" s="634"/>
      <c r="I92" s="21">
        <f t="shared" si="19"/>
        <v>0.05</v>
      </c>
      <c r="J92" s="634"/>
      <c r="K92" s="21">
        <f t="shared" si="20"/>
        <v>1</v>
      </c>
      <c r="L92" s="634"/>
      <c r="M92" s="21">
        <f t="shared" si="21"/>
        <v>1</v>
      </c>
      <c r="N92" s="634"/>
      <c r="O92" s="21">
        <f t="shared" si="22"/>
        <v>1</v>
      </c>
      <c r="P92" s="634"/>
      <c r="Q92" s="21">
        <f t="shared" si="23"/>
        <v>1</v>
      </c>
      <c r="R92" s="21">
        <f t="shared" si="24"/>
        <v>0</v>
      </c>
      <c r="S92" s="308">
        <f t="shared" si="15"/>
        <v>0</v>
      </c>
      <c r="T92" s="683" t="str">
        <f>明细表!G69</f>
        <v>公寓</v>
      </c>
      <c r="U92" s="683">
        <f>明细表!D69</f>
        <v>16</v>
      </c>
    </row>
    <row r="93" spans="1:21">
      <c r="A93" s="142"/>
      <c r="B93" s="52"/>
      <c r="C93" s="21">
        <f t="shared" si="16"/>
        <v>1</v>
      </c>
      <c r="D93" s="2570"/>
      <c r="E93" s="21">
        <f t="shared" si="17"/>
        <v>0</v>
      </c>
      <c r="F93" s="634"/>
      <c r="G93" s="21">
        <f t="shared" si="18"/>
        <v>0.05</v>
      </c>
      <c r="H93" s="634"/>
      <c r="I93" s="21">
        <f t="shared" si="19"/>
        <v>0.05</v>
      </c>
      <c r="J93" s="634"/>
      <c r="K93" s="21">
        <f t="shared" si="20"/>
        <v>1</v>
      </c>
      <c r="L93" s="634"/>
      <c r="M93" s="21">
        <f t="shared" si="21"/>
        <v>1</v>
      </c>
      <c r="N93" s="634"/>
      <c r="O93" s="21">
        <f t="shared" si="22"/>
        <v>1</v>
      </c>
      <c r="P93" s="634"/>
      <c r="Q93" s="21">
        <f t="shared" si="23"/>
        <v>1</v>
      </c>
      <c r="R93" s="21">
        <f t="shared" si="24"/>
        <v>0</v>
      </c>
      <c r="S93" s="308">
        <f t="shared" si="15"/>
        <v>0</v>
      </c>
      <c r="T93" s="683" t="str">
        <f>明细表!G70</f>
        <v>办公</v>
      </c>
      <c r="U93" s="683">
        <f>明细表!D70</f>
        <v>2</v>
      </c>
    </row>
    <row r="94" spans="1:21">
      <c r="A94" s="142"/>
      <c r="B94" s="52"/>
      <c r="C94" s="21">
        <f t="shared" si="16"/>
        <v>1</v>
      </c>
      <c r="D94" s="2570"/>
      <c r="E94" s="21">
        <f t="shared" si="17"/>
        <v>0</v>
      </c>
      <c r="F94" s="634"/>
      <c r="G94" s="21">
        <f t="shared" si="18"/>
        <v>0.05</v>
      </c>
      <c r="H94" s="634"/>
      <c r="I94" s="21">
        <f t="shared" si="19"/>
        <v>0.05</v>
      </c>
      <c r="J94" s="634"/>
      <c r="K94" s="21">
        <f t="shared" si="20"/>
        <v>1</v>
      </c>
      <c r="L94" s="634"/>
      <c r="M94" s="21">
        <f t="shared" si="21"/>
        <v>1</v>
      </c>
      <c r="N94" s="634"/>
      <c r="O94" s="21">
        <f t="shared" si="22"/>
        <v>1</v>
      </c>
      <c r="P94" s="634"/>
      <c r="Q94" s="21">
        <f t="shared" si="23"/>
        <v>1</v>
      </c>
      <c r="R94" s="21">
        <f t="shared" si="24"/>
        <v>0</v>
      </c>
      <c r="S94" s="308">
        <f t="shared" si="15"/>
        <v>0</v>
      </c>
      <c r="T94" s="683" t="str">
        <f>明细表!G71</f>
        <v>办公</v>
      </c>
      <c r="U94" s="683">
        <f>明细表!D71</f>
        <v>2</v>
      </c>
    </row>
    <row r="95" spans="1:21">
      <c r="A95" s="142"/>
      <c r="B95" s="52"/>
      <c r="C95" s="21">
        <f t="shared" si="16"/>
        <v>1</v>
      </c>
      <c r="D95" s="2570"/>
      <c r="E95" s="21">
        <f t="shared" si="17"/>
        <v>0</v>
      </c>
      <c r="F95" s="634"/>
      <c r="G95" s="21">
        <f t="shared" si="18"/>
        <v>0.05</v>
      </c>
      <c r="H95" s="634"/>
      <c r="I95" s="21">
        <f t="shared" si="19"/>
        <v>0.05</v>
      </c>
      <c r="J95" s="634"/>
      <c r="K95" s="21">
        <f t="shared" si="20"/>
        <v>1</v>
      </c>
      <c r="L95" s="634"/>
      <c r="M95" s="21">
        <f t="shared" si="21"/>
        <v>1</v>
      </c>
      <c r="N95" s="634"/>
      <c r="O95" s="21">
        <f t="shared" si="22"/>
        <v>1</v>
      </c>
      <c r="P95" s="634"/>
      <c r="Q95" s="21">
        <f t="shared" si="23"/>
        <v>1</v>
      </c>
      <c r="R95" s="21">
        <f t="shared" si="24"/>
        <v>0</v>
      </c>
      <c r="S95" s="308">
        <f t="shared" si="15"/>
        <v>0</v>
      </c>
      <c r="T95" s="683" t="str">
        <f>明细表!G72</f>
        <v>办公</v>
      </c>
      <c r="U95" s="683">
        <f>明细表!D72</f>
        <v>2</v>
      </c>
    </row>
    <row r="96" spans="1:21">
      <c r="A96" s="142"/>
      <c r="B96" s="52"/>
      <c r="C96" s="21">
        <f t="shared" si="16"/>
        <v>1</v>
      </c>
      <c r="D96" s="2570"/>
      <c r="E96" s="21">
        <f t="shared" si="17"/>
        <v>0</v>
      </c>
      <c r="F96" s="634"/>
      <c r="G96" s="21">
        <f t="shared" si="18"/>
        <v>0.05</v>
      </c>
      <c r="H96" s="634"/>
      <c r="I96" s="21">
        <f t="shared" si="19"/>
        <v>0.05</v>
      </c>
      <c r="J96" s="634"/>
      <c r="K96" s="21">
        <f t="shared" si="20"/>
        <v>1</v>
      </c>
      <c r="L96" s="634"/>
      <c r="M96" s="21">
        <f t="shared" si="21"/>
        <v>1</v>
      </c>
      <c r="N96" s="634"/>
      <c r="O96" s="21">
        <f t="shared" si="22"/>
        <v>1</v>
      </c>
      <c r="P96" s="634"/>
      <c r="Q96" s="21">
        <f t="shared" si="23"/>
        <v>1</v>
      </c>
      <c r="R96" s="21">
        <f t="shared" si="24"/>
        <v>0</v>
      </c>
      <c r="S96" s="308">
        <f t="shared" si="15"/>
        <v>0</v>
      </c>
      <c r="T96" s="683" t="str">
        <f>明细表!G73</f>
        <v>办公</v>
      </c>
      <c r="U96" s="683">
        <f>明细表!D73</f>
        <v>2</v>
      </c>
    </row>
    <row r="97" spans="1:21">
      <c r="A97" s="142"/>
      <c r="B97" s="52"/>
      <c r="C97" s="21">
        <f t="shared" si="16"/>
        <v>1</v>
      </c>
      <c r="D97" s="2570"/>
      <c r="E97" s="21">
        <f t="shared" si="17"/>
        <v>0</v>
      </c>
      <c r="F97" s="634"/>
      <c r="G97" s="21">
        <f t="shared" si="18"/>
        <v>0.05</v>
      </c>
      <c r="H97" s="634"/>
      <c r="I97" s="21">
        <f t="shared" si="19"/>
        <v>0.05</v>
      </c>
      <c r="J97" s="634"/>
      <c r="K97" s="21">
        <f t="shared" si="20"/>
        <v>1</v>
      </c>
      <c r="L97" s="634"/>
      <c r="M97" s="21">
        <f t="shared" si="21"/>
        <v>1</v>
      </c>
      <c r="N97" s="634"/>
      <c r="O97" s="21">
        <f t="shared" si="22"/>
        <v>1</v>
      </c>
      <c r="P97" s="634"/>
      <c r="Q97" s="21">
        <f t="shared" si="23"/>
        <v>1</v>
      </c>
      <c r="R97" s="21">
        <f t="shared" si="24"/>
        <v>0</v>
      </c>
      <c r="S97" s="308">
        <f t="shared" si="15"/>
        <v>0</v>
      </c>
      <c r="T97" s="683" t="str">
        <f>明细表!G74</f>
        <v>办公</v>
      </c>
      <c r="U97" s="683">
        <f>明细表!D74</f>
        <v>2</v>
      </c>
    </row>
    <row r="98" spans="1:21">
      <c r="A98" s="142"/>
      <c r="B98" s="52"/>
      <c r="C98" s="21">
        <f t="shared" si="16"/>
        <v>1</v>
      </c>
      <c r="D98" s="2570"/>
      <c r="E98" s="21">
        <f t="shared" si="17"/>
        <v>0</v>
      </c>
      <c r="F98" s="634"/>
      <c r="G98" s="21">
        <f t="shared" si="18"/>
        <v>0.05</v>
      </c>
      <c r="H98" s="634"/>
      <c r="I98" s="21">
        <f t="shared" si="19"/>
        <v>0.05</v>
      </c>
      <c r="J98" s="634"/>
      <c r="K98" s="21">
        <f t="shared" si="20"/>
        <v>1</v>
      </c>
      <c r="L98" s="634"/>
      <c r="M98" s="21">
        <f t="shared" si="21"/>
        <v>1</v>
      </c>
      <c r="N98" s="634"/>
      <c r="O98" s="21">
        <f t="shared" si="22"/>
        <v>1</v>
      </c>
      <c r="P98" s="634"/>
      <c r="Q98" s="21">
        <f t="shared" si="23"/>
        <v>1</v>
      </c>
      <c r="R98" s="21">
        <f t="shared" si="24"/>
        <v>0</v>
      </c>
      <c r="S98" s="308">
        <f t="shared" si="15"/>
        <v>0</v>
      </c>
      <c r="T98" s="683" t="str">
        <f>明细表!G75</f>
        <v>办公</v>
      </c>
      <c r="U98" s="683">
        <f>明细表!D75</f>
        <v>2</v>
      </c>
    </row>
    <row r="99" spans="1:21">
      <c r="A99" s="142"/>
      <c r="B99" s="52"/>
      <c r="C99" s="21">
        <f t="shared" si="16"/>
        <v>1</v>
      </c>
      <c r="D99" s="2570"/>
      <c r="E99" s="21">
        <f t="shared" si="17"/>
        <v>0</v>
      </c>
      <c r="F99" s="634"/>
      <c r="G99" s="21">
        <f t="shared" si="18"/>
        <v>0.05</v>
      </c>
      <c r="H99" s="634"/>
      <c r="I99" s="21">
        <f t="shared" si="19"/>
        <v>0.05</v>
      </c>
      <c r="J99" s="634"/>
      <c r="K99" s="21">
        <f t="shared" si="20"/>
        <v>1</v>
      </c>
      <c r="L99" s="634"/>
      <c r="M99" s="21">
        <f t="shared" si="21"/>
        <v>1</v>
      </c>
      <c r="N99" s="634"/>
      <c r="O99" s="21">
        <f t="shared" si="22"/>
        <v>1</v>
      </c>
      <c r="P99" s="634"/>
      <c r="Q99" s="21">
        <f t="shared" si="23"/>
        <v>1</v>
      </c>
      <c r="R99" s="21">
        <f t="shared" si="24"/>
        <v>0</v>
      </c>
      <c r="S99" s="308">
        <f t="shared" si="15"/>
        <v>0</v>
      </c>
      <c r="T99" s="683" t="str">
        <f>明细表!G76</f>
        <v>办公</v>
      </c>
      <c r="U99" s="683">
        <f>明细表!D76</f>
        <v>2</v>
      </c>
    </row>
    <row r="100" spans="1:21">
      <c r="A100" s="142"/>
      <c r="B100" s="52"/>
      <c r="C100" s="21">
        <f t="shared" si="16"/>
        <v>1</v>
      </c>
      <c r="D100" s="2570"/>
      <c r="E100" s="21">
        <f t="shared" si="17"/>
        <v>0</v>
      </c>
      <c r="F100" s="634"/>
      <c r="G100" s="21">
        <f t="shared" si="18"/>
        <v>0.05</v>
      </c>
      <c r="H100" s="634"/>
      <c r="I100" s="21">
        <f t="shared" si="19"/>
        <v>0.05</v>
      </c>
      <c r="J100" s="634"/>
      <c r="K100" s="21">
        <f t="shared" si="20"/>
        <v>1</v>
      </c>
      <c r="L100" s="634"/>
      <c r="M100" s="21">
        <f t="shared" si="21"/>
        <v>1</v>
      </c>
      <c r="N100" s="634"/>
      <c r="O100" s="21">
        <f t="shared" si="22"/>
        <v>1</v>
      </c>
      <c r="P100" s="634"/>
      <c r="Q100" s="21">
        <f t="shared" si="23"/>
        <v>1</v>
      </c>
      <c r="R100" s="21">
        <f t="shared" si="24"/>
        <v>0</v>
      </c>
      <c r="S100" s="308">
        <f t="shared" si="15"/>
        <v>0</v>
      </c>
      <c r="T100" s="683" t="str">
        <f>明细表!G77</f>
        <v>办公</v>
      </c>
      <c r="U100" s="683">
        <f>明细表!D77</f>
        <v>2</v>
      </c>
    </row>
    <row r="101" spans="1:21">
      <c r="A101" s="142"/>
      <c r="B101" s="52"/>
      <c r="C101" s="21">
        <f t="shared" si="16"/>
        <v>1</v>
      </c>
      <c r="D101" s="2570"/>
      <c r="E101" s="21">
        <f t="shared" si="17"/>
        <v>0</v>
      </c>
      <c r="F101" s="634"/>
      <c r="G101" s="21">
        <f t="shared" si="18"/>
        <v>0.05</v>
      </c>
      <c r="H101" s="634"/>
      <c r="I101" s="21">
        <f t="shared" si="19"/>
        <v>0.05</v>
      </c>
      <c r="J101" s="634"/>
      <c r="K101" s="21">
        <f t="shared" si="20"/>
        <v>1</v>
      </c>
      <c r="L101" s="634"/>
      <c r="M101" s="21">
        <f t="shared" si="21"/>
        <v>1</v>
      </c>
      <c r="N101" s="634"/>
      <c r="O101" s="21">
        <f t="shared" si="22"/>
        <v>1</v>
      </c>
      <c r="P101" s="634"/>
      <c r="Q101" s="21">
        <f t="shared" si="23"/>
        <v>1</v>
      </c>
      <c r="R101" s="21">
        <f t="shared" si="24"/>
        <v>0</v>
      </c>
      <c r="S101" s="308">
        <f t="shared" si="15"/>
        <v>0</v>
      </c>
      <c r="T101" s="683" t="str">
        <f>明细表!G78</f>
        <v>办公</v>
      </c>
      <c r="U101" s="683">
        <f>明细表!D78</f>
        <v>7</v>
      </c>
    </row>
    <row r="102" spans="1:21">
      <c r="A102" s="142"/>
      <c r="B102" s="52"/>
      <c r="C102" s="21">
        <f t="shared" si="16"/>
        <v>1</v>
      </c>
      <c r="D102" s="2570"/>
      <c r="E102" s="21">
        <f t="shared" si="17"/>
        <v>0</v>
      </c>
      <c r="F102" s="634"/>
      <c r="G102" s="21">
        <f t="shared" si="18"/>
        <v>0.05</v>
      </c>
      <c r="H102" s="634"/>
      <c r="I102" s="21">
        <f t="shared" si="19"/>
        <v>0.05</v>
      </c>
      <c r="J102" s="634"/>
      <c r="K102" s="21">
        <f t="shared" si="20"/>
        <v>1</v>
      </c>
      <c r="L102" s="634"/>
      <c r="M102" s="21">
        <f t="shared" si="21"/>
        <v>1</v>
      </c>
      <c r="N102" s="634"/>
      <c r="O102" s="21">
        <f t="shared" si="22"/>
        <v>1</v>
      </c>
      <c r="P102" s="634"/>
      <c r="Q102" s="21">
        <f t="shared" si="23"/>
        <v>1</v>
      </c>
      <c r="R102" s="21">
        <f t="shared" si="24"/>
        <v>0</v>
      </c>
      <c r="S102" s="308">
        <f t="shared" si="15"/>
        <v>0</v>
      </c>
      <c r="T102" s="683" t="str">
        <f>明细表!G79</f>
        <v>办公</v>
      </c>
      <c r="U102" s="683">
        <f>明细表!D79</f>
        <v>10</v>
      </c>
    </row>
    <row r="103" spans="1:21">
      <c r="A103" s="142"/>
      <c r="B103" s="52"/>
      <c r="C103" s="21">
        <f t="shared" si="16"/>
        <v>1</v>
      </c>
      <c r="D103" s="2570"/>
      <c r="E103" s="21">
        <f t="shared" si="17"/>
        <v>0</v>
      </c>
      <c r="F103" s="634"/>
      <c r="G103" s="21">
        <f t="shared" si="18"/>
        <v>0.05</v>
      </c>
      <c r="H103" s="634"/>
      <c r="I103" s="21">
        <f t="shared" si="19"/>
        <v>0.05</v>
      </c>
      <c r="J103" s="634"/>
      <c r="K103" s="21">
        <f t="shared" si="20"/>
        <v>1</v>
      </c>
      <c r="L103" s="634"/>
      <c r="M103" s="21">
        <f t="shared" si="21"/>
        <v>1</v>
      </c>
      <c r="N103" s="634"/>
      <c r="O103" s="21">
        <f t="shared" si="22"/>
        <v>1</v>
      </c>
      <c r="P103" s="634"/>
      <c r="Q103" s="21">
        <f t="shared" si="23"/>
        <v>1</v>
      </c>
      <c r="R103" s="21">
        <f t="shared" si="24"/>
        <v>0</v>
      </c>
      <c r="S103" s="308">
        <f t="shared" si="15"/>
        <v>0</v>
      </c>
      <c r="T103" s="683" t="str">
        <f>明细表!G80</f>
        <v>办公</v>
      </c>
      <c r="U103" s="683">
        <f>明细表!D80</f>
        <v>10</v>
      </c>
    </row>
    <row r="104" spans="1:21">
      <c r="A104" s="142"/>
      <c r="B104" s="52"/>
      <c r="C104" s="21">
        <f t="shared" si="16"/>
        <v>1</v>
      </c>
      <c r="D104" s="634"/>
      <c r="E104" s="21">
        <f t="shared" si="17"/>
        <v>0</v>
      </c>
      <c r="F104" s="634"/>
      <c r="G104" s="21">
        <f t="shared" si="18"/>
        <v>0.05</v>
      </c>
      <c r="H104" s="634"/>
      <c r="I104" s="21">
        <f t="shared" si="19"/>
        <v>0.05</v>
      </c>
      <c r="J104" s="634"/>
      <c r="K104" s="21">
        <f t="shared" si="20"/>
        <v>1</v>
      </c>
      <c r="L104" s="634"/>
      <c r="M104" s="21">
        <f t="shared" si="21"/>
        <v>1</v>
      </c>
      <c r="N104" s="634"/>
      <c r="O104" s="21">
        <f t="shared" si="22"/>
        <v>1</v>
      </c>
      <c r="P104" s="634"/>
      <c r="Q104" s="21">
        <f t="shared" si="23"/>
        <v>1</v>
      </c>
      <c r="R104" s="21">
        <f t="shared" si="24"/>
        <v>0</v>
      </c>
      <c r="S104" s="308">
        <f t="shared" si="15"/>
        <v>0</v>
      </c>
      <c r="T104" s="683" t="str">
        <f>明细表!G81</f>
        <v>办公</v>
      </c>
      <c r="U104" s="683">
        <f>明细表!D81</f>
        <v>10</v>
      </c>
    </row>
    <row r="105" spans="1:21">
      <c r="A105" s="142"/>
      <c r="B105" s="52"/>
      <c r="C105" s="21">
        <f t="shared" si="16"/>
        <v>1</v>
      </c>
      <c r="D105" s="634"/>
      <c r="E105" s="21">
        <f t="shared" si="17"/>
        <v>0</v>
      </c>
      <c r="F105" s="634"/>
      <c r="G105" s="21">
        <f t="shared" si="18"/>
        <v>0.05</v>
      </c>
      <c r="H105" s="634"/>
      <c r="I105" s="21">
        <f t="shared" si="19"/>
        <v>0.05</v>
      </c>
      <c r="J105" s="634"/>
      <c r="K105" s="21">
        <f t="shared" si="20"/>
        <v>1</v>
      </c>
      <c r="L105" s="634"/>
      <c r="M105" s="21">
        <f t="shared" si="21"/>
        <v>1</v>
      </c>
      <c r="N105" s="634"/>
      <c r="O105" s="21">
        <f t="shared" si="22"/>
        <v>1</v>
      </c>
      <c r="P105" s="634"/>
      <c r="Q105" s="21">
        <f t="shared" si="23"/>
        <v>1</v>
      </c>
      <c r="R105" s="21">
        <f t="shared" si="24"/>
        <v>0</v>
      </c>
      <c r="S105" s="308">
        <f t="shared" si="15"/>
        <v>0</v>
      </c>
      <c r="T105" s="683" t="str">
        <f>明细表!G82</f>
        <v>办公</v>
      </c>
      <c r="U105" s="683">
        <f>明细表!D82</f>
        <v>10</v>
      </c>
    </row>
    <row r="106" spans="1:21">
      <c r="A106" s="142"/>
      <c r="B106" s="52"/>
      <c r="C106" s="21">
        <f t="shared" si="16"/>
        <v>1</v>
      </c>
      <c r="D106" s="634"/>
      <c r="E106" s="21">
        <f t="shared" si="17"/>
        <v>0</v>
      </c>
      <c r="F106" s="634"/>
      <c r="G106" s="21">
        <f t="shared" si="18"/>
        <v>0.05</v>
      </c>
      <c r="H106" s="634"/>
      <c r="I106" s="21">
        <f t="shared" si="19"/>
        <v>0.05</v>
      </c>
      <c r="J106" s="634"/>
      <c r="K106" s="21">
        <f t="shared" si="20"/>
        <v>1</v>
      </c>
      <c r="L106" s="634"/>
      <c r="M106" s="21">
        <f t="shared" si="21"/>
        <v>1</v>
      </c>
      <c r="N106" s="634"/>
      <c r="O106" s="21">
        <f t="shared" si="22"/>
        <v>1</v>
      </c>
      <c r="P106" s="634"/>
      <c r="Q106" s="21">
        <f t="shared" si="23"/>
        <v>1</v>
      </c>
      <c r="R106" s="21">
        <f t="shared" si="24"/>
        <v>0</v>
      </c>
      <c r="S106" s="308">
        <f t="shared" si="15"/>
        <v>0</v>
      </c>
      <c r="T106" s="683" t="str">
        <f>明细表!G83</f>
        <v>办公</v>
      </c>
      <c r="U106" s="683">
        <f>明细表!D83</f>
        <v>10</v>
      </c>
    </row>
    <row r="107" spans="1:21">
      <c r="A107" s="142"/>
      <c r="B107" s="52"/>
      <c r="C107" s="21">
        <f t="shared" si="16"/>
        <v>1</v>
      </c>
      <c r="D107" s="634"/>
      <c r="E107" s="21">
        <f t="shared" si="17"/>
        <v>0</v>
      </c>
      <c r="F107" s="634"/>
      <c r="G107" s="21">
        <f t="shared" si="18"/>
        <v>0.05</v>
      </c>
      <c r="H107" s="634"/>
      <c r="I107" s="21">
        <f t="shared" si="19"/>
        <v>0.05</v>
      </c>
      <c r="J107" s="634"/>
      <c r="K107" s="21">
        <f t="shared" si="20"/>
        <v>1</v>
      </c>
      <c r="L107" s="634"/>
      <c r="M107" s="21">
        <f t="shared" si="21"/>
        <v>1</v>
      </c>
      <c r="N107" s="634"/>
      <c r="O107" s="21">
        <f t="shared" si="22"/>
        <v>1</v>
      </c>
      <c r="P107" s="634"/>
      <c r="Q107" s="21">
        <f t="shared" si="23"/>
        <v>1</v>
      </c>
      <c r="R107" s="21">
        <f t="shared" si="24"/>
        <v>0</v>
      </c>
      <c r="S107" s="308">
        <f t="shared" si="15"/>
        <v>0</v>
      </c>
      <c r="T107" s="683" t="str">
        <f>明细表!G84</f>
        <v>办公</v>
      </c>
      <c r="U107" s="683">
        <f>明细表!D84</f>
        <v>10</v>
      </c>
    </row>
    <row r="108" spans="1:21">
      <c r="A108" s="142"/>
      <c r="B108" s="52"/>
      <c r="C108" s="21">
        <f t="shared" si="16"/>
        <v>1</v>
      </c>
      <c r="D108" s="634"/>
      <c r="E108" s="21">
        <f t="shared" si="17"/>
        <v>0</v>
      </c>
      <c r="F108" s="634"/>
      <c r="G108" s="21">
        <f t="shared" si="18"/>
        <v>0.05</v>
      </c>
      <c r="H108" s="634"/>
      <c r="I108" s="21">
        <f t="shared" si="19"/>
        <v>0.05</v>
      </c>
      <c r="J108" s="634"/>
      <c r="K108" s="21">
        <f t="shared" si="20"/>
        <v>1</v>
      </c>
      <c r="L108" s="634"/>
      <c r="M108" s="21">
        <f t="shared" si="21"/>
        <v>1</v>
      </c>
      <c r="N108" s="634"/>
      <c r="O108" s="21">
        <f t="shared" si="22"/>
        <v>1</v>
      </c>
      <c r="P108" s="634"/>
      <c r="Q108" s="21">
        <f t="shared" si="23"/>
        <v>1</v>
      </c>
      <c r="R108" s="21">
        <f t="shared" si="24"/>
        <v>0</v>
      </c>
      <c r="S108" s="308">
        <f t="shared" si="15"/>
        <v>0</v>
      </c>
      <c r="T108" s="683" t="str">
        <f>明细表!G85</f>
        <v>办公</v>
      </c>
      <c r="U108" s="683">
        <f>明细表!D85</f>
        <v>10</v>
      </c>
    </row>
    <row r="109" spans="1:21">
      <c r="A109" s="142"/>
      <c r="B109" s="52"/>
      <c r="C109" s="21">
        <f t="shared" si="16"/>
        <v>1</v>
      </c>
      <c r="D109" s="2570"/>
      <c r="E109" s="21">
        <f t="shared" si="17"/>
        <v>0</v>
      </c>
      <c r="F109" s="634"/>
      <c r="G109" s="21">
        <f t="shared" si="18"/>
        <v>0.05</v>
      </c>
      <c r="H109" s="634"/>
      <c r="I109" s="21">
        <f t="shared" si="19"/>
        <v>0.05</v>
      </c>
      <c r="J109" s="634"/>
      <c r="K109" s="21">
        <f t="shared" si="20"/>
        <v>1</v>
      </c>
      <c r="L109" s="634"/>
      <c r="M109" s="21">
        <f t="shared" si="21"/>
        <v>1</v>
      </c>
      <c r="N109" s="634"/>
      <c r="O109" s="21">
        <f t="shared" si="22"/>
        <v>1</v>
      </c>
      <c r="P109" s="634"/>
      <c r="Q109" s="21">
        <f t="shared" si="23"/>
        <v>1</v>
      </c>
      <c r="R109" s="21">
        <f t="shared" si="24"/>
        <v>0</v>
      </c>
      <c r="S109" s="308">
        <f t="shared" si="15"/>
        <v>0</v>
      </c>
      <c r="T109" s="683" t="str">
        <f>明细表!G86</f>
        <v>办公</v>
      </c>
      <c r="U109" s="683">
        <f>明细表!D86</f>
        <v>10</v>
      </c>
    </row>
    <row r="110" spans="1:21">
      <c r="A110" s="142"/>
      <c r="B110" s="52"/>
      <c r="C110" s="21">
        <f t="shared" si="16"/>
        <v>1</v>
      </c>
      <c r="D110" s="2570"/>
      <c r="E110" s="21">
        <f t="shared" si="17"/>
        <v>0</v>
      </c>
      <c r="F110" s="634"/>
      <c r="G110" s="21">
        <f t="shared" si="18"/>
        <v>0.05</v>
      </c>
      <c r="H110" s="634"/>
      <c r="I110" s="21">
        <f t="shared" si="19"/>
        <v>0.05</v>
      </c>
      <c r="J110" s="634"/>
      <c r="K110" s="21">
        <f t="shared" si="20"/>
        <v>1</v>
      </c>
      <c r="L110" s="634"/>
      <c r="M110" s="21">
        <f t="shared" si="21"/>
        <v>1</v>
      </c>
      <c r="N110" s="634"/>
      <c r="O110" s="21">
        <f t="shared" si="22"/>
        <v>1</v>
      </c>
      <c r="P110" s="634"/>
      <c r="Q110" s="21">
        <f t="shared" si="23"/>
        <v>1</v>
      </c>
      <c r="R110" s="21">
        <f t="shared" si="24"/>
        <v>0</v>
      </c>
      <c r="S110" s="308">
        <f t="shared" si="15"/>
        <v>0</v>
      </c>
      <c r="T110" s="683" t="str">
        <f>明细表!G87</f>
        <v>办公</v>
      </c>
      <c r="U110" s="683">
        <f>明细表!D87</f>
        <v>11</v>
      </c>
    </row>
    <row r="111" spans="1:21">
      <c r="A111" s="142"/>
      <c r="B111" s="52"/>
      <c r="C111" s="21">
        <f t="shared" si="16"/>
        <v>1</v>
      </c>
      <c r="D111" s="2570"/>
      <c r="E111" s="21">
        <f t="shared" si="17"/>
        <v>0</v>
      </c>
      <c r="F111" s="634"/>
      <c r="G111" s="21">
        <f t="shared" si="18"/>
        <v>0.05</v>
      </c>
      <c r="H111" s="634"/>
      <c r="I111" s="21">
        <f t="shared" si="19"/>
        <v>0.05</v>
      </c>
      <c r="J111" s="634"/>
      <c r="K111" s="21">
        <f t="shared" si="20"/>
        <v>1</v>
      </c>
      <c r="L111" s="634"/>
      <c r="M111" s="21">
        <f t="shared" si="21"/>
        <v>1</v>
      </c>
      <c r="N111" s="634"/>
      <c r="O111" s="21">
        <f t="shared" si="22"/>
        <v>1</v>
      </c>
      <c r="P111" s="634"/>
      <c r="Q111" s="21">
        <f t="shared" si="23"/>
        <v>1</v>
      </c>
      <c r="R111" s="21">
        <f t="shared" si="24"/>
        <v>0</v>
      </c>
      <c r="S111" s="308">
        <f t="shared" si="15"/>
        <v>0</v>
      </c>
      <c r="T111" s="683" t="str">
        <f>明细表!G88</f>
        <v>办公</v>
      </c>
      <c r="U111" s="683">
        <f>明细表!D88</f>
        <v>11</v>
      </c>
    </row>
    <row r="112" spans="1:21">
      <c r="A112" s="142"/>
      <c r="B112" s="52"/>
      <c r="C112" s="21">
        <f t="shared" si="16"/>
        <v>1</v>
      </c>
      <c r="D112" s="2570"/>
      <c r="E112" s="21">
        <f t="shared" si="17"/>
        <v>0</v>
      </c>
      <c r="F112" s="634"/>
      <c r="G112" s="21">
        <f t="shared" si="18"/>
        <v>0.05</v>
      </c>
      <c r="H112" s="634"/>
      <c r="I112" s="21">
        <f t="shared" si="19"/>
        <v>0.05</v>
      </c>
      <c r="J112" s="634"/>
      <c r="K112" s="21">
        <f t="shared" si="20"/>
        <v>1</v>
      </c>
      <c r="L112" s="634"/>
      <c r="M112" s="21">
        <f t="shared" si="21"/>
        <v>1</v>
      </c>
      <c r="N112" s="634"/>
      <c r="O112" s="21">
        <f t="shared" si="22"/>
        <v>1</v>
      </c>
      <c r="P112" s="634"/>
      <c r="Q112" s="21">
        <f t="shared" si="23"/>
        <v>1</v>
      </c>
      <c r="R112" s="21">
        <f t="shared" si="24"/>
        <v>0</v>
      </c>
      <c r="S112" s="308">
        <f t="shared" si="15"/>
        <v>0</v>
      </c>
      <c r="T112" s="683" t="str">
        <f>明细表!G89</f>
        <v>办公</v>
      </c>
      <c r="U112" s="683">
        <f>明细表!D89</f>
        <v>11</v>
      </c>
    </row>
    <row r="113" spans="1:21">
      <c r="A113" s="142"/>
      <c r="B113" s="52"/>
      <c r="C113" s="21">
        <f t="shared" si="16"/>
        <v>1</v>
      </c>
      <c r="D113" s="2570"/>
      <c r="E113" s="21">
        <f t="shared" si="17"/>
        <v>0</v>
      </c>
      <c r="F113" s="634"/>
      <c r="G113" s="21">
        <f t="shared" si="18"/>
        <v>0.05</v>
      </c>
      <c r="H113" s="634"/>
      <c r="I113" s="21">
        <f t="shared" si="19"/>
        <v>0.05</v>
      </c>
      <c r="J113" s="634"/>
      <c r="K113" s="21">
        <f t="shared" si="20"/>
        <v>1</v>
      </c>
      <c r="L113" s="634"/>
      <c r="M113" s="21">
        <f t="shared" si="21"/>
        <v>1</v>
      </c>
      <c r="N113" s="634"/>
      <c r="O113" s="21">
        <f t="shared" si="22"/>
        <v>1</v>
      </c>
      <c r="P113" s="634"/>
      <c r="Q113" s="21">
        <f t="shared" si="23"/>
        <v>1</v>
      </c>
      <c r="R113" s="21">
        <f t="shared" si="24"/>
        <v>0</v>
      </c>
      <c r="S113" s="308">
        <f t="shared" si="15"/>
        <v>0</v>
      </c>
      <c r="T113" s="683" t="str">
        <f>明细表!G90</f>
        <v>办公</v>
      </c>
      <c r="U113" s="683">
        <f>明细表!D90</f>
        <v>11</v>
      </c>
    </row>
    <row r="114" spans="1:21">
      <c r="A114" s="142"/>
      <c r="B114" s="52"/>
      <c r="C114" s="21">
        <f t="shared" si="16"/>
        <v>1</v>
      </c>
      <c r="D114" s="2570"/>
      <c r="E114" s="21">
        <f t="shared" si="17"/>
        <v>0</v>
      </c>
      <c r="F114" s="634"/>
      <c r="G114" s="21">
        <f t="shared" si="18"/>
        <v>0.05</v>
      </c>
      <c r="H114" s="634"/>
      <c r="I114" s="21">
        <f t="shared" si="19"/>
        <v>0.05</v>
      </c>
      <c r="J114" s="634"/>
      <c r="K114" s="21">
        <f t="shared" si="20"/>
        <v>1</v>
      </c>
      <c r="L114" s="634"/>
      <c r="M114" s="21">
        <f t="shared" si="21"/>
        <v>1</v>
      </c>
      <c r="N114" s="634"/>
      <c r="O114" s="21">
        <f t="shared" si="22"/>
        <v>1</v>
      </c>
      <c r="P114" s="634"/>
      <c r="Q114" s="21">
        <f t="shared" si="23"/>
        <v>1</v>
      </c>
      <c r="R114" s="21">
        <f t="shared" si="24"/>
        <v>0</v>
      </c>
      <c r="S114" s="308">
        <f t="shared" si="15"/>
        <v>0</v>
      </c>
      <c r="T114" s="683" t="str">
        <f>明细表!G91</f>
        <v>办公</v>
      </c>
      <c r="U114" s="683">
        <f>明细表!D91</f>
        <v>11</v>
      </c>
    </row>
    <row r="115" spans="1:21">
      <c r="A115" s="142"/>
      <c r="B115" s="52"/>
      <c r="C115" s="21">
        <f t="shared" si="16"/>
        <v>1</v>
      </c>
      <c r="D115" s="2570"/>
      <c r="E115" s="21">
        <f t="shared" si="17"/>
        <v>0</v>
      </c>
      <c r="F115" s="634"/>
      <c r="G115" s="21">
        <f t="shared" si="18"/>
        <v>0.05</v>
      </c>
      <c r="H115" s="634"/>
      <c r="I115" s="21">
        <f t="shared" si="19"/>
        <v>0.05</v>
      </c>
      <c r="J115" s="634"/>
      <c r="K115" s="21">
        <f t="shared" si="20"/>
        <v>1</v>
      </c>
      <c r="L115" s="634"/>
      <c r="M115" s="21">
        <f t="shared" si="21"/>
        <v>1</v>
      </c>
      <c r="N115" s="634"/>
      <c r="O115" s="21">
        <f t="shared" si="22"/>
        <v>1</v>
      </c>
      <c r="P115" s="634"/>
      <c r="Q115" s="21">
        <f t="shared" si="23"/>
        <v>1</v>
      </c>
      <c r="R115" s="21">
        <f t="shared" si="24"/>
        <v>0</v>
      </c>
      <c r="S115" s="308">
        <f t="shared" si="15"/>
        <v>0</v>
      </c>
      <c r="T115" s="683" t="str">
        <f>明细表!G92</f>
        <v>办公</v>
      </c>
      <c r="U115" s="683">
        <f>明细表!D92</f>
        <v>11</v>
      </c>
    </row>
    <row r="116" spans="1:21">
      <c r="A116" s="142"/>
      <c r="B116" s="52"/>
      <c r="C116" s="21">
        <f t="shared" si="16"/>
        <v>1</v>
      </c>
      <c r="D116" s="2570"/>
      <c r="E116" s="21">
        <f t="shared" si="17"/>
        <v>0</v>
      </c>
      <c r="F116" s="634"/>
      <c r="G116" s="21">
        <f t="shared" si="18"/>
        <v>0.05</v>
      </c>
      <c r="H116" s="634"/>
      <c r="I116" s="21">
        <f t="shared" si="19"/>
        <v>0.05</v>
      </c>
      <c r="J116" s="634"/>
      <c r="K116" s="21">
        <f t="shared" si="20"/>
        <v>1</v>
      </c>
      <c r="L116" s="634"/>
      <c r="M116" s="21">
        <f t="shared" si="21"/>
        <v>1</v>
      </c>
      <c r="N116" s="634"/>
      <c r="O116" s="21">
        <f t="shared" si="22"/>
        <v>1</v>
      </c>
      <c r="P116" s="634"/>
      <c r="Q116" s="21">
        <f t="shared" si="23"/>
        <v>1</v>
      </c>
      <c r="R116" s="21">
        <f t="shared" si="24"/>
        <v>0</v>
      </c>
      <c r="S116" s="308">
        <f t="shared" si="15"/>
        <v>0</v>
      </c>
      <c r="T116" s="683" t="str">
        <f>明细表!G93</f>
        <v>办公</v>
      </c>
      <c r="U116" s="683">
        <f>明细表!D93</f>
        <v>11</v>
      </c>
    </row>
    <row r="117" spans="1:21">
      <c r="A117" s="142"/>
      <c r="B117" s="52"/>
      <c r="C117" s="21">
        <f t="shared" si="16"/>
        <v>1</v>
      </c>
      <c r="D117" s="2570"/>
      <c r="E117" s="21">
        <f t="shared" si="17"/>
        <v>0</v>
      </c>
      <c r="F117" s="634"/>
      <c r="G117" s="21">
        <f t="shared" si="18"/>
        <v>0.05</v>
      </c>
      <c r="H117" s="634"/>
      <c r="I117" s="21">
        <f t="shared" si="19"/>
        <v>0.05</v>
      </c>
      <c r="J117" s="634"/>
      <c r="K117" s="21">
        <f t="shared" si="20"/>
        <v>1</v>
      </c>
      <c r="L117" s="634"/>
      <c r="M117" s="21">
        <f t="shared" si="21"/>
        <v>1</v>
      </c>
      <c r="N117" s="634"/>
      <c r="O117" s="21">
        <f t="shared" si="22"/>
        <v>1</v>
      </c>
      <c r="P117" s="634"/>
      <c r="Q117" s="21">
        <f t="shared" si="23"/>
        <v>1</v>
      </c>
      <c r="R117" s="21">
        <f t="shared" si="24"/>
        <v>0</v>
      </c>
      <c r="S117" s="308">
        <f t="shared" si="15"/>
        <v>0</v>
      </c>
      <c r="T117" s="683" t="str">
        <f>明细表!G94</f>
        <v>办公</v>
      </c>
      <c r="U117" s="683">
        <f>明细表!D94</f>
        <v>11</v>
      </c>
    </row>
    <row r="118" spans="1:21">
      <c r="A118" s="142"/>
      <c r="B118" s="52"/>
      <c r="C118" s="21">
        <f t="shared" si="16"/>
        <v>1</v>
      </c>
      <c r="D118" s="2570"/>
      <c r="E118" s="21">
        <f t="shared" si="17"/>
        <v>0</v>
      </c>
      <c r="F118" s="634"/>
      <c r="G118" s="21">
        <f t="shared" si="18"/>
        <v>0.05</v>
      </c>
      <c r="H118" s="634"/>
      <c r="I118" s="21">
        <f t="shared" si="19"/>
        <v>0.05</v>
      </c>
      <c r="J118" s="634"/>
      <c r="K118" s="21">
        <f t="shared" si="20"/>
        <v>1</v>
      </c>
      <c r="L118" s="634"/>
      <c r="M118" s="21">
        <f t="shared" si="21"/>
        <v>1</v>
      </c>
      <c r="N118" s="634"/>
      <c r="O118" s="21">
        <f t="shared" si="22"/>
        <v>1</v>
      </c>
      <c r="P118" s="634"/>
      <c r="Q118" s="21">
        <f t="shared" si="23"/>
        <v>1</v>
      </c>
      <c r="R118" s="21">
        <f t="shared" si="24"/>
        <v>0</v>
      </c>
      <c r="S118" s="308">
        <f t="shared" si="15"/>
        <v>0</v>
      </c>
      <c r="T118" s="683" t="str">
        <f>明细表!G95</f>
        <v>办公</v>
      </c>
      <c r="U118" s="683">
        <f>明细表!D95</f>
        <v>18</v>
      </c>
    </row>
    <row r="119" spans="1:21">
      <c r="A119" s="142"/>
      <c r="B119" s="52"/>
      <c r="C119" s="21">
        <f t="shared" si="16"/>
        <v>1</v>
      </c>
      <c r="D119" s="2570"/>
      <c r="E119" s="21">
        <f t="shared" si="17"/>
        <v>0</v>
      </c>
      <c r="F119" s="634"/>
      <c r="G119" s="21">
        <f t="shared" si="18"/>
        <v>0.05</v>
      </c>
      <c r="H119" s="634"/>
      <c r="I119" s="21">
        <f t="shared" si="19"/>
        <v>0.05</v>
      </c>
      <c r="J119" s="634"/>
      <c r="K119" s="21">
        <f t="shared" si="20"/>
        <v>1</v>
      </c>
      <c r="L119" s="634"/>
      <c r="M119" s="21">
        <f t="shared" si="21"/>
        <v>1</v>
      </c>
      <c r="N119" s="634"/>
      <c r="O119" s="21">
        <f t="shared" si="22"/>
        <v>1</v>
      </c>
      <c r="P119" s="634"/>
      <c r="Q119" s="21">
        <f t="shared" si="23"/>
        <v>1</v>
      </c>
      <c r="R119" s="21">
        <f t="shared" si="24"/>
        <v>0</v>
      </c>
      <c r="S119" s="308">
        <f t="shared" si="15"/>
        <v>0</v>
      </c>
      <c r="T119" s="683" t="str">
        <f>明细表!G96</f>
        <v>办公</v>
      </c>
      <c r="U119" s="683">
        <f>明细表!D96</f>
        <v>18</v>
      </c>
    </row>
    <row r="120" spans="1:21">
      <c r="A120" s="142"/>
      <c r="B120" s="52"/>
      <c r="C120" s="21">
        <f t="shared" si="16"/>
        <v>1</v>
      </c>
      <c r="D120" s="2570"/>
      <c r="E120" s="21">
        <f t="shared" si="17"/>
        <v>0</v>
      </c>
      <c r="F120" s="634"/>
      <c r="G120" s="21">
        <f t="shared" si="18"/>
        <v>0.05</v>
      </c>
      <c r="H120" s="634"/>
      <c r="I120" s="21">
        <f t="shared" si="19"/>
        <v>0.05</v>
      </c>
      <c r="J120" s="634"/>
      <c r="K120" s="21">
        <f t="shared" si="20"/>
        <v>1</v>
      </c>
      <c r="L120" s="634"/>
      <c r="M120" s="21">
        <f t="shared" si="21"/>
        <v>1</v>
      </c>
      <c r="N120" s="634"/>
      <c r="O120" s="21">
        <f t="shared" si="22"/>
        <v>1</v>
      </c>
      <c r="P120" s="634"/>
      <c r="Q120" s="21">
        <f t="shared" si="23"/>
        <v>1</v>
      </c>
      <c r="R120" s="21">
        <f t="shared" si="24"/>
        <v>0</v>
      </c>
      <c r="S120" s="308">
        <f t="shared" si="15"/>
        <v>0</v>
      </c>
      <c r="T120" s="683" t="str">
        <f>明细表!G97</f>
        <v>办公</v>
      </c>
      <c r="U120" s="683">
        <f>明细表!D97</f>
        <v>18</v>
      </c>
    </row>
    <row r="121" spans="1:21">
      <c r="A121" s="142"/>
      <c r="B121" s="52"/>
      <c r="C121" s="21">
        <f t="shared" si="16"/>
        <v>1</v>
      </c>
      <c r="D121" s="2570"/>
      <c r="E121" s="21">
        <f t="shared" si="17"/>
        <v>0</v>
      </c>
      <c r="F121" s="634"/>
      <c r="G121" s="21">
        <f t="shared" si="18"/>
        <v>0.05</v>
      </c>
      <c r="H121" s="634"/>
      <c r="I121" s="21">
        <f t="shared" si="19"/>
        <v>0.05</v>
      </c>
      <c r="J121" s="634"/>
      <c r="K121" s="21">
        <f t="shared" si="20"/>
        <v>1</v>
      </c>
      <c r="L121" s="634"/>
      <c r="M121" s="21">
        <f t="shared" si="21"/>
        <v>1</v>
      </c>
      <c r="N121" s="634"/>
      <c r="O121" s="21">
        <f t="shared" si="22"/>
        <v>1</v>
      </c>
      <c r="P121" s="634"/>
      <c r="Q121" s="21">
        <f t="shared" si="23"/>
        <v>1</v>
      </c>
      <c r="R121" s="21">
        <f t="shared" si="24"/>
        <v>0</v>
      </c>
      <c r="S121" s="308">
        <f t="shared" si="15"/>
        <v>0</v>
      </c>
      <c r="T121" s="683" t="str">
        <f>明细表!G98</f>
        <v>办公</v>
      </c>
      <c r="U121" s="683">
        <f>明细表!D98</f>
        <v>18</v>
      </c>
    </row>
    <row r="122" spans="1:21">
      <c r="A122" s="142"/>
      <c r="B122" s="52"/>
      <c r="C122" s="21">
        <f t="shared" si="16"/>
        <v>1</v>
      </c>
      <c r="D122" s="2570"/>
      <c r="E122" s="21">
        <f t="shared" si="17"/>
        <v>0</v>
      </c>
      <c r="F122" s="634"/>
      <c r="G122" s="21">
        <f t="shared" si="18"/>
        <v>0.05</v>
      </c>
      <c r="H122" s="634"/>
      <c r="I122" s="21">
        <f t="shared" si="19"/>
        <v>0.05</v>
      </c>
      <c r="J122" s="634"/>
      <c r="K122" s="21">
        <f t="shared" si="20"/>
        <v>1</v>
      </c>
      <c r="L122" s="634"/>
      <c r="M122" s="21">
        <f t="shared" si="21"/>
        <v>1</v>
      </c>
      <c r="N122" s="634"/>
      <c r="O122" s="21">
        <f t="shared" si="22"/>
        <v>1</v>
      </c>
      <c r="P122" s="634"/>
      <c r="Q122" s="21">
        <f t="shared" si="23"/>
        <v>1</v>
      </c>
      <c r="R122" s="21">
        <f t="shared" si="24"/>
        <v>0</v>
      </c>
      <c r="S122" s="308">
        <f t="shared" si="15"/>
        <v>0</v>
      </c>
      <c r="T122" s="683" t="str">
        <f>明细表!G99</f>
        <v>办公</v>
      </c>
      <c r="U122" s="683">
        <f>明细表!D99</f>
        <v>18</v>
      </c>
    </row>
    <row r="123" spans="1:21">
      <c r="A123" s="142"/>
      <c r="B123" s="52"/>
      <c r="C123" s="21">
        <f t="shared" si="16"/>
        <v>1</v>
      </c>
      <c r="D123" s="2570"/>
      <c r="E123" s="21">
        <f t="shared" si="17"/>
        <v>0</v>
      </c>
      <c r="F123" s="634"/>
      <c r="G123" s="21">
        <f t="shared" si="18"/>
        <v>0.05</v>
      </c>
      <c r="H123" s="634"/>
      <c r="I123" s="21">
        <f t="shared" si="19"/>
        <v>0.05</v>
      </c>
      <c r="J123" s="634"/>
      <c r="K123" s="21">
        <f t="shared" si="20"/>
        <v>1</v>
      </c>
      <c r="L123" s="634"/>
      <c r="M123" s="21">
        <f t="shared" si="21"/>
        <v>1</v>
      </c>
      <c r="N123" s="634"/>
      <c r="O123" s="21">
        <f t="shared" si="22"/>
        <v>1</v>
      </c>
      <c r="P123" s="634"/>
      <c r="Q123" s="21">
        <f t="shared" si="23"/>
        <v>1</v>
      </c>
      <c r="R123" s="21">
        <f t="shared" si="24"/>
        <v>0</v>
      </c>
      <c r="S123" s="308">
        <f t="shared" si="15"/>
        <v>0</v>
      </c>
      <c r="T123" s="683" t="str">
        <f>明细表!G100</f>
        <v>办公</v>
      </c>
      <c r="U123" s="683">
        <f>明细表!D100</f>
        <v>18</v>
      </c>
    </row>
    <row r="124" spans="1:21">
      <c r="A124" s="142"/>
      <c r="B124" s="52"/>
      <c r="C124" s="21">
        <f t="shared" si="16"/>
        <v>1</v>
      </c>
      <c r="D124" s="2570"/>
      <c r="E124" s="21">
        <f t="shared" si="17"/>
        <v>0</v>
      </c>
      <c r="F124" s="634"/>
      <c r="G124" s="21">
        <f t="shared" si="18"/>
        <v>0.05</v>
      </c>
      <c r="H124" s="634"/>
      <c r="I124" s="21">
        <f t="shared" si="19"/>
        <v>0.05</v>
      </c>
      <c r="J124" s="634"/>
      <c r="K124" s="21">
        <f t="shared" si="20"/>
        <v>1</v>
      </c>
      <c r="L124" s="634"/>
      <c r="M124" s="21">
        <f t="shared" si="21"/>
        <v>1</v>
      </c>
      <c r="N124" s="634"/>
      <c r="O124" s="21">
        <f t="shared" si="22"/>
        <v>1</v>
      </c>
      <c r="P124" s="634"/>
      <c r="Q124" s="21">
        <f t="shared" si="23"/>
        <v>1</v>
      </c>
      <c r="R124" s="21">
        <f t="shared" si="24"/>
        <v>0</v>
      </c>
      <c r="S124" s="308">
        <f t="shared" si="15"/>
        <v>0</v>
      </c>
      <c r="T124" s="683" t="str">
        <f>明细表!G101</f>
        <v>办公</v>
      </c>
      <c r="U124" s="683">
        <f>明细表!D101</f>
        <v>18</v>
      </c>
    </row>
    <row r="125" spans="1:21">
      <c r="A125" s="142"/>
      <c r="B125" s="52"/>
      <c r="C125" s="21">
        <f t="shared" si="16"/>
        <v>1</v>
      </c>
      <c r="D125" s="2570"/>
      <c r="E125" s="21">
        <f t="shared" si="17"/>
        <v>0</v>
      </c>
      <c r="F125" s="634"/>
      <c r="G125" s="21">
        <f t="shared" si="18"/>
        <v>0.05</v>
      </c>
      <c r="H125" s="634"/>
      <c r="I125" s="21">
        <f t="shared" si="19"/>
        <v>0.05</v>
      </c>
      <c r="J125" s="634"/>
      <c r="K125" s="21">
        <f t="shared" si="20"/>
        <v>1</v>
      </c>
      <c r="L125" s="634"/>
      <c r="M125" s="21">
        <f t="shared" si="21"/>
        <v>1</v>
      </c>
      <c r="N125" s="634"/>
      <c r="O125" s="21">
        <f t="shared" si="22"/>
        <v>1</v>
      </c>
      <c r="P125" s="634"/>
      <c r="Q125" s="21">
        <f t="shared" si="23"/>
        <v>1</v>
      </c>
      <c r="R125" s="21">
        <f t="shared" si="24"/>
        <v>0</v>
      </c>
      <c r="S125" s="308">
        <f t="shared" si="15"/>
        <v>0</v>
      </c>
      <c r="T125" s="683" t="str">
        <f>明细表!G102</f>
        <v>办公</v>
      </c>
      <c r="U125" s="683">
        <f>明细表!D102</f>
        <v>18</v>
      </c>
    </row>
    <row r="126" spans="1:21">
      <c r="A126" s="142"/>
      <c r="B126" s="52"/>
      <c r="C126" s="21">
        <f t="shared" si="16"/>
        <v>1</v>
      </c>
      <c r="D126" s="2570"/>
      <c r="E126" s="21">
        <f t="shared" si="17"/>
        <v>0</v>
      </c>
      <c r="F126" s="634"/>
      <c r="G126" s="21">
        <f t="shared" si="18"/>
        <v>0.05</v>
      </c>
      <c r="H126" s="634"/>
      <c r="I126" s="21">
        <f t="shared" si="19"/>
        <v>0.05</v>
      </c>
      <c r="J126" s="634"/>
      <c r="K126" s="21">
        <f t="shared" si="20"/>
        <v>1</v>
      </c>
      <c r="L126" s="634"/>
      <c r="M126" s="21">
        <f t="shared" si="21"/>
        <v>1</v>
      </c>
      <c r="N126" s="634"/>
      <c r="O126" s="21">
        <f t="shared" si="22"/>
        <v>1</v>
      </c>
      <c r="P126" s="634"/>
      <c r="Q126" s="21">
        <f t="shared" si="23"/>
        <v>1</v>
      </c>
      <c r="R126" s="21">
        <f t="shared" si="24"/>
        <v>0</v>
      </c>
      <c r="S126" s="308">
        <f t="shared" si="15"/>
        <v>0</v>
      </c>
      <c r="T126" s="683" t="str">
        <f>明细表!G103</f>
        <v>办公</v>
      </c>
      <c r="U126" s="683">
        <f>明细表!D103</f>
        <v>19</v>
      </c>
    </row>
    <row r="127" spans="1:21">
      <c r="A127" s="142"/>
      <c r="B127" s="52"/>
      <c r="C127" s="21">
        <f t="shared" si="16"/>
        <v>1</v>
      </c>
      <c r="D127" s="2570"/>
      <c r="E127" s="21">
        <f t="shared" si="17"/>
        <v>0</v>
      </c>
      <c r="F127" s="634"/>
      <c r="G127" s="21">
        <f t="shared" si="18"/>
        <v>0.05</v>
      </c>
      <c r="H127" s="634"/>
      <c r="I127" s="21">
        <f t="shared" si="19"/>
        <v>0.05</v>
      </c>
      <c r="J127" s="634"/>
      <c r="K127" s="21">
        <f t="shared" si="20"/>
        <v>1</v>
      </c>
      <c r="L127" s="634"/>
      <c r="M127" s="21">
        <f t="shared" si="21"/>
        <v>1</v>
      </c>
      <c r="N127" s="634"/>
      <c r="O127" s="21">
        <f t="shared" si="22"/>
        <v>1</v>
      </c>
      <c r="P127" s="634"/>
      <c r="Q127" s="21">
        <f t="shared" si="23"/>
        <v>1</v>
      </c>
      <c r="R127" s="21">
        <f t="shared" si="24"/>
        <v>0</v>
      </c>
      <c r="S127" s="308">
        <f t="shared" si="15"/>
        <v>0</v>
      </c>
      <c r="T127" s="683" t="str">
        <f>明细表!G104</f>
        <v>办公</v>
      </c>
      <c r="U127" s="683">
        <f>明细表!D104</f>
        <v>19</v>
      </c>
    </row>
    <row r="128" spans="1:21">
      <c r="A128" s="142"/>
      <c r="B128" s="52"/>
      <c r="C128" s="21">
        <f t="shared" si="16"/>
        <v>1</v>
      </c>
      <c r="D128" s="2570"/>
      <c r="E128" s="21">
        <f t="shared" si="17"/>
        <v>0</v>
      </c>
      <c r="F128" s="634"/>
      <c r="G128" s="21">
        <f t="shared" si="18"/>
        <v>0.05</v>
      </c>
      <c r="H128" s="634"/>
      <c r="I128" s="21">
        <f t="shared" si="19"/>
        <v>0.05</v>
      </c>
      <c r="J128" s="634"/>
      <c r="K128" s="21">
        <f t="shared" si="20"/>
        <v>1</v>
      </c>
      <c r="L128" s="634"/>
      <c r="M128" s="21">
        <f t="shared" si="21"/>
        <v>1</v>
      </c>
      <c r="N128" s="634"/>
      <c r="O128" s="21">
        <f t="shared" si="22"/>
        <v>1</v>
      </c>
      <c r="P128" s="634"/>
      <c r="Q128" s="21">
        <f t="shared" si="23"/>
        <v>1</v>
      </c>
      <c r="R128" s="21">
        <f t="shared" si="24"/>
        <v>0</v>
      </c>
      <c r="S128" s="308">
        <f t="shared" si="15"/>
        <v>0</v>
      </c>
      <c r="T128" s="683" t="str">
        <f>明细表!G105</f>
        <v>办公</v>
      </c>
      <c r="U128" s="683">
        <f>明细表!D105</f>
        <v>19</v>
      </c>
    </row>
    <row r="129" spans="1:21">
      <c r="A129" s="142"/>
      <c r="B129" s="52"/>
      <c r="C129" s="21">
        <f t="shared" si="16"/>
        <v>1</v>
      </c>
      <c r="D129" s="2570"/>
      <c r="E129" s="21">
        <f t="shared" si="17"/>
        <v>0</v>
      </c>
      <c r="F129" s="634"/>
      <c r="G129" s="21">
        <f t="shared" si="18"/>
        <v>0.05</v>
      </c>
      <c r="H129" s="634"/>
      <c r="I129" s="21">
        <f t="shared" si="19"/>
        <v>0.05</v>
      </c>
      <c r="J129" s="634"/>
      <c r="K129" s="21">
        <f t="shared" si="20"/>
        <v>1</v>
      </c>
      <c r="L129" s="634"/>
      <c r="M129" s="21">
        <f t="shared" si="21"/>
        <v>1</v>
      </c>
      <c r="N129" s="634"/>
      <c r="O129" s="21">
        <f t="shared" si="22"/>
        <v>1</v>
      </c>
      <c r="P129" s="634"/>
      <c r="Q129" s="21">
        <f t="shared" si="23"/>
        <v>1</v>
      </c>
      <c r="R129" s="21">
        <f t="shared" si="24"/>
        <v>0</v>
      </c>
      <c r="S129" s="308">
        <f t="shared" si="15"/>
        <v>0</v>
      </c>
      <c r="T129" s="683" t="str">
        <f>明细表!G106</f>
        <v>办公</v>
      </c>
      <c r="U129" s="683">
        <f>明细表!D106</f>
        <v>19</v>
      </c>
    </row>
    <row r="130" spans="1:21">
      <c r="A130" s="142"/>
      <c r="B130" s="52"/>
      <c r="C130" s="21">
        <f t="shared" si="16"/>
        <v>1</v>
      </c>
      <c r="D130" s="2570"/>
      <c r="E130" s="21">
        <f t="shared" si="17"/>
        <v>0</v>
      </c>
      <c r="F130" s="634"/>
      <c r="G130" s="21">
        <f t="shared" si="18"/>
        <v>0.05</v>
      </c>
      <c r="H130" s="634"/>
      <c r="I130" s="21">
        <f t="shared" si="19"/>
        <v>0.05</v>
      </c>
      <c r="J130" s="634"/>
      <c r="K130" s="21">
        <f t="shared" si="20"/>
        <v>1</v>
      </c>
      <c r="L130" s="634"/>
      <c r="M130" s="21">
        <f t="shared" si="21"/>
        <v>1</v>
      </c>
      <c r="N130" s="634"/>
      <c r="O130" s="21">
        <f t="shared" si="22"/>
        <v>1</v>
      </c>
      <c r="P130" s="634"/>
      <c r="Q130" s="21">
        <f t="shared" si="23"/>
        <v>1</v>
      </c>
      <c r="R130" s="21">
        <f t="shared" si="24"/>
        <v>0</v>
      </c>
      <c r="S130" s="308">
        <f t="shared" si="15"/>
        <v>0</v>
      </c>
      <c r="T130" s="683" t="str">
        <f>明细表!G107</f>
        <v>办公</v>
      </c>
      <c r="U130" s="683">
        <f>明细表!D107</f>
        <v>19</v>
      </c>
    </row>
    <row r="131" spans="1:21">
      <c r="A131" s="142"/>
      <c r="B131" s="52"/>
      <c r="C131" s="21">
        <f t="shared" si="16"/>
        <v>1</v>
      </c>
      <c r="D131" s="2570"/>
      <c r="E131" s="21">
        <f t="shared" si="17"/>
        <v>0</v>
      </c>
      <c r="F131" s="634"/>
      <c r="G131" s="21">
        <f t="shared" si="18"/>
        <v>0.05</v>
      </c>
      <c r="H131" s="634"/>
      <c r="I131" s="21">
        <f t="shared" si="19"/>
        <v>0.05</v>
      </c>
      <c r="J131" s="634"/>
      <c r="K131" s="21">
        <f t="shared" si="20"/>
        <v>1</v>
      </c>
      <c r="L131" s="634"/>
      <c r="M131" s="21">
        <f t="shared" si="21"/>
        <v>1</v>
      </c>
      <c r="N131" s="634"/>
      <c r="O131" s="21">
        <f t="shared" si="22"/>
        <v>1</v>
      </c>
      <c r="P131" s="634"/>
      <c r="Q131" s="21">
        <f t="shared" si="23"/>
        <v>1</v>
      </c>
      <c r="R131" s="21">
        <f t="shared" si="24"/>
        <v>0</v>
      </c>
      <c r="S131" s="308">
        <f t="shared" si="15"/>
        <v>0</v>
      </c>
      <c r="T131" s="683" t="str">
        <f>明细表!G108</f>
        <v>办公</v>
      </c>
      <c r="U131" s="683">
        <f>明细表!D108</f>
        <v>19</v>
      </c>
    </row>
    <row r="132" spans="1:21">
      <c r="A132" s="142"/>
      <c r="B132" s="52"/>
      <c r="C132" s="21">
        <f t="shared" si="16"/>
        <v>1</v>
      </c>
      <c r="D132" s="2570"/>
      <c r="E132" s="21">
        <f t="shared" si="17"/>
        <v>0</v>
      </c>
      <c r="F132" s="634"/>
      <c r="G132" s="21">
        <f t="shared" si="18"/>
        <v>0.05</v>
      </c>
      <c r="H132" s="634"/>
      <c r="I132" s="21">
        <f t="shared" si="19"/>
        <v>0.05</v>
      </c>
      <c r="J132" s="634"/>
      <c r="K132" s="21">
        <f t="shared" si="20"/>
        <v>1</v>
      </c>
      <c r="L132" s="634"/>
      <c r="M132" s="21">
        <f t="shared" si="21"/>
        <v>1</v>
      </c>
      <c r="N132" s="634"/>
      <c r="O132" s="21">
        <f t="shared" si="22"/>
        <v>1</v>
      </c>
      <c r="P132" s="634"/>
      <c r="Q132" s="21">
        <f t="shared" si="23"/>
        <v>1</v>
      </c>
      <c r="R132" s="21">
        <f t="shared" si="24"/>
        <v>0</v>
      </c>
      <c r="S132" s="308">
        <f t="shared" si="15"/>
        <v>0</v>
      </c>
      <c r="T132" s="683" t="str">
        <f>明细表!G109</f>
        <v>办公</v>
      </c>
      <c r="U132" s="683">
        <f>明细表!D109</f>
        <v>19</v>
      </c>
    </row>
    <row r="133" spans="1:21">
      <c r="A133" s="142"/>
      <c r="B133" s="52"/>
      <c r="C133" s="21">
        <f t="shared" si="16"/>
        <v>1</v>
      </c>
      <c r="D133" s="2570"/>
      <c r="E133" s="21">
        <f t="shared" si="17"/>
        <v>0</v>
      </c>
      <c r="F133" s="634"/>
      <c r="G133" s="21">
        <f t="shared" si="18"/>
        <v>0.05</v>
      </c>
      <c r="H133" s="634"/>
      <c r="I133" s="21">
        <f t="shared" si="19"/>
        <v>0.05</v>
      </c>
      <c r="J133" s="634"/>
      <c r="K133" s="21">
        <f t="shared" si="20"/>
        <v>1</v>
      </c>
      <c r="L133" s="634"/>
      <c r="M133" s="21">
        <f t="shared" si="21"/>
        <v>1</v>
      </c>
      <c r="N133" s="634"/>
      <c r="O133" s="21">
        <f t="shared" si="22"/>
        <v>1</v>
      </c>
      <c r="P133" s="634"/>
      <c r="Q133" s="21">
        <f t="shared" si="23"/>
        <v>1</v>
      </c>
      <c r="R133" s="21">
        <f t="shared" si="24"/>
        <v>0</v>
      </c>
      <c r="S133" s="308">
        <f t="shared" si="15"/>
        <v>0</v>
      </c>
      <c r="T133" s="683" t="str">
        <f>明细表!G110</f>
        <v>办公</v>
      </c>
      <c r="U133" s="683">
        <f>明细表!D110</f>
        <v>19</v>
      </c>
    </row>
    <row r="134" spans="1:21">
      <c r="A134" s="142"/>
      <c r="B134" s="52"/>
      <c r="C134" s="21">
        <f t="shared" si="16"/>
        <v>1</v>
      </c>
      <c r="D134" s="634"/>
      <c r="E134" s="21">
        <f t="shared" si="17"/>
        <v>0</v>
      </c>
      <c r="F134" s="634"/>
      <c r="G134" s="21">
        <f t="shared" si="18"/>
        <v>0.05</v>
      </c>
      <c r="H134" s="634"/>
      <c r="I134" s="21">
        <f t="shared" si="19"/>
        <v>0.05</v>
      </c>
      <c r="J134" s="634"/>
      <c r="K134" s="21">
        <f t="shared" si="20"/>
        <v>1</v>
      </c>
      <c r="L134" s="634"/>
      <c r="M134" s="21">
        <f t="shared" si="21"/>
        <v>1</v>
      </c>
      <c r="N134" s="634"/>
      <c r="O134" s="21">
        <f t="shared" si="22"/>
        <v>1</v>
      </c>
      <c r="P134" s="634"/>
      <c r="Q134" s="21">
        <f t="shared" si="23"/>
        <v>1</v>
      </c>
      <c r="R134" s="21">
        <f t="shared" si="24"/>
        <v>0</v>
      </c>
      <c r="S134" s="308">
        <f t="shared" si="15"/>
        <v>0</v>
      </c>
    </row>
    <row r="135" spans="1:21">
      <c r="A135" s="142"/>
      <c r="B135" s="52"/>
      <c r="C135" s="21">
        <f t="shared" si="16"/>
        <v>1</v>
      </c>
      <c r="D135" s="634"/>
      <c r="E135" s="21">
        <f t="shared" si="17"/>
        <v>0</v>
      </c>
      <c r="F135" s="634"/>
      <c r="G135" s="21">
        <f t="shared" si="18"/>
        <v>0.05</v>
      </c>
      <c r="H135" s="634"/>
      <c r="I135" s="21">
        <f t="shared" si="19"/>
        <v>0.05</v>
      </c>
      <c r="J135" s="634"/>
      <c r="K135" s="21">
        <f t="shared" si="20"/>
        <v>1</v>
      </c>
      <c r="L135" s="634"/>
      <c r="M135" s="21">
        <f t="shared" si="21"/>
        <v>1</v>
      </c>
      <c r="N135" s="634"/>
      <c r="O135" s="21">
        <f t="shared" si="22"/>
        <v>1</v>
      </c>
      <c r="P135" s="634"/>
      <c r="Q135" s="21">
        <f t="shared" si="23"/>
        <v>1</v>
      </c>
      <c r="R135" s="21">
        <f t="shared" si="24"/>
        <v>0</v>
      </c>
      <c r="S135" s="308">
        <f t="shared" si="15"/>
        <v>0</v>
      </c>
    </row>
    <row r="136" spans="1:21">
      <c r="A136" s="142"/>
      <c r="B136" s="52"/>
      <c r="C136" s="21">
        <f t="shared" si="16"/>
        <v>1</v>
      </c>
      <c r="D136" s="634"/>
      <c r="E136" s="21">
        <f t="shared" si="17"/>
        <v>0</v>
      </c>
      <c r="F136" s="634"/>
      <c r="G136" s="21">
        <f t="shared" si="18"/>
        <v>0.05</v>
      </c>
      <c r="H136" s="634"/>
      <c r="I136" s="21">
        <f t="shared" si="19"/>
        <v>0.05</v>
      </c>
      <c r="J136" s="634"/>
      <c r="K136" s="21">
        <f t="shared" si="20"/>
        <v>1</v>
      </c>
      <c r="L136" s="634"/>
      <c r="M136" s="21">
        <f t="shared" si="21"/>
        <v>1</v>
      </c>
      <c r="N136" s="634"/>
      <c r="O136" s="21">
        <f t="shared" si="22"/>
        <v>1</v>
      </c>
      <c r="P136" s="634"/>
      <c r="Q136" s="21">
        <f t="shared" si="23"/>
        <v>1</v>
      </c>
      <c r="R136" s="21">
        <f t="shared" si="24"/>
        <v>0</v>
      </c>
      <c r="S136" s="308">
        <f t="shared" si="15"/>
        <v>0</v>
      </c>
    </row>
    <row r="137" spans="1:21">
      <c r="A137" s="142"/>
      <c r="B137" s="52"/>
      <c r="C137" s="21">
        <f t="shared" si="16"/>
        <v>1</v>
      </c>
      <c r="D137" s="634"/>
      <c r="E137" s="21">
        <f t="shared" si="17"/>
        <v>0</v>
      </c>
      <c r="F137" s="634"/>
      <c r="G137" s="21">
        <f t="shared" si="18"/>
        <v>0.05</v>
      </c>
      <c r="H137" s="634"/>
      <c r="I137" s="21">
        <f t="shared" si="19"/>
        <v>0.05</v>
      </c>
      <c r="J137" s="634"/>
      <c r="K137" s="21">
        <f t="shared" si="20"/>
        <v>1</v>
      </c>
      <c r="L137" s="634"/>
      <c r="M137" s="21">
        <f t="shared" si="21"/>
        <v>1</v>
      </c>
      <c r="N137" s="634"/>
      <c r="O137" s="21">
        <f t="shared" si="22"/>
        <v>1</v>
      </c>
      <c r="P137" s="634"/>
      <c r="Q137" s="21">
        <f t="shared" si="23"/>
        <v>1</v>
      </c>
      <c r="R137" s="21">
        <f t="shared" si="24"/>
        <v>0</v>
      </c>
      <c r="S137" s="308">
        <f t="shared" si="15"/>
        <v>0</v>
      </c>
    </row>
    <row r="138" spans="1:21">
      <c r="A138" s="142"/>
      <c r="B138" s="52"/>
      <c r="C138" s="21">
        <f t="shared" si="16"/>
        <v>1</v>
      </c>
      <c r="D138" s="634"/>
      <c r="E138" s="21">
        <f t="shared" si="17"/>
        <v>0</v>
      </c>
      <c r="F138" s="634"/>
      <c r="G138" s="21">
        <f t="shared" si="18"/>
        <v>0.05</v>
      </c>
      <c r="H138" s="634"/>
      <c r="I138" s="21">
        <f t="shared" si="19"/>
        <v>0.05</v>
      </c>
      <c r="J138" s="634"/>
      <c r="K138" s="21">
        <f t="shared" si="20"/>
        <v>1</v>
      </c>
      <c r="L138" s="634"/>
      <c r="M138" s="21">
        <f t="shared" si="21"/>
        <v>1</v>
      </c>
      <c r="N138" s="634"/>
      <c r="O138" s="21">
        <f t="shared" si="22"/>
        <v>1</v>
      </c>
      <c r="P138" s="634"/>
      <c r="Q138" s="21">
        <f t="shared" si="23"/>
        <v>1</v>
      </c>
      <c r="R138" s="21">
        <f t="shared" si="24"/>
        <v>0</v>
      </c>
      <c r="S138" s="308">
        <f t="shared" si="15"/>
        <v>0</v>
      </c>
    </row>
    <row r="139" spans="1:21">
      <c r="A139" s="142"/>
      <c r="B139" s="52"/>
      <c r="C139" s="21">
        <f t="shared" si="16"/>
        <v>1</v>
      </c>
      <c r="D139" s="634"/>
      <c r="E139" s="21">
        <f t="shared" si="17"/>
        <v>0</v>
      </c>
      <c r="F139" s="634"/>
      <c r="G139" s="21">
        <f t="shared" si="18"/>
        <v>0.05</v>
      </c>
      <c r="H139" s="634"/>
      <c r="I139" s="21">
        <f t="shared" si="19"/>
        <v>0.05</v>
      </c>
      <c r="J139" s="634"/>
      <c r="K139" s="21">
        <f t="shared" si="20"/>
        <v>1</v>
      </c>
      <c r="L139" s="634"/>
      <c r="M139" s="21">
        <f t="shared" si="21"/>
        <v>1</v>
      </c>
      <c r="N139" s="634"/>
      <c r="O139" s="21">
        <f t="shared" si="22"/>
        <v>1</v>
      </c>
      <c r="P139" s="634"/>
      <c r="Q139" s="21">
        <f t="shared" si="23"/>
        <v>1</v>
      </c>
      <c r="R139" s="21">
        <f t="shared" si="24"/>
        <v>0</v>
      </c>
      <c r="S139" s="308">
        <f t="shared" si="15"/>
        <v>0</v>
      </c>
    </row>
    <row r="140" spans="1:21">
      <c r="A140" s="142"/>
      <c r="B140" s="52"/>
      <c r="C140" s="21">
        <f t="shared" si="16"/>
        <v>1</v>
      </c>
      <c r="D140" s="634"/>
      <c r="E140" s="21">
        <f t="shared" si="17"/>
        <v>0</v>
      </c>
      <c r="F140" s="634"/>
      <c r="G140" s="21">
        <f t="shared" si="18"/>
        <v>0.05</v>
      </c>
      <c r="H140" s="634"/>
      <c r="I140" s="21">
        <f t="shared" si="19"/>
        <v>0.05</v>
      </c>
      <c r="J140" s="634"/>
      <c r="K140" s="21">
        <f t="shared" si="20"/>
        <v>1</v>
      </c>
      <c r="L140" s="634"/>
      <c r="M140" s="21">
        <f t="shared" si="21"/>
        <v>1</v>
      </c>
      <c r="N140" s="634"/>
      <c r="O140" s="21">
        <f t="shared" si="22"/>
        <v>1</v>
      </c>
      <c r="P140" s="634"/>
      <c r="Q140" s="21">
        <f t="shared" si="23"/>
        <v>1</v>
      </c>
      <c r="R140" s="21">
        <f t="shared" si="24"/>
        <v>0</v>
      </c>
      <c r="S140" s="308">
        <f t="shared" si="15"/>
        <v>0</v>
      </c>
    </row>
    <row r="141" spans="1:21">
      <c r="A141" s="142"/>
      <c r="B141" s="52"/>
      <c r="C141" s="21">
        <f t="shared" si="16"/>
        <v>1</v>
      </c>
      <c r="D141" s="634"/>
      <c r="E141" s="21">
        <f t="shared" si="17"/>
        <v>0</v>
      </c>
      <c r="F141" s="634"/>
      <c r="G141" s="21">
        <f t="shared" si="18"/>
        <v>0.05</v>
      </c>
      <c r="H141" s="634"/>
      <c r="I141" s="21">
        <f t="shared" si="19"/>
        <v>0.05</v>
      </c>
      <c r="J141" s="634"/>
      <c r="K141" s="21">
        <f t="shared" si="20"/>
        <v>1</v>
      </c>
      <c r="L141" s="634"/>
      <c r="M141" s="21">
        <f t="shared" si="21"/>
        <v>1</v>
      </c>
      <c r="N141" s="634"/>
      <c r="O141" s="21">
        <f t="shared" si="22"/>
        <v>1</v>
      </c>
      <c r="P141" s="634"/>
      <c r="Q141" s="21">
        <f t="shared" si="23"/>
        <v>1</v>
      </c>
      <c r="R141" s="21">
        <f t="shared" si="24"/>
        <v>0</v>
      </c>
      <c r="S141" s="308">
        <f t="shared" si="15"/>
        <v>0</v>
      </c>
    </row>
    <row r="142" spans="1:21">
      <c r="A142" s="142"/>
      <c r="B142" s="52"/>
      <c r="C142" s="21">
        <f t="shared" si="16"/>
        <v>1</v>
      </c>
      <c r="D142" s="634"/>
      <c r="E142" s="21">
        <f t="shared" si="17"/>
        <v>0</v>
      </c>
      <c r="F142" s="634"/>
      <c r="G142" s="21">
        <f t="shared" si="18"/>
        <v>0.05</v>
      </c>
      <c r="H142" s="634"/>
      <c r="I142" s="21">
        <f t="shared" si="19"/>
        <v>0.05</v>
      </c>
      <c r="J142" s="634"/>
      <c r="K142" s="21">
        <f t="shared" si="20"/>
        <v>1</v>
      </c>
      <c r="L142" s="634"/>
      <c r="M142" s="21">
        <f t="shared" si="21"/>
        <v>1</v>
      </c>
      <c r="N142" s="634"/>
      <c r="O142" s="21">
        <f t="shared" si="22"/>
        <v>1</v>
      </c>
      <c r="P142" s="634"/>
      <c r="Q142" s="21">
        <f t="shared" si="23"/>
        <v>1</v>
      </c>
      <c r="R142" s="21">
        <f t="shared" si="24"/>
        <v>0</v>
      </c>
      <c r="S142" s="308">
        <f t="shared" si="15"/>
        <v>0</v>
      </c>
    </row>
    <row r="143" spans="1:21">
      <c r="A143" s="142"/>
      <c r="B143" s="52"/>
      <c r="C143" s="21">
        <f t="shared" si="16"/>
        <v>1</v>
      </c>
      <c r="D143" s="634"/>
      <c r="E143" s="21">
        <f t="shared" si="17"/>
        <v>0</v>
      </c>
      <c r="F143" s="634"/>
      <c r="G143" s="21">
        <f t="shared" si="18"/>
        <v>0.05</v>
      </c>
      <c r="H143" s="634"/>
      <c r="I143" s="21">
        <f t="shared" si="19"/>
        <v>0.05</v>
      </c>
      <c r="J143" s="634"/>
      <c r="K143" s="21">
        <f t="shared" si="20"/>
        <v>1</v>
      </c>
      <c r="L143" s="634"/>
      <c r="M143" s="21">
        <f t="shared" si="21"/>
        <v>1</v>
      </c>
      <c r="N143" s="634"/>
      <c r="O143" s="21">
        <f t="shared" si="22"/>
        <v>1</v>
      </c>
      <c r="P143" s="634"/>
      <c r="Q143" s="21">
        <f t="shared" si="23"/>
        <v>1</v>
      </c>
      <c r="R143" s="21">
        <f t="shared" si="24"/>
        <v>0</v>
      </c>
      <c r="S143" s="308">
        <f t="shared" si="15"/>
        <v>0</v>
      </c>
    </row>
    <row r="144" spans="1:21">
      <c r="A144" s="142"/>
      <c r="B144" s="52"/>
      <c r="C144" s="21">
        <f t="shared" si="16"/>
        <v>1</v>
      </c>
      <c r="D144" s="634"/>
      <c r="E144" s="21">
        <f t="shared" si="17"/>
        <v>0</v>
      </c>
      <c r="F144" s="634"/>
      <c r="G144" s="21">
        <f t="shared" si="18"/>
        <v>0.05</v>
      </c>
      <c r="H144" s="634"/>
      <c r="I144" s="21">
        <f t="shared" si="19"/>
        <v>0.05</v>
      </c>
      <c r="J144" s="634"/>
      <c r="K144" s="21">
        <f t="shared" si="20"/>
        <v>1</v>
      </c>
      <c r="L144" s="634"/>
      <c r="M144" s="21">
        <f t="shared" si="21"/>
        <v>1</v>
      </c>
      <c r="N144" s="634"/>
      <c r="O144" s="21">
        <f t="shared" si="22"/>
        <v>1</v>
      </c>
      <c r="P144" s="634"/>
      <c r="Q144" s="21">
        <f t="shared" si="23"/>
        <v>1</v>
      </c>
      <c r="R144" s="21">
        <f t="shared" si="24"/>
        <v>0</v>
      </c>
      <c r="S144" s="308">
        <f t="shared" si="15"/>
        <v>0</v>
      </c>
    </row>
    <row r="145" spans="1:19">
      <c r="A145" s="142"/>
      <c r="B145" s="52"/>
      <c r="C145" s="21">
        <f t="shared" si="16"/>
        <v>1</v>
      </c>
      <c r="D145" s="634"/>
      <c r="E145" s="21">
        <f t="shared" si="17"/>
        <v>0</v>
      </c>
      <c r="F145" s="634"/>
      <c r="G145" s="21">
        <f t="shared" si="18"/>
        <v>0.05</v>
      </c>
      <c r="H145" s="634"/>
      <c r="I145" s="21">
        <f t="shared" si="19"/>
        <v>0.05</v>
      </c>
      <c r="J145" s="634"/>
      <c r="K145" s="21">
        <f t="shared" si="20"/>
        <v>1</v>
      </c>
      <c r="L145" s="634"/>
      <c r="M145" s="21">
        <f t="shared" si="21"/>
        <v>1</v>
      </c>
      <c r="N145" s="634"/>
      <c r="O145" s="21">
        <f t="shared" si="22"/>
        <v>1</v>
      </c>
      <c r="P145" s="634"/>
      <c r="Q145" s="21">
        <f t="shared" si="23"/>
        <v>1</v>
      </c>
      <c r="R145" s="21">
        <f t="shared" si="24"/>
        <v>0</v>
      </c>
      <c r="S145" s="308">
        <f t="shared" si="15"/>
        <v>0</v>
      </c>
    </row>
    <row r="146" spans="1:19">
      <c r="A146" s="142"/>
      <c r="B146" s="52"/>
      <c r="C146" s="21">
        <f t="shared" si="16"/>
        <v>1</v>
      </c>
      <c r="D146" s="634"/>
      <c r="E146" s="21">
        <f t="shared" si="17"/>
        <v>0</v>
      </c>
      <c r="F146" s="634"/>
      <c r="G146" s="21">
        <f t="shared" si="18"/>
        <v>0.05</v>
      </c>
      <c r="H146" s="634"/>
      <c r="I146" s="21">
        <f t="shared" si="19"/>
        <v>0.05</v>
      </c>
      <c r="J146" s="634"/>
      <c r="K146" s="21">
        <f t="shared" si="20"/>
        <v>1</v>
      </c>
      <c r="L146" s="634"/>
      <c r="M146" s="21">
        <f t="shared" si="21"/>
        <v>1</v>
      </c>
      <c r="N146" s="634"/>
      <c r="O146" s="21">
        <f t="shared" si="22"/>
        <v>1</v>
      </c>
      <c r="P146" s="634"/>
      <c r="Q146" s="21">
        <f t="shared" si="23"/>
        <v>1</v>
      </c>
      <c r="R146" s="21">
        <f t="shared" si="24"/>
        <v>0</v>
      </c>
      <c r="S146" s="308">
        <f t="shared" si="15"/>
        <v>0</v>
      </c>
    </row>
    <row r="147" spans="1:19">
      <c r="A147" s="142"/>
      <c r="B147" s="52"/>
      <c r="C147" s="21">
        <f t="shared" si="16"/>
        <v>1</v>
      </c>
      <c r="D147" s="634"/>
      <c r="E147" s="21">
        <f t="shared" si="17"/>
        <v>0</v>
      </c>
      <c r="F147" s="634"/>
      <c r="G147" s="21">
        <f t="shared" si="18"/>
        <v>0.05</v>
      </c>
      <c r="H147" s="634"/>
      <c r="I147" s="21">
        <f t="shared" si="19"/>
        <v>0.05</v>
      </c>
      <c r="J147" s="634"/>
      <c r="K147" s="21">
        <f t="shared" si="20"/>
        <v>1</v>
      </c>
      <c r="L147" s="634"/>
      <c r="M147" s="21">
        <f t="shared" si="21"/>
        <v>1</v>
      </c>
      <c r="N147" s="634"/>
      <c r="O147" s="21">
        <f t="shared" si="22"/>
        <v>1</v>
      </c>
      <c r="P147" s="634"/>
      <c r="Q147" s="21">
        <f t="shared" si="23"/>
        <v>1</v>
      </c>
      <c r="R147" s="21">
        <f t="shared" si="24"/>
        <v>0</v>
      </c>
      <c r="S147" s="308">
        <f t="shared" si="15"/>
        <v>0</v>
      </c>
    </row>
    <row r="148" spans="1:19">
      <c r="A148" s="142"/>
      <c r="B148" s="52"/>
      <c r="C148" s="21">
        <f t="shared" si="16"/>
        <v>1</v>
      </c>
      <c r="D148" s="634"/>
      <c r="E148" s="21">
        <f t="shared" si="17"/>
        <v>0</v>
      </c>
      <c r="F148" s="634"/>
      <c r="G148" s="21">
        <f t="shared" si="18"/>
        <v>0.05</v>
      </c>
      <c r="H148" s="634"/>
      <c r="I148" s="21">
        <f t="shared" si="19"/>
        <v>0.05</v>
      </c>
      <c r="J148" s="634"/>
      <c r="K148" s="21">
        <f t="shared" si="20"/>
        <v>1</v>
      </c>
      <c r="L148" s="634"/>
      <c r="M148" s="21">
        <f t="shared" si="21"/>
        <v>1</v>
      </c>
      <c r="N148" s="634"/>
      <c r="O148" s="21">
        <f t="shared" si="22"/>
        <v>1</v>
      </c>
      <c r="P148" s="634"/>
      <c r="Q148" s="21">
        <f t="shared" si="23"/>
        <v>1</v>
      </c>
      <c r="R148" s="21">
        <f t="shared" si="24"/>
        <v>0</v>
      </c>
      <c r="S148" s="308">
        <f t="shared" si="15"/>
        <v>0</v>
      </c>
    </row>
    <row r="149" spans="1:19">
      <c r="A149" s="142"/>
      <c r="B149" s="52"/>
      <c r="C149" s="21">
        <f t="shared" si="16"/>
        <v>1</v>
      </c>
      <c r="D149" s="634"/>
      <c r="E149" s="21">
        <f t="shared" si="17"/>
        <v>0</v>
      </c>
      <c r="F149" s="634"/>
      <c r="G149" s="21">
        <f t="shared" si="18"/>
        <v>0.05</v>
      </c>
      <c r="H149" s="634"/>
      <c r="I149" s="21">
        <f t="shared" si="19"/>
        <v>0.05</v>
      </c>
      <c r="J149" s="634"/>
      <c r="K149" s="21">
        <f t="shared" si="20"/>
        <v>1</v>
      </c>
      <c r="L149" s="634"/>
      <c r="M149" s="21">
        <f t="shared" si="21"/>
        <v>1</v>
      </c>
      <c r="N149" s="634"/>
      <c r="O149" s="21">
        <f t="shared" si="22"/>
        <v>1</v>
      </c>
      <c r="P149" s="634"/>
      <c r="Q149" s="21">
        <f t="shared" si="23"/>
        <v>1</v>
      </c>
      <c r="R149" s="21">
        <f t="shared" si="24"/>
        <v>0</v>
      </c>
      <c r="S149" s="308">
        <f t="shared" si="15"/>
        <v>0</v>
      </c>
    </row>
    <row r="150" spans="1:19">
      <c r="A150" s="142"/>
      <c r="B150" s="52"/>
      <c r="C150" s="21">
        <f t="shared" si="16"/>
        <v>1</v>
      </c>
      <c r="D150" s="634"/>
      <c r="E150" s="21">
        <f t="shared" si="17"/>
        <v>0</v>
      </c>
      <c r="F150" s="634"/>
      <c r="G150" s="21">
        <f t="shared" si="18"/>
        <v>0.05</v>
      </c>
      <c r="H150" s="634"/>
      <c r="I150" s="21">
        <f t="shared" si="19"/>
        <v>0.05</v>
      </c>
      <c r="J150" s="634"/>
      <c r="K150" s="21">
        <f t="shared" si="20"/>
        <v>1</v>
      </c>
      <c r="L150" s="634"/>
      <c r="M150" s="21">
        <f t="shared" si="21"/>
        <v>1</v>
      </c>
      <c r="N150" s="634"/>
      <c r="O150" s="21">
        <f t="shared" si="22"/>
        <v>1</v>
      </c>
      <c r="P150" s="634"/>
      <c r="Q150" s="21">
        <f t="shared" si="23"/>
        <v>1</v>
      </c>
      <c r="R150" s="21">
        <f t="shared" si="24"/>
        <v>0</v>
      </c>
      <c r="S150" s="308">
        <f t="shared" si="15"/>
        <v>0</v>
      </c>
    </row>
    <row r="151" spans="1:19">
      <c r="A151" s="142"/>
      <c r="B151" s="52"/>
      <c r="C151" s="21">
        <f t="shared" si="16"/>
        <v>1</v>
      </c>
      <c r="D151" s="634"/>
      <c r="E151" s="21">
        <f t="shared" si="17"/>
        <v>0</v>
      </c>
      <c r="F151" s="634"/>
      <c r="G151" s="21">
        <f t="shared" si="18"/>
        <v>0.05</v>
      </c>
      <c r="H151" s="634"/>
      <c r="I151" s="21">
        <f t="shared" si="19"/>
        <v>0.05</v>
      </c>
      <c r="J151" s="634"/>
      <c r="K151" s="21">
        <f t="shared" si="20"/>
        <v>1</v>
      </c>
      <c r="L151" s="634"/>
      <c r="M151" s="21">
        <f t="shared" si="21"/>
        <v>1</v>
      </c>
      <c r="N151" s="634"/>
      <c r="O151" s="21">
        <f t="shared" si="22"/>
        <v>1</v>
      </c>
      <c r="P151" s="634"/>
      <c r="Q151" s="21">
        <f t="shared" si="23"/>
        <v>1</v>
      </c>
      <c r="R151" s="21">
        <f t="shared" si="24"/>
        <v>0</v>
      </c>
      <c r="S151" s="308">
        <f t="shared" si="15"/>
        <v>0</v>
      </c>
    </row>
    <row r="152" spans="1:19">
      <c r="A152" s="142"/>
      <c r="B152" s="52"/>
      <c r="C152" s="21">
        <f t="shared" si="16"/>
        <v>1</v>
      </c>
      <c r="D152" s="634"/>
      <c r="E152" s="21">
        <f t="shared" si="17"/>
        <v>0</v>
      </c>
      <c r="F152" s="634"/>
      <c r="G152" s="21">
        <f t="shared" si="18"/>
        <v>0.05</v>
      </c>
      <c r="H152" s="634"/>
      <c r="I152" s="21">
        <f t="shared" si="19"/>
        <v>0.05</v>
      </c>
      <c r="J152" s="634"/>
      <c r="K152" s="21">
        <f t="shared" si="20"/>
        <v>1</v>
      </c>
      <c r="L152" s="634"/>
      <c r="M152" s="21">
        <f t="shared" si="21"/>
        <v>1</v>
      </c>
      <c r="N152" s="634"/>
      <c r="O152" s="21">
        <f t="shared" si="22"/>
        <v>1</v>
      </c>
      <c r="P152" s="634"/>
      <c r="Q152" s="21">
        <f t="shared" si="23"/>
        <v>1</v>
      </c>
      <c r="R152" s="21">
        <f t="shared" si="24"/>
        <v>0</v>
      </c>
      <c r="S152" s="308">
        <f t="shared" ref="S152:S215" si="25">ROUND(R152*B152/10000,0)</f>
        <v>0</v>
      </c>
    </row>
    <row r="153" spans="1:19">
      <c r="A153" s="142"/>
      <c r="B153" s="52"/>
      <c r="C153" s="21">
        <f t="shared" si="16"/>
        <v>1</v>
      </c>
      <c r="D153" s="634"/>
      <c r="E153" s="21">
        <f t="shared" si="17"/>
        <v>0</v>
      </c>
      <c r="F153" s="634"/>
      <c r="G153" s="21">
        <f t="shared" si="18"/>
        <v>0.05</v>
      </c>
      <c r="H153" s="634"/>
      <c r="I153" s="21">
        <f t="shared" si="19"/>
        <v>0.05</v>
      </c>
      <c r="J153" s="634"/>
      <c r="K153" s="21">
        <f t="shared" si="20"/>
        <v>1</v>
      </c>
      <c r="L153" s="634"/>
      <c r="M153" s="21">
        <f t="shared" si="21"/>
        <v>1</v>
      </c>
      <c r="N153" s="634"/>
      <c r="O153" s="21">
        <f t="shared" si="22"/>
        <v>1</v>
      </c>
      <c r="P153" s="634"/>
      <c r="Q153" s="21">
        <f t="shared" si="23"/>
        <v>1</v>
      </c>
      <c r="R153" s="21">
        <f t="shared" si="24"/>
        <v>0</v>
      </c>
      <c r="S153" s="308">
        <f t="shared" si="25"/>
        <v>0</v>
      </c>
    </row>
    <row r="154" spans="1:19">
      <c r="A154" s="142"/>
      <c r="B154" s="52"/>
      <c r="C154" s="21">
        <f t="shared" ref="C154:C217" si="26">IF(B154="",1,(LOOKUP(B154,$3:$3,$4:$4)-LOOKUP($B$24,$3:$3,$4:$4)+100)/100)</f>
        <v>1</v>
      </c>
      <c r="D154" s="634"/>
      <c r="E154" s="21">
        <f t="shared" ref="E154:E217" si="27">(SUMIF($5:$5,D154,$6:$6)-SUMIF($5:$5,$D$24,$6:$6)+100)/100</f>
        <v>0</v>
      </c>
      <c r="F154" s="634"/>
      <c r="G154" s="21">
        <f t="shared" ref="G154:G217" si="28">(SUMIF($7:$7,F154,$8:$8)-SUMIF($7:$7,$F$24,$8:$8)+100)/100</f>
        <v>0.05</v>
      </c>
      <c r="H154" s="634"/>
      <c r="I154" s="21">
        <f t="shared" ref="I154:I217" si="29">(SUMIF($9:$9,H154,$10:$10)-SUMIF($9:$9,$H$24,$10:$10)+100)/100</f>
        <v>0.05</v>
      </c>
      <c r="J154" s="634"/>
      <c r="K154" s="21">
        <f t="shared" ref="K154:K217" si="30">(SUMIF($11:$11,J154,$12:$12)-SUMIF($11:$11,$J$24,$12:$12)+100)/100</f>
        <v>1</v>
      </c>
      <c r="L154" s="634"/>
      <c r="M154" s="21">
        <f t="shared" ref="M154:M217" si="31">(SUMIF($13:$13,L154,$14:$14)-SUMIF($13:$13,$L$24,$14:$14)+100)/100</f>
        <v>1</v>
      </c>
      <c r="N154" s="634"/>
      <c r="O154" s="21">
        <f t="shared" ref="O154:O217" si="32">(SUMIF($15:$15,N154,$16:$16)-SUMIF($15:$15,$N$24,$16:$16)+100)/100</f>
        <v>1</v>
      </c>
      <c r="P154" s="634"/>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4"/>
      <c r="E155" s="21">
        <f t="shared" si="27"/>
        <v>0</v>
      </c>
      <c r="F155" s="634"/>
      <c r="G155" s="21">
        <f t="shared" si="28"/>
        <v>0.05</v>
      </c>
      <c r="H155" s="634"/>
      <c r="I155" s="21">
        <f t="shared" si="29"/>
        <v>0.05</v>
      </c>
      <c r="J155" s="634"/>
      <c r="K155" s="21">
        <f t="shared" si="30"/>
        <v>1</v>
      </c>
      <c r="L155" s="634"/>
      <c r="M155" s="21">
        <f t="shared" si="31"/>
        <v>1</v>
      </c>
      <c r="N155" s="634"/>
      <c r="O155" s="21">
        <f t="shared" si="32"/>
        <v>1</v>
      </c>
      <c r="P155" s="634"/>
      <c r="Q155" s="21">
        <f t="shared" si="33"/>
        <v>1</v>
      </c>
      <c r="R155" s="21">
        <f t="shared" si="34"/>
        <v>0</v>
      </c>
      <c r="S155" s="308">
        <f t="shared" si="25"/>
        <v>0</v>
      </c>
    </row>
    <row r="156" spans="1:19">
      <c r="A156" s="142"/>
      <c r="B156" s="52"/>
      <c r="C156" s="21">
        <f t="shared" si="26"/>
        <v>1</v>
      </c>
      <c r="D156" s="634"/>
      <c r="E156" s="21">
        <f t="shared" si="27"/>
        <v>0</v>
      </c>
      <c r="F156" s="634"/>
      <c r="G156" s="21">
        <f t="shared" si="28"/>
        <v>0.05</v>
      </c>
      <c r="H156" s="634"/>
      <c r="I156" s="21">
        <f t="shared" si="29"/>
        <v>0.05</v>
      </c>
      <c r="J156" s="634"/>
      <c r="K156" s="21">
        <f t="shared" si="30"/>
        <v>1</v>
      </c>
      <c r="L156" s="634"/>
      <c r="M156" s="21">
        <f t="shared" si="31"/>
        <v>1</v>
      </c>
      <c r="N156" s="634"/>
      <c r="O156" s="21">
        <f t="shared" si="32"/>
        <v>1</v>
      </c>
      <c r="P156" s="634"/>
      <c r="Q156" s="21">
        <f t="shared" si="33"/>
        <v>1</v>
      </c>
      <c r="R156" s="21">
        <f t="shared" si="34"/>
        <v>0</v>
      </c>
      <c r="S156" s="308">
        <f t="shared" si="25"/>
        <v>0</v>
      </c>
    </row>
    <row r="157" spans="1:19">
      <c r="A157" s="142"/>
      <c r="B157" s="52"/>
      <c r="C157" s="21">
        <f t="shared" si="26"/>
        <v>1</v>
      </c>
      <c r="D157" s="634"/>
      <c r="E157" s="21">
        <f t="shared" si="27"/>
        <v>0</v>
      </c>
      <c r="F157" s="634"/>
      <c r="G157" s="21">
        <f t="shared" si="28"/>
        <v>0.05</v>
      </c>
      <c r="H157" s="634"/>
      <c r="I157" s="21">
        <f t="shared" si="29"/>
        <v>0.05</v>
      </c>
      <c r="J157" s="634"/>
      <c r="K157" s="21">
        <f t="shared" si="30"/>
        <v>1</v>
      </c>
      <c r="L157" s="634"/>
      <c r="M157" s="21">
        <f t="shared" si="31"/>
        <v>1</v>
      </c>
      <c r="N157" s="634"/>
      <c r="O157" s="21">
        <f t="shared" si="32"/>
        <v>1</v>
      </c>
      <c r="P157" s="634"/>
      <c r="Q157" s="21">
        <f t="shared" si="33"/>
        <v>1</v>
      </c>
      <c r="R157" s="21">
        <f t="shared" si="34"/>
        <v>0</v>
      </c>
      <c r="S157" s="308">
        <f t="shared" si="25"/>
        <v>0</v>
      </c>
    </row>
    <row r="158" spans="1:19">
      <c r="A158" s="142"/>
      <c r="B158" s="52"/>
      <c r="C158" s="21">
        <f t="shared" si="26"/>
        <v>1</v>
      </c>
      <c r="D158" s="634"/>
      <c r="E158" s="21">
        <f t="shared" si="27"/>
        <v>0</v>
      </c>
      <c r="F158" s="634"/>
      <c r="G158" s="21">
        <f t="shared" si="28"/>
        <v>0.05</v>
      </c>
      <c r="H158" s="634"/>
      <c r="I158" s="21">
        <f t="shared" si="29"/>
        <v>0.05</v>
      </c>
      <c r="J158" s="634"/>
      <c r="K158" s="21">
        <f t="shared" si="30"/>
        <v>1</v>
      </c>
      <c r="L158" s="634"/>
      <c r="M158" s="21">
        <f t="shared" si="31"/>
        <v>1</v>
      </c>
      <c r="N158" s="634"/>
      <c r="O158" s="21">
        <f t="shared" si="32"/>
        <v>1</v>
      </c>
      <c r="P158" s="634"/>
      <c r="Q158" s="21">
        <f t="shared" si="33"/>
        <v>1</v>
      </c>
      <c r="R158" s="21">
        <f t="shared" si="34"/>
        <v>0</v>
      </c>
      <c r="S158" s="308">
        <f t="shared" si="25"/>
        <v>0</v>
      </c>
    </row>
    <row r="159" spans="1:19">
      <c r="A159" s="142"/>
      <c r="B159" s="52"/>
      <c r="C159" s="21">
        <f t="shared" si="26"/>
        <v>1</v>
      </c>
      <c r="D159" s="634"/>
      <c r="E159" s="21">
        <f t="shared" si="27"/>
        <v>0</v>
      </c>
      <c r="F159" s="634"/>
      <c r="G159" s="21">
        <f t="shared" si="28"/>
        <v>0.05</v>
      </c>
      <c r="H159" s="634"/>
      <c r="I159" s="21">
        <f t="shared" si="29"/>
        <v>0.05</v>
      </c>
      <c r="J159" s="634"/>
      <c r="K159" s="21">
        <f t="shared" si="30"/>
        <v>1</v>
      </c>
      <c r="L159" s="634"/>
      <c r="M159" s="21">
        <f t="shared" si="31"/>
        <v>1</v>
      </c>
      <c r="N159" s="634"/>
      <c r="O159" s="21">
        <f t="shared" si="32"/>
        <v>1</v>
      </c>
      <c r="P159" s="634"/>
      <c r="Q159" s="21">
        <f t="shared" si="33"/>
        <v>1</v>
      </c>
      <c r="R159" s="21">
        <f t="shared" si="34"/>
        <v>0</v>
      </c>
      <c r="S159" s="308">
        <f t="shared" si="25"/>
        <v>0</v>
      </c>
    </row>
    <row r="160" spans="1:19">
      <c r="A160" s="142"/>
      <c r="B160" s="52"/>
      <c r="C160" s="21">
        <f t="shared" si="26"/>
        <v>1</v>
      </c>
      <c r="D160" s="634"/>
      <c r="E160" s="21">
        <f t="shared" si="27"/>
        <v>0</v>
      </c>
      <c r="F160" s="634"/>
      <c r="G160" s="21">
        <f t="shared" si="28"/>
        <v>0.05</v>
      </c>
      <c r="H160" s="634"/>
      <c r="I160" s="21">
        <f t="shared" si="29"/>
        <v>0.05</v>
      </c>
      <c r="J160" s="634"/>
      <c r="K160" s="21">
        <f t="shared" si="30"/>
        <v>1</v>
      </c>
      <c r="L160" s="634"/>
      <c r="M160" s="21">
        <f t="shared" si="31"/>
        <v>1</v>
      </c>
      <c r="N160" s="634"/>
      <c r="O160" s="21">
        <f t="shared" si="32"/>
        <v>1</v>
      </c>
      <c r="P160" s="634"/>
      <c r="Q160" s="21">
        <f t="shared" si="33"/>
        <v>1</v>
      </c>
      <c r="R160" s="21">
        <f t="shared" si="34"/>
        <v>0</v>
      </c>
      <c r="S160" s="308">
        <f t="shared" si="25"/>
        <v>0</v>
      </c>
    </row>
    <row r="161" spans="1:19">
      <c r="A161" s="142"/>
      <c r="B161" s="52"/>
      <c r="C161" s="21">
        <f t="shared" si="26"/>
        <v>1</v>
      </c>
      <c r="D161" s="634"/>
      <c r="E161" s="21">
        <f t="shared" si="27"/>
        <v>0</v>
      </c>
      <c r="F161" s="634"/>
      <c r="G161" s="21">
        <f t="shared" si="28"/>
        <v>0.05</v>
      </c>
      <c r="H161" s="634"/>
      <c r="I161" s="21">
        <f t="shared" si="29"/>
        <v>0.05</v>
      </c>
      <c r="J161" s="634"/>
      <c r="K161" s="21">
        <f t="shared" si="30"/>
        <v>1</v>
      </c>
      <c r="L161" s="634"/>
      <c r="M161" s="21">
        <f t="shared" si="31"/>
        <v>1</v>
      </c>
      <c r="N161" s="634"/>
      <c r="O161" s="21">
        <f t="shared" si="32"/>
        <v>1</v>
      </c>
      <c r="P161" s="634"/>
      <c r="Q161" s="21">
        <f t="shared" si="33"/>
        <v>1</v>
      </c>
      <c r="R161" s="21">
        <f t="shared" si="34"/>
        <v>0</v>
      </c>
      <c r="S161" s="308">
        <f t="shared" si="25"/>
        <v>0</v>
      </c>
    </row>
    <row r="162" spans="1:19">
      <c r="A162" s="142"/>
      <c r="B162" s="52"/>
      <c r="C162" s="21">
        <f t="shared" si="26"/>
        <v>1</v>
      </c>
      <c r="D162" s="634"/>
      <c r="E162" s="21">
        <f t="shared" si="27"/>
        <v>0</v>
      </c>
      <c r="F162" s="634"/>
      <c r="G162" s="21">
        <f t="shared" si="28"/>
        <v>0.05</v>
      </c>
      <c r="H162" s="634"/>
      <c r="I162" s="21">
        <f t="shared" si="29"/>
        <v>0.05</v>
      </c>
      <c r="J162" s="634"/>
      <c r="K162" s="21">
        <f t="shared" si="30"/>
        <v>1</v>
      </c>
      <c r="L162" s="634"/>
      <c r="M162" s="21">
        <f t="shared" si="31"/>
        <v>1</v>
      </c>
      <c r="N162" s="634"/>
      <c r="O162" s="21">
        <f t="shared" si="32"/>
        <v>1</v>
      </c>
      <c r="P162" s="634"/>
      <c r="Q162" s="21">
        <f t="shared" si="33"/>
        <v>1</v>
      </c>
      <c r="R162" s="21">
        <f t="shared" si="34"/>
        <v>0</v>
      </c>
      <c r="S162" s="308">
        <f t="shared" si="25"/>
        <v>0</v>
      </c>
    </row>
    <row r="163" spans="1:19">
      <c r="A163" s="142"/>
      <c r="B163" s="52"/>
      <c r="C163" s="21">
        <f t="shared" si="26"/>
        <v>1</v>
      </c>
      <c r="D163" s="634"/>
      <c r="E163" s="21">
        <f t="shared" si="27"/>
        <v>0</v>
      </c>
      <c r="F163" s="634"/>
      <c r="G163" s="21">
        <f t="shared" si="28"/>
        <v>0.05</v>
      </c>
      <c r="H163" s="634"/>
      <c r="I163" s="21">
        <f t="shared" si="29"/>
        <v>0.05</v>
      </c>
      <c r="J163" s="634"/>
      <c r="K163" s="21">
        <f t="shared" si="30"/>
        <v>1</v>
      </c>
      <c r="L163" s="634"/>
      <c r="M163" s="21">
        <f t="shared" si="31"/>
        <v>1</v>
      </c>
      <c r="N163" s="634"/>
      <c r="O163" s="21">
        <f t="shared" si="32"/>
        <v>1</v>
      </c>
      <c r="P163" s="634"/>
      <c r="Q163" s="21">
        <f t="shared" si="33"/>
        <v>1</v>
      </c>
      <c r="R163" s="21">
        <f t="shared" si="34"/>
        <v>0</v>
      </c>
      <c r="S163" s="308">
        <f t="shared" si="25"/>
        <v>0</v>
      </c>
    </row>
    <row r="164" spans="1:19">
      <c r="A164" s="142"/>
      <c r="B164" s="52"/>
      <c r="C164" s="21">
        <f t="shared" si="26"/>
        <v>1</v>
      </c>
      <c r="D164" s="634"/>
      <c r="E164" s="21">
        <f t="shared" si="27"/>
        <v>0</v>
      </c>
      <c r="F164" s="634"/>
      <c r="G164" s="21">
        <f t="shared" si="28"/>
        <v>0.05</v>
      </c>
      <c r="H164" s="634"/>
      <c r="I164" s="21">
        <f t="shared" si="29"/>
        <v>0.05</v>
      </c>
      <c r="J164" s="634"/>
      <c r="K164" s="21">
        <f t="shared" si="30"/>
        <v>1</v>
      </c>
      <c r="L164" s="634"/>
      <c r="M164" s="21">
        <f t="shared" si="31"/>
        <v>1</v>
      </c>
      <c r="N164" s="634"/>
      <c r="O164" s="21">
        <f t="shared" si="32"/>
        <v>1</v>
      </c>
      <c r="P164" s="634"/>
      <c r="Q164" s="21">
        <f t="shared" si="33"/>
        <v>1</v>
      </c>
      <c r="R164" s="21">
        <f t="shared" si="34"/>
        <v>0</v>
      </c>
      <c r="S164" s="308">
        <f t="shared" si="25"/>
        <v>0</v>
      </c>
    </row>
    <row r="165" spans="1:19">
      <c r="A165" s="142"/>
      <c r="B165" s="52"/>
      <c r="C165" s="21">
        <f t="shared" si="26"/>
        <v>1</v>
      </c>
      <c r="D165" s="634"/>
      <c r="E165" s="21">
        <f t="shared" si="27"/>
        <v>0</v>
      </c>
      <c r="F165" s="634"/>
      <c r="G165" s="21">
        <f t="shared" si="28"/>
        <v>0.05</v>
      </c>
      <c r="H165" s="634"/>
      <c r="I165" s="21">
        <f t="shared" si="29"/>
        <v>0.05</v>
      </c>
      <c r="J165" s="634"/>
      <c r="K165" s="21">
        <f t="shared" si="30"/>
        <v>1</v>
      </c>
      <c r="L165" s="634"/>
      <c r="M165" s="21">
        <f t="shared" si="31"/>
        <v>1</v>
      </c>
      <c r="N165" s="634"/>
      <c r="O165" s="21">
        <f t="shared" si="32"/>
        <v>1</v>
      </c>
      <c r="P165" s="634"/>
      <c r="Q165" s="21">
        <f t="shared" si="33"/>
        <v>1</v>
      </c>
      <c r="R165" s="21">
        <f t="shared" si="34"/>
        <v>0</v>
      </c>
      <c r="S165" s="308">
        <f t="shared" si="25"/>
        <v>0</v>
      </c>
    </row>
    <row r="166" spans="1:19">
      <c r="A166" s="142"/>
      <c r="B166" s="52"/>
      <c r="C166" s="21">
        <f t="shared" si="26"/>
        <v>1</v>
      </c>
      <c r="D166" s="634"/>
      <c r="E166" s="21">
        <f t="shared" si="27"/>
        <v>0</v>
      </c>
      <c r="F166" s="634"/>
      <c r="G166" s="21">
        <f t="shared" si="28"/>
        <v>0.05</v>
      </c>
      <c r="H166" s="634"/>
      <c r="I166" s="21">
        <f t="shared" si="29"/>
        <v>0.05</v>
      </c>
      <c r="J166" s="634"/>
      <c r="K166" s="21">
        <f t="shared" si="30"/>
        <v>1</v>
      </c>
      <c r="L166" s="634"/>
      <c r="M166" s="21">
        <f t="shared" si="31"/>
        <v>1</v>
      </c>
      <c r="N166" s="634"/>
      <c r="O166" s="21">
        <f t="shared" si="32"/>
        <v>1</v>
      </c>
      <c r="P166" s="634"/>
      <c r="Q166" s="21">
        <f t="shared" si="33"/>
        <v>1</v>
      </c>
      <c r="R166" s="21">
        <f t="shared" si="34"/>
        <v>0</v>
      </c>
      <c r="S166" s="308">
        <f t="shared" si="25"/>
        <v>0</v>
      </c>
    </row>
    <row r="167" spans="1:19">
      <c r="A167" s="142"/>
      <c r="B167" s="52"/>
      <c r="C167" s="21">
        <f t="shared" si="26"/>
        <v>1</v>
      </c>
      <c r="D167" s="634"/>
      <c r="E167" s="21">
        <f t="shared" si="27"/>
        <v>0</v>
      </c>
      <c r="F167" s="634"/>
      <c r="G167" s="21">
        <f t="shared" si="28"/>
        <v>0.05</v>
      </c>
      <c r="H167" s="634"/>
      <c r="I167" s="21">
        <f t="shared" si="29"/>
        <v>0.05</v>
      </c>
      <c r="J167" s="634"/>
      <c r="K167" s="21">
        <f t="shared" si="30"/>
        <v>1</v>
      </c>
      <c r="L167" s="634"/>
      <c r="M167" s="21">
        <f t="shared" si="31"/>
        <v>1</v>
      </c>
      <c r="N167" s="634"/>
      <c r="O167" s="21">
        <f t="shared" si="32"/>
        <v>1</v>
      </c>
      <c r="P167" s="634"/>
      <c r="Q167" s="21">
        <f t="shared" si="33"/>
        <v>1</v>
      </c>
      <c r="R167" s="21">
        <f t="shared" si="34"/>
        <v>0</v>
      </c>
      <c r="S167" s="308">
        <f t="shared" si="25"/>
        <v>0</v>
      </c>
    </row>
    <row r="168" spans="1:19">
      <c r="A168" s="142"/>
      <c r="B168" s="52"/>
      <c r="C168" s="21">
        <f t="shared" si="26"/>
        <v>1</v>
      </c>
      <c r="D168" s="634"/>
      <c r="E168" s="21">
        <f t="shared" si="27"/>
        <v>0</v>
      </c>
      <c r="F168" s="634"/>
      <c r="G168" s="21">
        <f t="shared" si="28"/>
        <v>0.05</v>
      </c>
      <c r="H168" s="634"/>
      <c r="I168" s="21">
        <f t="shared" si="29"/>
        <v>0.05</v>
      </c>
      <c r="J168" s="634"/>
      <c r="K168" s="21">
        <f t="shared" si="30"/>
        <v>1</v>
      </c>
      <c r="L168" s="634"/>
      <c r="M168" s="21">
        <f t="shared" si="31"/>
        <v>1</v>
      </c>
      <c r="N168" s="634"/>
      <c r="O168" s="21">
        <f t="shared" si="32"/>
        <v>1</v>
      </c>
      <c r="P168" s="634"/>
      <c r="Q168" s="21">
        <f t="shared" si="33"/>
        <v>1</v>
      </c>
      <c r="R168" s="21">
        <f t="shared" si="34"/>
        <v>0</v>
      </c>
      <c r="S168" s="308">
        <f t="shared" si="25"/>
        <v>0</v>
      </c>
    </row>
    <row r="169" spans="1:19">
      <c r="A169" s="142"/>
      <c r="B169" s="52"/>
      <c r="C169" s="21">
        <f t="shared" si="26"/>
        <v>1</v>
      </c>
      <c r="D169" s="634"/>
      <c r="E169" s="21">
        <f t="shared" si="27"/>
        <v>0</v>
      </c>
      <c r="F169" s="634"/>
      <c r="G169" s="21">
        <f t="shared" si="28"/>
        <v>0.05</v>
      </c>
      <c r="H169" s="634"/>
      <c r="I169" s="21">
        <f t="shared" si="29"/>
        <v>0.05</v>
      </c>
      <c r="J169" s="634"/>
      <c r="K169" s="21">
        <f t="shared" si="30"/>
        <v>1</v>
      </c>
      <c r="L169" s="634"/>
      <c r="M169" s="21">
        <f t="shared" si="31"/>
        <v>1</v>
      </c>
      <c r="N169" s="634"/>
      <c r="O169" s="21">
        <f t="shared" si="32"/>
        <v>1</v>
      </c>
      <c r="P169" s="634"/>
      <c r="Q169" s="21">
        <f t="shared" si="33"/>
        <v>1</v>
      </c>
      <c r="R169" s="21">
        <f t="shared" si="34"/>
        <v>0</v>
      </c>
      <c r="S169" s="308">
        <f t="shared" si="25"/>
        <v>0</v>
      </c>
    </row>
    <row r="170" spans="1:19">
      <c r="A170" s="142"/>
      <c r="B170" s="52"/>
      <c r="C170" s="21">
        <f t="shared" si="26"/>
        <v>1</v>
      </c>
      <c r="D170" s="634"/>
      <c r="E170" s="21">
        <f t="shared" si="27"/>
        <v>0</v>
      </c>
      <c r="F170" s="634"/>
      <c r="G170" s="21">
        <f t="shared" si="28"/>
        <v>0.05</v>
      </c>
      <c r="H170" s="634"/>
      <c r="I170" s="21">
        <f t="shared" si="29"/>
        <v>0.05</v>
      </c>
      <c r="J170" s="634"/>
      <c r="K170" s="21">
        <f t="shared" si="30"/>
        <v>1</v>
      </c>
      <c r="L170" s="634"/>
      <c r="M170" s="21">
        <f t="shared" si="31"/>
        <v>1</v>
      </c>
      <c r="N170" s="634"/>
      <c r="O170" s="21">
        <f t="shared" si="32"/>
        <v>1</v>
      </c>
      <c r="P170" s="634"/>
      <c r="Q170" s="21">
        <f t="shared" si="33"/>
        <v>1</v>
      </c>
      <c r="R170" s="21">
        <f t="shared" si="34"/>
        <v>0</v>
      </c>
      <c r="S170" s="308">
        <f t="shared" si="25"/>
        <v>0</v>
      </c>
    </row>
    <row r="171" spans="1:19">
      <c r="A171" s="142"/>
      <c r="B171" s="52"/>
      <c r="C171" s="21">
        <f t="shared" si="26"/>
        <v>1</v>
      </c>
      <c r="D171" s="634"/>
      <c r="E171" s="21">
        <f t="shared" si="27"/>
        <v>0</v>
      </c>
      <c r="F171" s="634"/>
      <c r="G171" s="21">
        <f t="shared" si="28"/>
        <v>0.05</v>
      </c>
      <c r="H171" s="634"/>
      <c r="I171" s="21">
        <f t="shared" si="29"/>
        <v>0.05</v>
      </c>
      <c r="J171" s="634"/>
      <c r="K171" s="21">
        <f t="shared" si="30"/>
        <v>1</v>
      </c>
      <c r="L171" s="634"/>
      <c r="M171" s="21">
        <f t="shared" si="31"/>
        <v>1</v>
      </c>
      <c r="N171" s="634"/>
      <c r="O171" s="21">
        <f t="shared" si="32"/>
        <v>1</v>
      </c>
      <c r="P171" s="634"/>
      <c r="Q171" s="21">
        <f t="shared" si="33"/>
        <v>1</v>
      </c>
      <c r="R171" s="21">
        <f t="shared" si="34"/>
        <v>0</v>
      </c>
      <c r="S171" s="308">
        <f t="shared" si="25"/>
        <v>0</v>
      </c>
    </row>
    <row r="172" spans="1:19">
      <c r="A172" s="142"/>
      <c r="B172" s="52"/>
      <c r="C172" s="21">
        <f t="shared" si="26"/>
        <v>1</v>
      </c>
      <c r="D172" s="634"/>
      <c r="E172" s="21">
        <f t="shared" si="27"/>
        <v>0</v>
      </c>
      <c r="F172" s="634"/>
      <c r="G172" s="21">
        <f t="shared" si="28"/>
        <v>0.05</v>
      </c>
      <c r="H172" s="634"/>
      <c r="I172" s="21">
        <f t="shared" si="29"/>
        <v>0.05</v>
      </c>
      <c r="J172" s="634"/>
      <c r="K172" s="21">
        <f t="shared" si="30"/>
        <v>1</v>
      </c>
      <c r="L172" s="634"/>
      <c r="M172" s="21">
        <f t="shared" si="31"/>
        <v>1</v>
      </c>
      <c r="N172" s="634"/>
      <c r="O172" s="21">
        <f t="shared" si="32"/>
        <v>1</v>
      </c>
      <c r="P172" s="634"/>
      <c r="Q172" s="21">
        <f t="shared" si="33"/>
        <v>1</v>
      </c>
      <c r="R172" s="21">
        <f t="shared" si="34"/>
        <v>0</v>
      </c>
      <c r="S172" s="308">
        <f t="shared" si="25"/>
        <v>0</v>
      </c>
    </row>
    <row r="173" spans="1:19">
      <c r="A173" s="142"/>
      <c r="B173" s="52"/>
      <c r="C173" s="21">
        <f t="shared" si="26"/>
        <v>1</v>
      </c>
      <c r="D173" s="634"/>
      <c r="E173" s="21">
        <f t="shared" si="27"/>
        <v>0</v>
      </c>
      <c r="F173" s="634"/>
      <c r="G173" s="21">
        <f t="shared" si="28"/>
        <v>0.05</v>
      </c>
      <c r="H173" s="634"/>
      <c r="I173" s="21">
        <f t="shared" si="29"/>
        <v>0.05</v>
      </c>
      <c r="J173" s="634"/>
      <c r="K173" s="21">
        <f t="shared" si="30"/>
        <v>1</v>
      </c>
      <c r="L173" s="634"/>
      <c r="M173" s="21">
        <f t="shared" si="31"/>
        <v>1</v>
      </c>
      <c r="N173" s="634"/>
      <c r="O173" s="21">
        <f t="shared" si="32"/>
        <v>1</v>
      </c>
      <c r="P173" s="634"/>
      <c r="Q173" s="21">
        <f t="shared" si="33"/>
        <v>1</v>
      </c>
      <c r="R173" s="21">
        <f t="shared" si="34"/>
        <v>0</v>
      </c>
      <c r="S173" s="308">
        <f t="shared" si="25"/>
        <v>0</v>
      </c>
    </row>
    <row r="174" spans="1:19">
      <c r="A174" s="142"/>
      <c r="B174" s="52"/>
      <c r="C174" s="21">
        <f t="shared" si="26"/>
        <v>1</v>
      </c>
      <c r="D174" s="634"/>
      <c r="E174" s="21">
        <f t="shared" si="27"/>
        <v>0</v>
      </c>
      <c r="F174" s="634"/>
      <c r="G174" s="21">
        <f t="shared" si="28"/>
        <v>0.05</v>
      </c>
      <c r="H174" s="634"/>
      <c r="I174" s="21">
        <f t="shared" si="29"/>
        <v>0.05</v>
      </c>
      <c r="J174" s="634"/>
      <c r="K174" s="21">
        <f t="shared" si="30"/>
        <v>1</v>
      </c>
      <c r="L174" s="634"/>
      <c r="M174" s="21">
        <f t="shared" si="31"/>
        <v>1</v>
      </c>
      <c r="N174" s="634"/>
      <c r="O174" s="21">
        <f t="shared" si="32"/>
        <v>1</v>
      </c>
      <c r="P174" s="634"/>
      <c r="Q174" s="21">
        <f t="shared" si="33"/>
        <v>1</v>
      </c>
      <c r="R174" s="21">
        <f t="shared" si="34"/>
        <v>0</v>
      </c>
      <c r="S174" s="308">
        <f t="shared" si="25"/>
        <v>0</v>
      </c>
    </row>
    <row r="175" spans="1:19">
      <c r="A175" s="142"/>
      <c r="B175" s="52"/>
      <c r="C175" s="21">
        <f t="shared" si="26"/>
        <v>1</v>
      </c>
      <c r="D175" s="634"/>
      <c r="E175" s="21">
        <f t="shared" si="27"/>
        <v>0</v>
      </c>
      <c r="F175" s="634"/>
      <c r="G175" s="21">
        <f t="shared" si="28"/>
        <v>0.05</v>
      </c>
      <c r="H175" s="634"/>
      <c r="I175" s="21">
        <f t="shared" si="29"/>
        <v>0.05</v>
      </c>
      <c r="J175" s="634"/>
      <c r="K175" s="21">
        <f t="shared" si="30"/>
        <v>1</v>
      </c>
      <c r="L175" s="634"/>
      <c r="M175" s="21">
        <f t="shared" si="31"/>
        <v>1</v>
      </c>
      <c r="N175" s="634"/>
      <c r="O175" s="21">
        <f t="shared" si="32"/>
        <v>1</v>
      </c>
      <c r="P175" s="634"/>
      <c r="Q175" s="21">
        <f t="shared" si="33"/>
        <v>1</v>
      </c>
      <c r="R175" s="21">
        <f t="shared" si="34"/>
        <v>0</v>
      </c>
      <c r="S175" s="308">
        <f t="shared" si="25"/>
        <v>0</v>
      </c>
    </row>
    <row r="176" spans="1:19">
      <c r="A176" s="142"/>
      <c r="B176" s="52"/>
      <c r="C176" s="21">
        <f t="shared" si="26"/>
        <v>1</v>
      </c>
      <c r="D176" s="634"/>
      <c r="E176" s="21">
        <f t="shared" si="27"/>
        <v>0</v>
      </c>
      <c r="F176" s="634"/>
      <c r="G176" s="21">
        <f t="shared" si="28"/>
        <v>0.05</v>
      </c>
      <c r="H176" s="634"/>
      <c r="I176" s="21">
        <f t="shared" si="29"/>
        <v>0.05</v>
      </c>
      <c r="J176" s="634"/>
      <c r="K176" s="21">
        <f t="shared" si="30"/>
        <v>1</v>
      </c>
      <c r="L176" s="634"/>
      <c r="M176" s="21">
        <f t="shared" si="31"/>
        <v>1</v>
      </c>
      <c r="N176" s="634"/>
      <c r="O176" s="21">
        <f t="shared" si="32"/>
        <v>1</v>
      </c>
      <c r="P176" s="634"/>
      <c r="Q176" s="21">
        <f t="shared" si="33"/>
        <v>1</v>
      </c>
      <c r="R176" s="21">
        <f t="shared" si="34"/>
        <v>0</v>
      </c>
      <c r="S176" s="308">
        <f t="shared" si="25"/>
        <v>0</v>
      </c>
    </row>
    <row r="177" spans="1:19">
      <c r="A177" s="142"/>
      <c r="B177" s="52"/>
      <c r="C177" s="21">
        <f t="shared" si="26"/>
        <v>1</v>
      </c>
      <c r="D177" s="634"/>
      <c r="E177" s="21">
        <f t="shared" si="27"/>
        <v>0</v>
      </c>
      <c r="F177" s="634"/>
      <c r="G177" s="21">
        <f t="shared" si="28"/>
        <v>0.05</v>
      </c>
      <c r="H177" s="634"/>
      <c r="I177" s="21">
        <f t="shared" si="29"/>
        <v>0.05</v>
      </c>
      <c r="J177" s="634"/>
      <c r="K177" s="21">
        <f t="shared" si="30"/>
        <v>1</v>
      </c>
      <c r="L177" s="634"/>
      <c r="M177" s="21">
        <f t="shared" si="31"/>
        <v>1</v>
      </c>
      <c r="N177" s="634"/>
      <c r="O177" s="21">
        <f t="shared" si="32"/>
        <v>1</v>
      </c>
      <c r="P177" s="634"/>
      <c r="Q177" s="21">
        <f t="shared" si="33"/>
        <v>1</v>
      </c>
      <c r="R177" s="21">
        <f t="shared" si="34"/>
        <v>0</v>
      </c>
      <c r="S177" s="308">
        <f t="shared" si="25"/>
        <v>0</v>
      </c>
    </row>
    <row r="178" spans="1:19">
      <c r="A178" s="142"/>
      <c r="B178" s="52"/>
      <c r="C178" s="21">
        <f t="shared" si="26"/>
        <v>1</v>
      </c>
      <c r="D178" s="634"/>
      <c r="E178" s="21">
        <f t="shared" si="27"/>
        <v>0</v>
      </c>
      <c r="F178" s="634"/>
      <c r="G178" s="21">
        <f t="shared" si="28"/>
        <v>0.05</v>
      </c>
      <c r="H178" s="634"/>
      <c r="I178" s="21">
        <f t="shared" si="29"/>
        <v>0.05</v>
      </c>
      <c r="J178" s="634"/>
      <c r="K178" s="21">
        <f t="shared" si="30"/>
        <v>1</v>
      </c>
      <c r="L178" s="634"/>
      <c r="M178" s="21">
        <f t="shared" si="31"/>
        <v>1</v>
      </c>
      <c r="N178" s="634"/>
      <c r="O178" s="21">
        <f t="shared" si="32"/>
        <v>1</v>
      </c>
      <c r="P178" s="634"/>
      <c r="Q178" s="21">
        <f t="shared" si="33"/>
        <v>1</v>
      </c>
      <c r="R178" s="21">
        <f t="shared" si="34"/>
        <v>0</v>
      </c>
      <c r="S178" s="308">
        <f t="shared" si="25"/>
        <v>0</v>
      </c>
    </row>
    <row r="179" spans="1:19">
      <c r="A179" s="142"/>
      <c r="B179" s="52"/>
      <c r="C179" s="21">
        <f t="shared" si="26"/>
        <v>1</v>
      </c>
      <c r="D179" s="634"/>
      <c r="E179" s="21">
        <f t="shared" si="27"/>
        <v>0</v>
      </c>
      <c r="F179" s="634"/>
      <c r="G179" s="21">
        <f t="shared" si="28"/>
        <v>0.05</v>
      </c>
      <c r="H179" s="634"/>
      <c r="I179" s="21">
        <f t="shared" si="29"/>
        <v>0.05</v>
      </c>
      <c r="J179" s="634"/>
      <c r="K179" s="21">
        <f t="shared" si="30"/>
        <v>1</v>
      </c>
      <c r="L179" s="634"/>
      <c r="M179" s="21">
        <f t="shared" si="31"/>
        <v>1</v>
      </c>
      <c r="N179" s="634"/>
      <c r="O179" s="21">
        <f t="shared" si="32"/>
        <v>1</v>
      </c>
      <c r="P179" s="634"/>
      <c r="Q179" s="21">
        <f t="shared" si="33"/>
        <v>1</v>
      </c>
      <c r="R179" s="21">
        <f t="shared" si="34"/>
        <v>0</v>
      </c>
      <c r="S179" s="308">
        <f t="shared" si="25"/>
        <v>0</v>
      </c>
    </row>
    <row r="180" spans="1:19">
      <c r="A180" s="142"/>
      <c r="B180" s="52"/>
      <c r="C180" s="21">
        <f t="shared" si="26"/>
        <v>1</v>
      </c>
      <c r="D180" s="634"/>
      <c r="E180" s="21">
        <f t="shared" si="27"/>
        <v>0</v>
      </c>
      <c r="F180" s="634"/>
      <c r="G180" s="21">
        <f t="shared" si="28"/>
        <v>0.05</v>
      </c>
      <c r="H180" s="634"/>
      <c r="I180" s="21">
        <f t="shared" si="29"/>
        <v>0.05</v>
      </c>
      <c r="J180" s="634"/>
      <c r="K180" s="21">
        <f t="shared" si="30"/>
        <v>1</v>
      </c>
      <c r="L180" s="634"/>
      <c r="M180" s="21">
        <f t="shared" si="31"/>
        <v>1</v>
      </c>
      <c r="N180" s="634"/>
      <c r="O180" s="21">
        <f t="shared" si="32"/>
        <v>1</v>
      </c>
      <c r="P180" s="634"/>
      <c r="Q180" s="21">
        <f t="shared" si="33"/>
        <v>1</v>
      </c>
      <c r="R180" s="21">
        <f t="shared" si="34"/>
        <v>0</v>
      </c>
      <c r="S180" s="308">
        <f t="shared" si="25"/>
        <v>0</v>
      </c>
    </row>
    <row r="181" spans="1:19">
      <c r="A181" s="142"/>
      <c r="B181" s="52"/>
      <c r="C181" s="21">
        <f t="shared" si="26"/>
        <v>1</v>
      </c>
      <c r="D181" s="634"/>
      <c r="E181" s="21">
        <f t="shared" si="27"/>
        <v>0</v>
      </c>
      <c r="F181" s="634"/>
      <c r="G181" s="21">
        <f t="shared" si="28"/>
        <v>0.05</v>
      </c>
      <c r="H181" s="634"/>
      <c r="I181" s="21">
        <f t="shared" si="29"/>
        <v>0.05</v>
      </c>
      <c r="J181" s="634"/>
      <c r="K181" s="21">
        <f t="shared" si="30"/>
        <v>1</v>
      </c>
      <c r="L181" s="634"/>
      <c r="M181" s="21">
        <f t="shared" si="31"/>
        <v>1</v>
      </c>
      <c r="N181" s="634"/>
      <c r="O181" s="21">
        <f t="shared" si="32"/>
        <v>1</v>
      </c>
      <c r="P181" s="634"/>
      <c r="Q181" s="21">
        <f t="shared" si="33"/>
        <v>1</v>
      </c>
      <c r="R181" s="21">
        <f t="shared" si="34"/>
        <v>0</v>
      </c>
      <c r="S181" s="308">
        <f t="shared" si="25"/>
        <v>0</v>
      </c>
    </row>
    <row r="182" spans="1:19">
      <c r="A182" s="142"/>
      <c r="B182" s="52"/>
      <c r="C182" s="21">
        <f t="shared" si="26"/>
        <v>1</v>
      </c>
      <c r="D182" s="634"/>
      <c r="E182" s="21">
        <f t="shared" si="27"/>
        <v>0</v>
      </c>
      <c r="F182" s="634"/>
      <c r="G182" s="21">
        <f t="shared" si="28"/>
        <v>0.05</v>
      </c>
      <c r="H182" s="634"/>
      <c r="I182" s="21">
        <f t="shared" si="29"/>
        <v>0.05</v>
      </c>
      <c r="J182" s="634"/>
      <c r="K182" s="21">
        <f t="shared" si="30"/>
        <v>1</v>
      </c>
      <c r="L182" s="634"/>
      <c r="M182" s="21">
        <f t="shared" si="31"/>
        <v>1</v>
      </c>
      <c r="N182" s="634"/>
      <c r="O182" s="21">
        <f t="shared" si="32"/>
        <v>1</v>
      </c>
      <c r="P182" s="634"/>
      <c r="Q182" s="21">
        <f t="shared" si="33"/>
        <v>1</v>
      </c>
      <c r="R182" s="21">
        <f t="shared" si="34"/>
        <v>0</v>
      </c>
      <c r="S182" s="308">
        <f t="shared" si="25"/>
        <v>0</v>
      </c>
    </row>
    <row r="183" spans="1:19">
      <c r="A183" s="142"/>
      <c r="B183" s="52"/>
      <c r="C183" s="21">
        <f t="shared" si="26"/>
        <v>1</v>
      </c>
      <c r="D183" s="634"/>
      <c r="E183" s="21">
        <f t="shared" si="27"/>
        <v>0</v>
      </c>
      <c r="F183" s="634"/>
      <c r="G183" s="21">
        <f t="shared" si="28"/>
        <v>0.05</v>
      </c>
      <c r="H183" s="634"/>
      <c r="I183" s="21">
        <f t="shared" si="29"/>
        <v>0.05</v>
      </c>
      <c r="J183" s="634"/>
      <c r="K183" s="21">
        <f t="shared" si="30"/>
        <v>1</v>
      </c>
      <c r="L183" s="634"/>
      <c r="M183" s="21">
        <f t="shared" si="31"/>
        <v>1</v>
      </c>
      <c r="N183" s="634"/>
      <c r="O183" s="21">
        <f t="shared" si="32"/>
        <v>1</v>
      </c>
      <c r="P183" s="634"/>
      <c r="Q183" s="21">
        <f t="shared" si="33"/>
        <v>1</v>
      </c>
      <c r="R183" s="21">
        <f t="shared" si="34"/>
        <v>0</v>
      </c>
      <c r="S183" s="308">
        <f t="shared" si="25"/>
        <v>0</v>
      </c>
    </row>
    <row r="184" spans="1:19">
      <c r="A184" s="142"/>
      <c r="B184" s="52"/>
      <c r="C184" s="21">
        <f t="shared" si="26"/>
        <v>1</v>
      </c>
      <c r="D184" s="634"/>
      <c r="E184" s="21">
        <f t="shared" si="27"/>
        <v>0</v>
      </c>
      <c r="F184" s="634"/>
      <c r="G184" s="21">
        <f t="shared" si="28"/>
        <v>0.05</v>
      </c>
      <c r="H184" s="634"/>
      <c r="I184" s="21">
        <f t="shared" si="29"/>
        <v>0.05</v>
      </c>
      <c r="J184" s="634"/>
      <c r="K184" s="21">
        <f t="shared" si="30"/>
        <v>1</v>
      </c>
      <c r="L184" s="634"/>
      <c r="M184" s="21">
        <f t="shared" si="31"/>
        <v>1</v>
      </c>
      <c r="N184" s="634"/>
      <c r="O184" s="21">
        <f t="shared" si="32"/>
        <v>1</v>
      </c>
      <c r="P184" s="634"/>
      <c r="Q184" s="21">
        <f t="shared" si="33"/>
        <v>1</v>
      </c>
      <c r="R184" s="21">
        <f t="shared" si="34"/>
        <v>0</v>
      </c>
      <c r="S184" s="308">
        <f t="shared" si="25"/>
        <v>0</v>
      </c>
    </row>
    <row r="185" spans="1:19">
      <c r="A185" s="142"/>
      <c r="B185" s="52"/>
      <c r="C185" s="21">
        <f t="shared" si="26"/>
        <v>1</v>
      </c>
      <c r="D185" s="634"/>
      <c r="E185" s="21">
        <f t="shared" si="27"/>
        <v>0</v>
      </c>
      <c r="F185" s="634"/>
      <c r="G185" s="21">
        <f t="shared" si="28"/>
        <v>0.05</v>
      </c>
      <c r="H185" s="634"/>
      <c r="I185" s="21">
        <f t="shared" si="29"/>
        <v>0.05</v>
      </c>
      <c r="J185" s="634"/>
      <c r="K185" s="21">
        <f t="shared" si="30"/>
        <v>1</v>
      </c>
      <c r="L185" s="634"/>
      <c r="M185" s="21">
        <f t="shared" si="31"/>
        <v>1</v>
      </c>
      <c r="N185" s="634"/>
      <c r="O185" s="21">
        <f t="shared" si="32"/>
        <v>1</v>
      </c>
      <c r="P185" s="634"/>
      <c r="Q185" s="21">
        <f t="shared" si="33"/>
        <v>1</v>
      </c>
      <c r="R185" s="21">
        <f t="shared" si="34"/>
        <v>0</v>
      </c>
      <c r="S185" s="308">
        <f t="shared" si="25"/>
        <v>0</v>
      </c>
    </row>
    <row r="186" spans="1:19">
      <c r="A186" s="142"/>
      <c r="B186" s="52"/>
      <c r="C186" s="21">
        <f t="shared" si="26"/>
        <v>1</v>
      </c>
      <c r="D186" s="634"/>
      <c r="E186" s="21">
        <f t="shared" si="27"/>
        <v>0</v>
      </c>
      <c r="F186" s="634"/>
      <c r="G186" s="21">
        <f t="shared" si="28"/>
        <v>0.05</v>
      </c>
      <c r="H186" s="634"/>
      <c r="I186" s="21">
        <f t="shared" si="29"/>
        <v>0.05</v>
      </c>
      <c r="J186" s="634"/>
      <c r="K186" s="21">
        <f t="shared" si="30"/>
        <v>1</v>
      </c>
      <c r="L186" s="634"/>
      <c r="M186" s="21">
        <f t="shared" si="31"/>
        <v>1</v>
      </c>
      <c r="N186" s="634"/>
      <c r="O186" s="21">
        <f t="shared" si="32"/>
        <v>1</v>
      </c>
      <c r="P186" s="634"/>
      <c r="Q186" s="21">
        <f t="shared" si="33"/>
        <v>1</v>
      </c>
      <c r="R186" s="21">
        <f t="shared" si="34"/>
        <v>0</v>
      </c>
      <c r="S186" s="308">
        <f t="shared" si="25"/>
        <v>0</v>
      </c>
    </row>
    <row r="187" spans="1:19">
      <c r="A187" s="142"/>
      <c r="B187" s="52"/>
      <c r="C187" s="21">
        <f t="shared" si="26"/>
        <v>1</v>
      </c>
      <c r="D187" s="634"/>
      <c r="E187" s="21">
        <f t="shared" si="27"/>
        <v>0</v>
      </c>
      <c r="F187" s="634"/>
      <c r="G187" s="21">
        <f t="shared" si="28"/>
        <v>0.05</v>
      </c>
      <c r="H187" s="634"/>
      <c r="I187" s="21">
        <f t="shared" si="29"/>
        <v>0.05</v>
      </c>
      <c r="J187" s="634"/>
      <c r="K187" s="21">
        <f t="shared" si="30"/>
        <v>1</v>
      </c>
      <c r="L187" s="634"/>
      <c r="M187" s="21">
        <f t="shared" si="31"/>
        <v>1</v>
      </c>
      <c r="N187" s="634"/>
      <c r="O187" s="21">
        <f t="shared" si="32"/>
        <v>1</v>
      </c>
      <c r="P187" s="634"/>
      <c r="Q187" s="21">
        <f t="shared" si="33"/>
        <v>1</v>
      </c>
      <c r="R187" s="21">
        <f t="shared" si="34"/>
        <v>0</v>
      </c>
      <c r="S187" s="308">
        <f t="shared" si="25"/>
        <v>0</v>
      </c>
    </row>
    <row r="188" spans="1:19">
      <c r="A188" s="142"/>
      <c r="B188" s="52"/>
      <c r="C188" s="21">
        <f t="shared" si="26"/>
        <v>1</v>
      </c>
      <c r="D188" s="634"/>
      <c r="E188" s="21">
        <f t="shared" si="27"/>
        <v>0</v>
      </c>
      <c r="F188" s="634"/>
      <c r="G188" s="21">
        <f t="shared" si="28"/>
        <v>0.05</v>
      </c>
      <c r="H188" s="634"/>
      <c r="I188" s="21">
        <f t="shared" si="29"/>
        <v>0.05</v>
      </c>
      <c r="J188" s="634"/>
      <c r="K188" s="21">
        <f t="shared" si="30"/>
        <v>1</v>
      </c>
      <c r="L188" s="634"/>
      <c r="M188" s="21">
        <f t="shared" si="31"/>
        <v>1</v>
      </c>
      <c r="N188" s="634"/>
      <c r="O188" s="21">
        <f t="shared" si="32"/>
        <v>1</v>
      </c>
      <c r="P188" s="634"/>
      <c r="Q188" s="21">
        <f t="shared" si="33"/>
        <v>1</v>
      </c>
      <c r="R188" s="21">
        <f t="shared" si="34"/>
        <v>0</v>
      </c>
      <c r="S188" s="308">
        <f t="shared" si="25"/>
        <v>0</v>
      </c>
    </row>
    <row r="189" spans="1:19">
      <c r="A189" s="142"/>
      <c r="B189" s="52"/>
      <c r="C189" s="21">
        <f t="shared" si="26"/>
        <v>1</v>
      </c>
      <c r="D189" s="634"/>
      <c r="E189" s="21">
        <f t="shared" si="27"/>
        <v>0</v>
      </c>
      <c r="F189" s="634"/>
      <c r="G189" s="21">
        <f t="shared" si="28"/>
        <v>0.05</v>
      </c>
      <c r="H189" s="634"/>
      <c r="I189" s="21">
        <f t="shared" si="29"/>
        <v>0.05</v>
      </c>
      <c r="J189" s="634"/>
      <c r="K189" s="21">
        <f t="shared" si="30"/>
        <v>1</v>
      </c>
      <c r="L189" s="634"/>
      <c r="M189" s="21">
        <f t="shared" si="31"/>
        <v>1</v>
      </c>
      <c r="N189" s="634"/>
      <c r="O189" s="21">
        <f t="shared" si="32"/>
        <v>1</v>
      </c>
      <c r="P189" s="634"/>
      <c r="Q189" s="21">
        <f t="shared" si="33"/>
        <v>1</v>
      </c>
      <c r="R189" s="21">
        <f t="shared" si="34"/>
        <v>0</v>
      </c>
      <c r="S189" s="308">
        <f t="shared" si="25"/>
        <v>0</v>
      </c>
    </row>
    <row r="190" spans="1:19">
      <c r="A190" s="142"/>
      <c r="B190" s="52"/>
      <c r="C190" s="21">
        <f t="shared" si="26"/>
        <v>1</v>
      </c>
      <c r="D190" s="634"/>
      <c r="E190" s="21">
        <f t="shared" si="27"/>
        <v>0</v>
      </c>
      <c r="F190" s="634"/>
      <c r="G190" s="21">
        <f t="shared" si="28"/>
        <v>0.05</v>
      </c>
      <c r="H190" s="634"/>
      <c r="I190" s="21">
        <f t="shared" si="29"/>
        <v>0.05</v>
      </c>
      <c r="J190" s="634"/>
      <c r="K190" s="21">
        <f t="shared" si="30"/>
        <v>1</v>
      </c>
      <c r="L190" s="634"/>
      <c r="M190" s="21">
        <f t="shared" si="31"/>
        <v>1</v>
      </c>
      <c r="N190" s="634"/>
      <c r="O190" s="21">
        <f t="shared" si="32"/>
        <v>1</v>
      </c>
      <c r="P190" s="634"/>
      <c r="Q190" s="21">
        <f t="shared" si="33"/>
        <v>1</v>
      </c>
      <c r="R190" s="21">
        <f t="shared" si="34"/>
        <v>0</v>
      </c>
      <c r="S190" s="308">
        <f t="shared" si="25"/>
        <v>0</v>
      </c>
    </row>
    <row r="191" spans="1:19">
      <c r="A191" s="142"/>
      <c r="B191" s="52"/>
      <c r="C191" s="21">
        <f t="shared" si="26"/>
        <v>1</v>
      </c>
      <c r="D191" s="634"/>
      <c r="E191" s="21">
        <f t="shared" si="27"/>
        <v>0</v>
      </c>
      <c r="F191" s="634"/>
      <c r="G191" s="21">
        <f t="shared" si="28"/>
        <v>0.05</v>
      </c>
      <c r="H191" s="634"/>
      <c r="I191" s="21">
        <f t="shared" si="29"/>
        <v>0.05</v>
      </c>
      <c r="J191" s="634"/>
      <c r="K191" s="21">
        <f t="shared" si="30"/>
        <v>1</v>
      </c>
      <c r="L191" s="634"/>
      <c r="M191" s="21">
        <f t="shared" si="31"/>
        <v>1</v>
      </c>
      <c r="N191" s="634"/>
      <c r="O191" s="21">
        <f t="shared" si="32"/>
        <v>1</v>
      </c>
      <c r="P191" s="634"/>
      <c r="Q191" s="21">
        <f t="shared" si="33"/>
        <v>1</v>
      </c>
      <c r="R191" s="21">
        <f t="shared" si="34"/>
        <v>0</v>
      </c>
      <c r="S191" s="308">
        <f t="shared" si="25"/>
        <v>0</v>
      </c>
    </row>
    <row r="192" spans="1:19">
      <c r="A192" s="142"/>
      <c r="B192" s="52"/>
      <c r="C192" s="21">
        <f t="shared" si="26"/>
        <v>1</v>
      </c>
      <c r="D192" s="634"/>
      <c r="E192" s="21">
        <f t="shared" si="27"/>
        <v>0</v>
      </c>
      <c r="F192" s="634"/>
      <c r="G192" s="21">
        <f t="shared" si="28"/>
        <v>0.05</v>
      </c>
      <c r="H192" s="634"/>
      <c r="I192" s="21">
        <f t="shared" si="29"/>
        <v>0.05</v>
      </c>
      <c r="J192" s="634"/>
      <c r="K192" s="21">
        <f t="shared" si="30"/>
        <v>1</v>
      </c>
      <c r="L192" s="634"/>
      <c r="M192" s="21">
        <f t="shared" si="31"/>
        <v>1</v>
      </c>
      <c r="N192" s="634"/>
      <c r="O192" s="21">
        <f t="shared" si="32"/>
        <v>1</v>
      </c>
      <c r="P192" s="634"/>
      <c r="Q192" s="21">
        <f t="shared" si="33"/>
        <v>1</v>
      </c>
      <c r="R192" s="21">
        <f t="shared" si="34"/>
        <v>0</v>
      </c>
      <c r="S192" s="308">
        <f t="shared" si="25"/>
        <v>0</v>
      </c>
    </row>
    <row r="193" spans="1:19">
      <c r="A193" s="142"/>
      <c r="B193" s="52"/>
      <c r="C193" s="21">
        <f t="shared" si="26"/>
        <v>1</v>
      </c>
      <c r="D193" s="634"/>
      <c r="E193" s="21">
        <f t="shared" si="27"/>
        <v>0</v>
      </c>
      <c r="F193" s="634"/>
      <c r="G193" s="21">
        <f t="shared" si="28"/>
        <v>0.05</v>
      </c>
      <c r="H193" s="634"/>
      <c r="I193" s="21">
        <f t="shared" si="29"/>
        <v>0.05</v>
      </c>
      <c r="J193" s="634"/>
      <c r="K193" s="21">
        <f t="shared" si="30"/>
        <v>1</v>
      </c>
      <c r="L193" s="634"/>
      <c r="M193" s="21">
        <f t="shared" si="31"/>
        <v>1</v>
      </c>
      <c r="N193" s="634"/>
      <c r="O193" s="21">
        <f t="shared" si="32"/>
        <v>1</v>
      </c>
      <c r="P193" s="634"/>
      <c r="Q193" s="21">
        <f t="shared" si="33"/>
        <v>1</v>
      </c>
      <c r="R193" s="21">
        <f t="shared" si="34"/>
        <v>0</v>
      </c>
      <c r="S193" s="308">
        <f t="shared" si="25"/>
        <v>0</v>
      </c>
    </row>
    <row r="194" spans="1:19">
      <c r="A194" s="142"/>
      <c r="B194" s="52"/>
      <c r="C194" s="21">
        <f t="shared" si="26"/>
        <v>1</v>
      </c>
      <c r="D194" s="634"/>
      <c r="E194" s="21">
        <f t="shared" si="27"/>
        <v>0</v>
      </c>
      <c r="F194" s="634"/>
      <c r="G194" s="21">
        <f t="shared" si="28"/>
        <v>0.05</v>
      </c>
      <c r="H194" s="634"/>
      <c r="I194" s="21">
        <f t="shared" si="29"/>
        <v>0.05</v>
      </c>
      <c r="J194" s="634"/>
      <c r="K194" s="21">
        <f t="shared" si="30"/>
        <v>1</v>
      </c>
      <c r="L194" s="634"/>
      <c r="M194" s="21">
        <f t="shared" si="31"/>
        <v>1</v>
      </c>
      <c r="N194" s="634"/>
      <c r="O194" s="21">
        <f t="shared" si="32"/>
        <v>1</v>
      </c>
      <c r="P194" s="634"/>
      <c r="Q194" s="21">
        <f t="shared" si="33"/>
        <v>1</v>
      </c>
      <c r="R194" s="21">
        <f t="shared" si="34"/>
        <v>0</v>
      </c>
      <c r="S194" s="308">
        <f t="shared" si="25"/>
        <v>0</v>
      </c>
    </row>
    <row r="195" spans="1:19">
      <c r="A195" s="142"/>
      <c r="B195" s="52"/>
      <c r="C195" s="21">
        <f t="shared" si="26"/>
        <v>1</v>
      </c>
      <c r="D195" s="634"/>
      <c r="E195" s="21">
        <f t="shared" si="27"/>
        <v>0</v>
      </c>
      <c r="F195" s="634"/>
      <c r="G195" s="21">
        <f t="shared" si="28"/>
        <v>0.05</v>
      </c>
      <c r="H195" s="634"/>
      <c r="I195" s="21">
        <f t="shared" si="29"/>
        <v>0.05</v>
      </c>
      <c r="J195" s="634"/>
      <c r="K195" s="21">
        <f t="shared" si="30"/>
        <v>1</v>
      </c>
      <c r="L195" s="634"/>
      <c r="M195" s="21">
        <f t="shared" si="31"/>
        <v>1</v>
      </c>
      <c r="N195" s="634"/>
      <c r="O195" s="21">
        <f t="shared" si="32"/>
        <v>1</v>
      </c>
      <c r="P195" s="634"/>
      <c r="Q195" s="21">
        <f t="shared" si="33"/>
        <v>1</v>
      </c>
      <c r="R195" s="21">
        <f t="shared" si="34"/>
        <v>0</v>
      </c>
      <c r="S195" s="308">
        <f t="shared" si="25"/>
        <v>0</v>
      </c>
    </row>
    <row r="196" spans="1:19">
      <c r="A196" s="142"/>
      <c r="B196" s="52"/>
      <c r="C196" s="21">
        <f t="shared" si="26"/>
        <v>1</v>
      </c>
      <c r="D196" s="634"/>
      <c r="E196" s="21">
        <f t="shared" si="27"/>
        <v>0</v>
      </c>
      <c r="F196" s="634"/>
      <c r="G196" s="21">
        <f t="shared" si="28"/>
        <v>0.05</v>
      </c>
      <c r="H196" s="634"/>
      <c r="I196" s="21">
        <f t="shared" si="29"/>
        <v>0.05</v>
      </c>
      <c r="J196" s="634"/>
      <c r="K196" s="21">
        <f t="shared" si="30"/>
        <v>1</v>
      </c>
      <c r="L196" s="634"/>
      <c r="M196" s="21">
        <f t="shared" si="31"/>
        <v>1</v>
      </c>
      <c r="N196" s="634"/>
      <c r="O196" s="21">
        <f t="shared" si="32"/>
        <v>1</v>
      </c>
      <c r="P196" s="634"/>
      <c r="Q196" s="21">
        <f t="shared" si="33"/>
        <v>1</v>
      </c>
      <c r="R196" s="21">
        <f t="shared" si="34"/>
        <v>0</v>
      </c>
      <c r="S196" s="308">
        <f t="shared" si="25"/>
        <v>0</v>
      </c>
    </row>
    <row r="197" spans="1:19">
      <c r="A197" s="142"/>
      <c r="B197" s="52"/>
      <c r="C197" s="21">
        <f t="shared" si="26"/>
        <v>1</v>
      </c>
      <c r="D197" s="634"/>
      <c r="E197" s="21">
        <f t="shared" si="27"/>
        <v>0</v>
      </c>
      <c r="F197" s="634"/>
      <c r="G197" s="21">
        <f t="shared" si="28"/>
        <v>0.05</v>
      </c>
      <c r="H197" s="634"/>
      <c r="I197" s="21">
        <f t="shared" si="29"/>
        <v>0.05</v>
      </c>
      <c r="J197" s="634"/>
      <c r="K197" s="21">
        <f t="shared" si="30"/>
        <v>1</v>
      </c>
      <c r="L197" s="634"/>
      <c r="M197" s="21">
        <f t="shared" si="31"/>
        <v>1</v>
      </c>
      <c r="N197" s="634"/>
      <c r="O197" s="21">
        <f t="shared" si="32"/>
        <v>1</v>
      </c>
      <c r="P197" s="634"/>
      <c r="Q197" s="21">
        <f t="shared" si="33"/>
        <v>1</v>
      </c>
      <c r="R197" s="21">
        <f t="shared" si="34"/>
        <v>0</v>
      </c>
      <c r="S197" s="308">
        <f t="shared" si="25"/>
        <v>0</v>
      </c>
    </row>
    <row r="198" spans="1:19">
      <c r="A198" s="142"/>
      <c r="B198" s="52"/>
      <c r="C198" s="21">
        <f t="shared" si="26"/>
        <v>1</v>
      </c>
      <c r="D198" s="634"/>
      <c r="E198" s="21">
        <f t="shared" si="27"/>
        <v>0</v>
      </c>
      <c r="F198" s="634"/>
      <c r="G198" s="21">
        <f t="shared" si="28"/>
        <v>0.05</v>
      </c>
      <c r="H198" s="634"/>
      <c r="I198" s="21">
        <f t="shared" si="29"/>
        <v>0.05</v>
      </c>
      <c r="J198" s="634"/>
      <c r="K198" s="21">
        <f t="shared" si="30"/>
        <v>1</v>
      </c>
      <c r="L198" s="634"/>
      <c r="M198" s="21">
        <f t="shared" si="31"/>
        <v>1</v>
      </c>
      <c r="N198" s="634"/>
      <c r="O198" s="21">
        <f t="shared" si="32"/>
        <v>1</v>
      </c>
      <c r="P198" s="634"/>
      <c r="Q198" s="21">
        <f t="shared" si="33"/>
        <v>1</v>
      </c>
      <c r="R198" s="21">
        <f t="shared" si="34"/>
        <v>0</v>
      </c>
      <c r="S198" s="308">
        <f t="shared" si="25"/>
        <v>0</v>
      </c>
    </row>
    <row r="199" spans="1:19">
      <c r="A199" s="142"/>
      <c r="B199" s="52"/>
      <c r="C199" s="21">
        <f t="shared" si="26"/>
        <v>1</v>
      </c>
      <c r="D199" s="634"/>
      <c r="E199" s="21">
        <f t="shared" si="27"/>
        <v>0</v>
      </c>
      <c r="F199" s="634"/>
      <c r="G199" s="21">
        <f t="shared" si="28"/>
        <v>0.05</v>
      </c>
      <c r="H199" s="634"/>
      <c r="I199" s="21">
        <f t="shared" si="29"/>
        <v>0.05</v>
      </c>
      <c r="J199" s="634"/>
      <c r="K199" s="21">
        <f t="shared" si="30"/>
        <v>1</v>
      </c>
      <c r="L199" s="634"/>
      <c r="M199" s="21">
        <f t="shared" si="31"/>
        <v>1</v>
      </c>
      <c r="N199" s="634"/>
      <c r="O199" s="21">
        <f t="shared" si="32"/>
        <v>1</v>
      </c>
      <c r="P199" s="634"/>
      <c r="Q199" s="21">
        <f t="shared" si="33"/>
        <v>1</v>
      </c>
      <c r="R199" s="21">
        <f t="shared" si="34"/>
        <v>0</v>
      </c>
      <c r="S199" s="308">
        <f t="shared" si="25"/>
        <v>0</v>
      </c>
    </row>
    <row r="200" spans="1:19">
      <c r="A200" s="142"/>
      <c r="B200" s="52"/>
      <c r="C200" s="21">
        <f t="shared" si="26"/>
        <v>1</v>
      </c>
      <c r="D200" s="634"/>
      <c r="E200" s="21">
        <f t="shared" si="27"/>
        <v>0</v>
      </c>
      <c r="F200" s="634"/>
      <c r="G200" s="21">
        <f t="shared" si="28"/>
        <v>0.05</v>
      </c>
      <c r="H200" s="634"/>
      <c r="I200" s="21">
        <f t="shared" si="29"/>
        <v>0.05</v>
      </c>
      <c r="J200" s="634"/>
      <c r="K200" s="21">
        <f t="shared" si="30"/>
        <v>1</v>
      </c>
      <c r="L200" s="634"/>
      <c r="M200" s="21">
        <f t="shared" si="31"/>
        <v>1</v>
      </c>
      <c r="N200" s="634"/>
      <c r="O200" s="21">
        <f t="shared" si="32"/>
        <v>1</v>
      </c>
      <c r="P200" s="634"/>
      <c r="Q200" s="21">
        <f t="shared" si="33"/>
        <v>1</v>
      </c>
      <c r="R200" s="21">
        <f t="shared" si="34"/>
        <v>0</v>
      </c>
      <c r="S200" s="308">
        <f t="shared" si="25"/>
        <v>0</v>
      </c>
    </row>
    <row r="201" spans="1:19">
      <c r="A201" s="142"/>
      <c r="B201" s="52"/>
      <c r="C201" s="21">
        <f t="shared" si="26"/>
        <v>1</v>
      </c>
      <c r="D201" s="634"/>
      <c r="E201" s="21">
        <f t="shared" si="27"/>
        <v>0</v>
      </c>
      <c r="F201" s="634"/>
      <c r="G201" s="21">
        <f t="shared" si="28"/>
        <v>0.05</v>
      </c>
      <c r="H201" s="634"/>
      <c r="I201" s="21">
        <f t="shared" si="29"/>
        <v>0.05</v>
      </c>
      <c r="J201" s="634"/>
      <c r="K201" s="21">
        <f t="shared" si="30"/>
        <v>1</v>
      </c>
      <c r="L201" s="634"/>
      <c r="M201" s="21">
        <f t="shared" si="31"/>
        <v>1</v>
      </c>
      <c r="N201" s="634"/>
      <c r="O201" s="21">
        <f t="shared" si="32"/>
        <v>1</v>
      </c>
      <c r="P201" s="634"/>
      <c r="Q201" s="21">
        <f t="shared" si="33"/>
        <v>1</v>
      </c>
      <c r="R201" s="21">
        <f t="shared" si="34"/>
        <v>0</v>
      </c>
      <c r="S201" s="308">
        <f t="shared" si="25"/>
        <v>0</v>
      </c>
    </row>
    <row r="202" spans="1:19">
      <c r="A202" s="142"/>
      <c r="B202" s="52"/>
      <c r="C202" s="21">
        <f t="shared" si="26"/>
        <v>1</v>
      </c>
      <c r="D202" s="634"/>
      <c r="E202" s="21">
        <f t="shared" si="27"/>
        <v>0</v>
      </c>
      <c r="F202" s="634"/>
      <c r="G202" s="21">
        <f t="shared" si="28"/>
        <v>0.05</v>
      </c>
      <c r="H202" s="634"/>
      <c r="I202" s="21">
        <f t="shared" si="29"/>
        <v>0.05</v>
      </c>
      <c r="J202" s="634"/>
      <c r="K202" s="21">
        <f t="shared" si="30"/>
        <v>1</v>
      </c>
      <c r="L202" s="634"/>
      <c r="M202" s="21">
        <f t="shared" si="31"/>
        <v>1</v>
      </c>
      <c r="N202" s="634"/>
      <c r="O202" s="21">
        <f t="shared" si="32"/>
        <v>1</v>
      </c>
      <c r="P202" s="634"/>
      <c r="Q202" s="21">
        <f t="shared" si="33"/>
        <v>1</v>
      </c>
      <c r="R202" s="21">
        <f t="shared" si="34"/>
        <v>0</v>
      </c>
      <c r="S202" s="308">
        <f t="shared" si="25"/>
        <v>0</v>
      </c>
    </row>
    <row r="203" spans="1:19">
      <c r="A203" s="142"/>
      <c r="B203" s="52"/>
      <c r="C203" s="21">
        <f t="shared" si="26"/>
        <v>1</v>
      </c>
      <c r="D203" s="634"/>
      <c r="E203" s="21">
        <f t="shared" si="27"/>
        <v>0</v>
      </c>
      <c r="F203" s="634"/>
      <c r="G203" s="21">
        <f t="shared" si="28"/>
        <v>0.05</v>
      </c>
      <c r="H203" s="634"/>
      <c r="I203" s="21">
        <f t="shared" si="29"/>
        <v>0.05</v>
      </c>
      <c r="J203" s="634"/>
      <c r="K203" s="21">
        <f t="shared" si="30"/>
        <v>1</v>
      </c>
      <c r="L203" s="634"/>
      <c r="M203" s="21">
        <f t="shared" si="31"/>
        <v>1</v>
      </c>
      <c r="N203" s="634"/>
      <c r="O203" s="21">
        <f t="shared" si="32"/>
        <v>1</v>
      </c>
      <c r="P203" s="634"/>
      <c r="Q203" s="21">
        <f t="shared" si="33"/>
        <v>1</v>
      </c>
      <c r="R203" s="21">
        <f t="shared" si="34"/>
        <v>0</v>
      </c>
      <c r="S203" s="308">
        <f t="shared" si="25"/>
        <v>0</v>
      </c>
    </row>
    <row r="204" spans="1:19">
      <c r="A204" s="142"/>
      <c r="B204" s="52"/>
      <c r="C204" s="21">
        <f t="shared" si="26"/>
        <v>1</v>
      </c>
      <c r="D204" s="634"/>
      <c r="E204" s="21">
        <f t="shared" si="27"/>
        <v>0</v>
      </c>
      <c r="F204" s="634"/>
      <c r="G204" s="21">
        <f t="shared" si="28"/>
        <v>0.05</v>
      </c>
      <c r="H204" s="634"/>
      <c r="I204" s="21">
        <f t="shared" si="29"/>
        <v>0.05</v>
      </c>
      <c r="J204" s="634"/>
      <c r="K204" s="21">
        <f t="shared" si="30"/>
        <v>1</v>
      </c>
      <c r="L204" s="634"/>
      <c r="M204" s="21">
        <f t="shared" si="31"/>
        <v>1</v>
      </c>
      <c r="N204" s="634"/>
      <c r="O204" s="21">
        <f t="shared" si="32"/>
        <v>1</v>
      </c>
      <c r="P204" s="634"/>
      <c r="Q204" s="21">
        <f t="shared" si="33"/>
        <v>1</v>
      </c>
      <c r="R204" s="21">
        <f t="shared" si="34"/>
        <v>0</v>
      </c>
      <c r="S204" s="308">
        <f t="shared" si="25"/>
        <v>0</v>
      </c>
    </row>
    <row r="205" spans="1:19">
      <c r="A205" s="142"/>
      <c r="B205" s="52"/>
      <c r="C205" s="21">
        <f t="shared" si="26"/>
        <v>1</v>
      </c>
      <c r="D205" s="634"/>
      <c r="E205" s="21">
        <f t="shared" si="27"/>
        <v>0</v>
      </c>
      <c r="F205" s="634"/>
      <c r="G205" s="21">
        <f t="shared" si="28"/>
        <v>0.05</v>
      </c>
      <c r="H205" s="634"/>
      <c r="I205" s="21">
        <f t="shared" si="29"/>
        <v>0.05</v>
      </c>
      <c r="J205" s="634"/>
      <c r="K205" s="21">
        <f t="shared" si="30"/>
        <v>1</v>
      </c>
      <c r="L205" s="634"/>
      <c r="M205" s="21">
        <f t="shared" si="31"/>
        <v>1</v>
      </c>
      <c r="N205" s="634"/>
      <c r="O205" s="21">
        <f t="shared" si="32"/>
        <v>1</v>
      </c>
      <c r="P205" s="634"/>
      <c r="Q205" s="21">
        <f t="shared" si="33"/>
        <v>1</v>
      </c>
      <c r="R205" s="21">
        <f t="shared" si="34"/>
        <v>0</v>
      </c>
      <c r="S205" s="308">
        <f t="shared" si="25"/>
        <v>0</v>
      </c>
    </row>
    <row r="206" spans="1:19">
      <c r="A206" s="142"/>
      <c r="B206" s="52"/>
      <c r="C206" s="21">
        <f t="shared" si="26"/>
        <v>1</v>
      </c>
      <c r="D206" s="634"/>
      <c r="E206" s="21">
        <f t="shared" si="27"/>
        <v>0</v>
      </c>
      <c r="F206" s="634"/>
      <c r="G206" s="21">
        <f t="shared" si="28"/>
        <v>0.05</v>
      </c>
      <c r="H206" s="634"/>
      <c r="I206" s="21">
        <f t="shared" si="29"/>
        <v>0.05</v>
      </c>
      <c r="J206" s="634"/>
      <c r="K206" s="21">
        <f t="shared" si="30"/>
        <v>1</v>
      </c>
      <c r="L206" s="634"/>
      <c r="M206" s="21">
        <f t="shared" si="31"/>
        <v>1</v>
      </c>
      <c r="N206" s="634"/>
      <c r="O206" s="21">
        <f t="shared" si="32"/>
        <v>1</v>
      </c>
      <c r="P206" s="634"/>
      <c r="Q206" s="21">
        <f t="shared" si="33"/>
        <v>1</v>
      </c>
      <c r="R206" s="21">
        <f t="shared" si="34"/>
        <v>0</v>
      </c>
      <c r="S206" s="308">
        <f t="shared" si="25"/>
        <v>0</v>
      </c>
    </row>
    <row r="207" spans="1:19">
      <c r="A207" s="142"/>
      <c r="B207" s="52"/>
      <c r="C207" s="21">
        <f t="shared" si="26"/>
        <v>1</v>
      </c>
      <c r="D207" s="634"/>
      <c r="E207" s="21">
        <f t="shared" si="27"/>
        <v>0</v>
      </c>
      <c r="F207" s="634"/>
      <c r="G207" s="21">
        <f t="shared" si="28"/>
        <v>0.05</v>
      </c>
      <c r="H207" s="634"/>
      <c r="I207" s="21">
        <f t="shared" si="29"/>
        <v>0.05</v>
      </c>
      <c r="J207" s="634"/>
      <c r="K207" s="21">
        <f t="shared" si="30"/>
        <v>1</v>
      </c>
      <c r="L207" s="634"/>
      <c r="M207" s="21">
        <f t="shared" si="31"/>
        <v>1</v>
      </c>
      <c r="N207" s="634"/>
      <c r="O207" s="21">
        <f t="shared" si="32"/>
        <v>1</v>
      </c>
      <c r="P207" s="634"/>
      <c r="Q207" s="21">
        <f t="shared" si="33"/>
        <v>1</v>
      </c>
      <c r="R207" s="21">
        <f t="shared" si="34"/>
        <v>0</v>
      </c>
      <c r="S207" s="308">
        <f t="shared" si="25"/>
        <v>0</v>
      </c>
    </row>
    <row r="208" spans="1:19">
      <c r="A208" s="142"/>
      <c r="B208" s="52"/>
      <c r="C208" s="21">
        <f t="shared" si="26"/>
        <v>1</v>
      </c>
      <c r="D208" s="634"/>
      <c r="E208" s="21">
        <f t="shared" si="27"/>
        <v>0</v>
      </c>
      <c r="F208" s="634"/>
      <c r="G208" s="21">
        <f t="shared" si="28"/>
        <v>0.05</v>
      </c>
      <c r="H208" s="634"/>
      <c r="I208" s="21">
        <f t="shared" si="29"/>
        <v>0.05</v>
      </c>
      <c r="J208" s="634"/>
      <c r="K208" s="21">
        <f t="shared" si="30"/>
        <v>1</v>
      </c>
      <c r="L208" s="634"/>
      <c r="M208" s="21">
        <f t="shared" si="31"/>
        <v>1</v>
      </c>
      <c r="N208" s="634"/>
      <c r="O208" s="21">
        <f t="shared" si="32"/>
        <v>1</v>
      </c>
      <c r="P208" s="634"/>
      <c r="Q208" s="21">
        <f t="shared" si="33"/>
        <v>1</v>
      </c>
      <c r="R208" s="21">
        <f t="shared" si="34"/>
        <v>0</v>
      </c>
      <c r="S208" s="308">
        <f t="shared" si="25"/>
        <v>0</v>
      </c>
    </row>
    <row r="209" spans="1:19">
      <c r="A209" s="142"/>
      <c r="B209" s="52"/>
      <c r="C209" s="21">
        <f t="shared" si="26"/>
        <v>1</v>
      </c>
      <c r="D209" s="634"/>
      <c r="E209" s="21">
        <f t="shared" si="27"/>
        <v>0</v>
      </c>
      <c r="F209" s="634"/>
      <c r="G209" s="21">
        <f t="shared" si="28"/>
        <v>0.05</v>
      </c>
      <c r="H209" s="634"/>
      <c r="I209" s="21">
        <f t="shared" si="29"/>
        <v>0.05</v>
      </c>
      <c r="J209" s="634"/>
      <c r="K209" s="21">
        <f t="shared" si="30"/>
        <v>1</v>
      </c>
      <c r="L209" s="634"/>
      <c r="M209" s="21">
        <f t="shared" si="31"/>
        <v>1</v>
      </c>
      <c r="N209" s="634"/>
      <c r="O209" s="21">
        <f t="shared" si="32"/>
        <v>1</v>
      </c>
      <c r="P209" s="634"/>
      <c r="Q209" s="21">
        <f t="shared" si="33"/>
        <v>1</v>
      </c>
      <c r="R209" s="21">
        <f t="shared" si="34"/>
        <v>0</v>
      </c>
      <c r="S209" s="308">
        <f t="shared" si="25"/>
        <v>0</v>
      </c>
    </row>
    <row r="210" spans="1:19">
      <c r="A210" s="142"/>
      <c r="B210" s="52"/>
      <c r="C210" s="21">
        <f t="shared" si="26"/>
        <v>1</v>
      </c>
      <c r="D210" s="634"/>
      <c r="E210" s="21">
        <f t="shared" si="27"/>
        <v>0</v>
      </c>
      <c r="F210" s="634"/>
      <c r="G210" s="21">
        <f t="shared" si="28"/>
        <v>0.05</v>
      </c>
      <c r="H210" s="634"/>
      <c r="I210" s="21">
        <f t="shared" si="29"/>
        <v>0.05</v>
      </c>
      <c r="J210" s="634"/>
      <c r="K210" s="21">
        <f t="shared" si="30"/>
        <v>1</v>
      </c>
      <c r="L210" s="634"/>
      <c r="M210" s="21">
        <f t="shared" si="31"/>
        <v>1</v>
      </c>
      <c r="N210" s="634"/>
      <c r="O210" s="21">
        <f t="shared" si="32"/>
        <v>1</v>
      </c>
      <c r="P210" s="634"/>
      <c r="Q210" s="21">
        <f t="shared" si="33"/>
        <v>1</v>
      </c>
      <c r="R210" s="21">
        <f t="shared" si="34"/>
        <v>0</v>
      </c>
      <c r="S210" s="308">
        <f t="shared" si="25"/>
        <v>0</v>
      </c>
    </row>
    <row r="211" spans="1:19">
      <c r="A211" s="142"/>
      <c r="B211" s="52"/>
      <c r="C211" s="21">
        <f t="shared" si="26"/>
        <v>1</v>
      </c>
      <c r="D211" s="634"/>
      <c r="E211" s="21">
        <f t="shared" si="27"/>
        <v>0</v>
      </c>
      <c r="F211" s="634"/>
      <c r="G211" s="21">
        <f t="shared" si="28"/>
        <v>0.05</v>
      </c>
      <c r="H211" s="634"/>
      <c r="I211" s="21">
        <f t="shared" si="29"/>
        <v>0.05</v>
      </c>
      <c r="J211" s="634"/>
      <c r="K211" s="21">
        <f t="shared" si="30"/>
        <v>1</v>
      </c>
      <c r="L211" s="634"/>
      <c r="M211" s="21">
        <f t="shared" si="31"/>
        <v>1</v>
      </c>
      <c r="N211" s="634"/>
      <c r="O211" s="21">
        <f t="shared" si="32"/>
        <v>1</v>
      </c>
      <c r="P211" s="634"/>
      <c r="Q211" s="21">
        <f t="shared" si="33"/>
        <v>1</v>
      </c>
      <c r="R211" s="21">
        <f t="shared" si="34"/>
        <v>0</v>
      </c>
      <c r="S211" s="308">
        <f t="shared" si="25"/>
        <v>0</v>
      </c>
    </row>
    <row r="212" spans="1:19">
      <c r="A212" s="142"/>
      <c r="B212" s="52"/>
      <c r="C212" s="21">
        <f t="shared" si="26"/>
        <v>1</v>
      </c>
      <c r="D212" s="634"/>
      <c r="E212" s="21">
        <f t="shared" si="27"/>
        <v>0</v>
      </c>
      <c r="F212" s="634"/>
      <c r="G212" s="21">
        <f t="shared" si="28"/>
        <v>0.05</v>
      </c>
      <c r="H212" s="634"/>
      <c r="I212" s="21">
        <f t="shared" si="29"/>
        <v>0.05</v>
      </c>
      <c r="J212" s="634"/>
      <c r="K212" s="21">
        <f t="shared" si="30"/>
        <v>1</v>
      </c>
      <c r="L212" s="634"/>
      <c r="M212" s="21">
        <f t="shared" si="31"/>
        <v>1</v>
      </c>
      <c r="N212" s="634"/>
      <c r="O212" s="21">
        <f t="shared" si="32"/>
        <v>1</v>
      </c>
      <c r="P212" s="634"/>
      <c r="Q212" s="21">
        <f t="shared" si="33"/>
        <v>1</v>
      </c>
      <c r="R212" s="21">
        <f t="shared" si="34"/>
        <v>0</v>
      </c>
      <c r="S212" s="308">
        <f t="shared" si="25"/>
        <v>0</v>
      </c>
    </row>
    <row r="213" spans="1:19">
      <c r="A213" s="142"/>
      <c r="B213" s="52"/>
      <c r="C213" s="21">
        <f t="shared" si="26"/>
        <v>1</v>
      </c>
      <c r="D213" s="634"/>
      <c r="E213" s="21">
        <f t="shared" si="27"/>
        <v>0</v>
      </c>
      <c r="F213" s="634"/>
      <c r="G213" s="21">
        <f t="shared" si="28"/>
        <v>0.05</v>
      </c>
      <c r="H213" s="634"/>
      <c r="I213" s="21">
        <f t="shared" si="29"/>
        <v>0.05</v>
      </c>
      <c r="J213" s="634"/>
      <c r="K213" s="21">
        <f t="shared" si="30"/>
        <v>1</v>
      </c>
      <c r="L213" s="634"/>
      <c r="M213" s="21">
        <f t="shared" si="31"/>
        <v>1</v>
      </c>
      <c r="N213" s="634"/>
      <c r="O213" s="21">
        <f t="shared" si="32"/>
        <v>1</v>
      </c>
      <c r="P213" s="634"/>
      <c r="Q213" s="21">
        <f t="shared" si="33"/>
        <v>1</v>
      </c>
      <c r="R213" s="21">
        <f t="shared" si="34"/>
        <v>0</v>
      </c>
      <c r="S213" s="308">
        <f t="shared" si="25"/>
        <v>0</v>
      </c>
    </row>
    <row r="214" spans="1:19">
      <c r="A214" s="142"/>
      <c r="B214" s="52"/>
      <c r="C214" s="21">
        <f t="shared" si="26"/>
        <v>1</v>
      </c>
      <c r="D214" s="634"/>
      <c r="E214" s="21">
        <f t="shared" si="27"/>
        <v>0</v>
      </c>
      <c r="F214" s="634"/>
      <c r="G214" s="21">
        <f t="shared" si="28"/>
        <v>0.05</v>
      </c>
      <c r="H214" s="634"/>
      <c r="I214" s="21">
        <f t="shared" si="29"/>
        <v>0.05</v>
      </c>
      <c r="J214" s="634"/>
      <c r="K214" s="21">
        <f t="shared" si="30"/>
        <v>1</v>
      </c>
      <c r="L214" s="634"/>
      <c r="M214" s="21">
        <f t="shared" si="31"/>
        <v>1</v>
      </c>
      <c r="N214" s="634"/>
      <c r="O214" s="21">
        <f t="shared" si="32"/>
        <v>1</v>
      </c>
      <c r="P214" s="634"/>
      <c r="Q214" s="21">
        <f t="shared" si="33"/>
        <v>1</v>
      </c>
      <c r="R214" s="21">
        <f t="shared" si="34"/>
        <v>0</v>
      </c>
      <c r="S214" s="308">
        <f t="shared" si="25"/>
        <v>0</v>
      </c>
    </row>
    <row r="215" spans="1:19">
      <c r="A215" s="142"/>
      <c r="B215" s="52"/>
      <c r="C215" s="21">
        <f t="shared" si="26"/>
        <v>1</v>
      </c>
      <c r="D215" s="634"/>
      <c r="E215" s="21">
        <f t="shared" si="27"/>
        <v>0</v>
      </c>
      <c r="F215" s="634"/>
      <c r="G215" s="21">
        <f t="shared" si="28"/>
        <v>0.05</v>
      </c>
      <c r="H215" s="634"/>
      <c r="I215" s="21">
        <f t="shared" si="29"/>
        <v>0.05</v>
      </c>
      <c r="J215" s="634"/>
      <c r="K215" s="21">
        <f t="shared" si="30"/>
        <v>1</v>
      </c>
      <c r="L215" s="634"/>
      <c r="M215" s="21">
        <f t="shared" si="31"/>
        <v>1</v>
      </c>
      <c r="N215" s="634"/>
      <c r="O215" s="21">
        <f t="shared" si="32"/>
        <v>1</v>
      </c>
      <c r="P215" s="634"/>
      <c r="Q215" s="21">
        <f t="shared" si="33"/>
        <v>1</v>
      </c>
      <c r="R215" s="21">
        <f t="shared" si="34"/>
        <v>0</v>
      </c>
      <c r="S215" s="308">
        <f t="shared" si="25"/>
        <v>0</v>
      </c>
    </row>
    <row r="216" spans="1:19">
      <c r="A216" s="142"/>
      <c r="B216" s="52"/>
      <c r="C216" s="21">
        <f t="shared" si="26"/>
        <v>1</v>
      </c>
      <c r="D216" s="634"/>
      <c r="E216" s="21">
        <f t="shared" si="27"/>
        <v>0</v>
      </c>
      <c r="F216" s="634"/>
      <c r="G216" s="21">
        <f t="shared" si="28"/>
        <v>0.05</v>
      </c>
      <c r="H216" s="634"/>
      <c r="I216" s="21">
        <f t="shared" si="29"/>
        <v>0.05</v>
      </c>
      <c r="J216" s="634"/>
      <c r="K216" s="21">
        <f t="shared" si="30"/>
        <v>1</v>
      </c>
      <c r="L216" s="634"/>
      <c r="M216" s="21">
        <f t="shared" si="31"/>
        <v>1</v>
      </c>
      <c r="N216" s="634"/>
      <c r="O216" s="21">
        <f t="shared" si="32"/>
        <v>1</v>
      </c>
      <c r="P216" s="634"/>
      <c r="Q216" s="21">
        <f t="shared" si="33"/>
        <v>1</v>
      </c>
      <c r="R216" s="21">
        <f t="shared" si="34"/>
        <v>0</v>
      </c>
      <c r="S216" s="308">
        <f t="shared" ref="S216:S279" si="35">ROUND(R216*B216/10000,0)</f>
        <v>0</v>
      </c>
    </row>
    <row r="217" spans="1:19">
      <c r="A217" s="142"/>
      <c r="B217" s="52"/>
      <c r="C217" s="21">
        <f t="shared" si="26"/>
        <v>1</v>
      </c>
      <c r="D217" s="634"/>
      <c r="E217" s="21">
        <f t="shared" si="27"/>
        <v>0</v>
      </c>
      <c r="F217" s="634"/>
      <c r="G217" s="21">
        <f t="shared" si="28"/>
        <v>0.05</v>
      </c>
      <c r="H217" s="634"/>
      <c r="I217" s="21">
        <f t="shared" si="29"/>
        <v>0.05</v>
      </c>
      <c r="J217" s="634"/>
      <c r="K217" s="21">
        <f t="shared" si="30"/>
        <v>1</v>
      </c>
      <c r="L217" s="634"/>
      <c r="M217" s="21">
        <f t="shared" si="31"/>
        <v>1</v>
      </c>
      <c r="N217" s="634"/>
      <c r="O217" s="21">
        <f t="shared" si="32"/>
        <v>1</v>
      </c>
      <c r="P217" s="634"/>
      <c r="Q217" s="21">
        <f t="shared" si="33"/>
        <v>1</v>
      </c>
      <c r="R217" s="21">
        <f t="shared" si="34"/>
        <v>0</v>
      </c>
      <c r="S217" s="308">
        <f t="shared" si="35"/>
        <v>0</v>
      </c>
    </row>
    <row r="218" spans="1:19">
      <c r="A218" s="142"/>
      <c r="B218" s="52"/>
      <c r="C218" s="21">
        <f t="shared" ref="C218:C281" si="36">IF(B218="",1,(LOOKUP(B218,$3:$3,$4:$4)-LOOKUP($B$24,$3:$3,$4:$4)+100)/100)</f>
        <v>1</v>
      </c>
      <c r="D218" s="634"/>
      <c r="E218" s="21">
        <f t="shared" ref="E218:E281" si="37">(SUMIF($5:$5,D218,$6:$6)-SUMIF($5:$5,$D$24,$6:$6)+100)/100</f>
        <v>0</v>
      </c>
      <c r="F218" s="634"/>
      <c r="G218" s="21">
        <f t="shared" ref="G218:G281" si="38">(SUMIF($7:$7,F218,$8:$8)-SUMIF($7:$7,$F$24,$8:$8)+100)/100</f>
        <v>0.05</v>
      </c>
      <c r="H218" s="634"/>
      <c r="I218" s="21">
        <f t="shared" ref="I218:I281" si="39">(SUMIF($9:$9,H218,$10:$10)-SUMIF($9:$9,$H$24,$10:$10)+100)/100</f>
        <v>0.05</v>
      </c>
      <c r="J218" s="634"/>
      <c r="K218" s="21">
        <f t="shared" ref="K218:K281" si="40">(SUMIF($11:$11,J218,$12:$12)-SUMIF($11:$11,$J$24,$12:$12)+100)/100</f>
        <v>1</v>
      </c>
      <c r="L218" s="634"/>
      <c r="M218" s="21">
        <f t="shared" ref="M218:M281" si="41">(SUMIF($13:$13,L218,$14:$14)-SUMIF($13:$13,$L$24,$14:$14)+100)/100</f>
        <v>1</v>
      </c>
      <c r="N218" s="634"/>
      <c r="O218" s="21">
        <f t="shared" ref="O218:O281" si="42">(SUMIF($15:$15,N218,$16:$16)-SUMIF($15:$15,$N$24,$16:$16)+100)/100</f>
        <v>1</v>
      </c>
      <c r="P218" s="634"/>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4"/>
      <c r="E219" s="21">
        <f t="shared" si="37"/>
        <v>0</v>
      </c>
      <c r="F219" s="634"/>
      <c r="G219" s="21">
        <f t="shared" si="38"/>
        <v>0.05</v>
      </c>
      <c r="H219" s="634"/>
      <c r="I219" s="21">
        <f t="shared" si="39"/>
        <v>0.05</v>
      </c>
      <c r="J219" s="634"/>
      <c r="K219" s="21">
        <f t="shared" si="40"/>
        <v>1</v>
      </c>
      <c r="L219" s="634"/>
      <c r="M219" s="21">
        <f t="shared" si="41"/>
        <v>1</v>
      </c>
      <c r="N219" s="634"/>
      <c r="O219" s="21">
        <f t="shared" si="42"/>
        <v>1</v>
      </c>
      <c r="P219" s="634"/>
      <c r="Q219" s="21">
        <f t="shared" si="43"/>
        <v>1</v>
      </c>
      <c r="R219" s="21">
        <f t="shared" si="44"/>
        <v>0</v>
      </c>
      <c r="S219" s="308">
        <f t="shared" si="35"/>
        <v>0</v>
      </c>
    </row>
    <row r="220" spans="1:19">
      <c r="A220" s="142"/>
      <c r="B220" s="52"/>
      <c r="C220" s="21">
        <f t="shared" si="36"/>
        <v>1</v>
      </c>
      <c r="D220" s="634"/>
      <c r="E220" s="21">
        <f t="shared" si="37"/>
        <v>0</v>
      </c>
      <c r="F220" s="634"/>
      <c r="G220" s="21">
        <f t="shared" si="38"/>
        <v>0.05</v>
      </c>
      <c r="H220" s="634"/>
      <c r="I220" s="21">
        <f t="shared" si="39"/>
        <v>0.05</v>
      </c>
      <c r="J220" s="634"/>
      <c r="K220" s="21">
        <f t="shared" si="40"/>
        <v>1</v>
      </c>
      <c r="L220" s="634"/>
      <c r="M220" s="21">
        <f t="shared" si="41"/>
        <v>1</v>
      </c>
      <c r="N220" s="634"/>
      <c r="O220" s="21">
        <f t="shared" si="42"/>
        <v>1</v>
      </c>
      <c r="P220" s="634"/>
      <c r="Q220" s="21">
        <f t="shared" si="43"/>
        <v>1</v>
      </c>
      <c r="R220" s="21">
        <f t="shared" si="44"/>
        <v>0</v>
      </c>
      <c r="S220" s="308">
        <f t="shared" si="35"/>
        <v>0</v>
      </c>
    </row>
    <row r="221" spans="1:19">
      <c r="A221" s="142"/>
      <c r="B221" s="52"/>
      <c r="C221" s="21">
        <f t="shared" si="36"/>
        <v>1</v>
      </c>
      <c r="D221" s="634"/>
      <c r="E221" s="21">
        <f t="shared" si="37"/>
        <v>0</v>
      </c>
      <c r="F221" s="634"/>
      <c r="G221" s="21">
        <f t="shared" si="38"/>
        <v>0.05</v>
      </c>
      <c r="H221" s="634"/>
      <c r="I221" s="21">
        <f t="shared" si="39"/>
        <v>0.05</v>
      </c>
      <c r="J221" s="634"/>
      <c r="K221" s="21">
        <f t="shared" si="40"/>
        <v>1</v>
      </c>
      <c r="L221" s="634"/>
      <c r="M221" s="21">
        <f t="shared" si="41"/>
        <v>1</v>
      </c>
      <c r="N221" s="634"/>
      <c r="O221" s="21">
        <f t="shared" si="42"/>
        <v>1</v>
      </c>
      <c r="P221" s="634"/>
      <c r="Q221" s="21">
        <f t="shared" si="43"/>
        <v>1</v>
      </c>
      <c r="R221" s="21">
        <f t="shared" si="44"/>
        <v>0</v>
      </c>
      <c r="S221" s="308">
        <f t="shared" si="35"/>
        <v>0</v>
      </c>
    </row>
    <row r="222" spans="1:19">
      <c r="A222" s="142"/>
      <c r="B222" s="52"/>
      <c r="C222" s="21">
        <f t="shared" si="36"/>
        <v>1</v>
      </c>
      <c r="D222" s="634"/>
      <c r="E222" s="21">
        <f t="shared" si="37"/>
        <v>0</v>
      </c>
      <c r="F222" s="634"/>
      <c r="G222" s="21">
        <f t="shared" si="38"/>
        <v>0.05</v>
      </c>
      <c r="H222" s="634"/>
      <c r="I222" s="21">
        <f t="shared" si="39"/>
        <v>0.05</v>
      </c>
      <c r="J222" s="634"/>
      <c r="K222" s="21">
        <f t="shared" si="40"/>
        <v>1</v>
      </c>
      <c r="L222" s="634"/>
      <c r="M222" s="21">
        <f t="shared" si="41"/>
        <v>1</v>
      </c>
      <c r="N222" s="634"/>
      <c r="O222" s="21">
        <f t="shared" si="42"/>
        <v>1</v>
      </c>
      <c r="P222" s="634"/>
      <c r="Q222" s="21">
        <f t="shared" si="43"/>
        <v>1</v>
      </c>
      <c r="R222" s="21">
        <f t="shared" si="44"/>
        <v>0</v>
      </c>
      <c r="S222" s="308">
        <f t="shared" si="35"/>
        <v>0</v>
      </c>
    </row>
    <row r="223" spans="1:19">
      <c r="A223" s="142"/>
      <c r="B223" s="52"/>
      <c r="C223" s="21">
        <f t="shared" si="36"/>
        <v>1</v>
      </c>
      <c r="D223" s="634"/>
      <c r="E223" s="21">
        <f t="shared" si="37"/>
        <v>0</v>
      </c>
      <c r="F223" s="634"/>
      <c r="G223" s="21">
        <f t="shared" si="38"/>
        <v>0.05</v>
      </c>
      <c r="H223" s="634"/>
      <c r="I223" s="21">
        <f t="shared" si="39"/>
        <v>0.05</v>
      </c>
      <c r="J223" s="634"/>
      <c r="K223" s="21">
        <f t="shared" si="40"/>
        <v>1</v>
      </c>
      <c r="L223" s="634"/>
      <c r="M223" s="21">
        <f t="shared" si="41"/>
        <v>1</v>
      </c>
      <c r="N223" s="634"/>
      <c r="O223" s="21">
        <f t="shared" si="42"/>
        <v>1</v>
      </c>
      <c r="P223" s="634"/>
      <c r="Q223" s="21">
        <f t="shared" si="43"/>
        <v>1</v>
      </c>
      <c r="R223" s="21">
        <f t="shared" si="44"/>
        <v>0</v>
      </c>
      <c r="S223" s="308">
        <f t="shared" si="35"/>
        <v>0</v>
      </c>
    </row>
    <row r="224" spans="1:19">
      <c r="A224" s="142"/>
      <c r="B224" s="52"/>
      <c r="C224" s="21">
        <f t="shared" si="36"/>
        <v>1</v>
      </c>
      <c r="D224" s="634"/>
      <c r="E224" s="21">
        <f t="shared" si="37"/>
        <v>0</v>
      </c>
      <c r="F224" s="634"/>
      <c r="G224" s="21">
        <f t="shared" si="38"/>
        <v>0.05</v>
      </c>
      <c r="H224" s="634"/>
      <c r="I224" s="21">
        <f t="shared" si="39"/>
        <v>0.05</v>
      </c>
      <c r="J224" s="634"/>
      <c r="K224" s="21">
        <f t="shared" si="40"/>
        <v>1</v>
      </c>
      <c r="L224" s="634"/>
      <c r="M224" s="21">
        <f t="shared" si="41"/>
        <v>1</v>
      </c>
      <c r="N224" s="634"/>
      <c r="O224" s="21">
        <f t="shared" si="42"/>
        <v>1</v>
      </c>
      <c r="P224" s="634"/>
      <c r="Q224" s="21">
        <f t="shared" si="43"/>
        <v>1</v>
      </c>
      <c r="R224" s="21">
        <f t="shared" si="44"/>
        <v>0</v>
      </c>
      <c r="S224" s="308">
        <f t="shared" si="35"/>
        <v>0</v>
      </c>
    </row>
    <row r="225" spans="1:19">
      <c r="A225" s="142"/>
      <c r="B225" s="52"/>
      <c r="C225" s="21">
        <f t="shared" si="36"/>
        <v>1</v>
      </c>
      <c r="D225" s="634"/>
      <c r="E225" s="21">
        <f t="shared" si="37"/>
        <v>0</v>
      </c>
      <c r="F225" s="634"/>
      <c r="G225" s="21">
        <f t="shared" si="38"/>
        <v>0.05</v>
      </c>
      <c r="H225" s="634"/>
      <c r="I225" s="21">
        <f t="shared" si="39"/>
        <v>0.05</v>
      </c>
      <c r="J225" s="634"/>
      <c r="K225" s="21">
        <f t="shared" si="40"/>
        <v>1</v>
      </c>
      <c r="L225" s="634"/>
      <c r="M225" s="21">
        <f t="shared" si="41"/>
        <v>1</v>
      </c>
      <c r="N225" s="634"/>
      <c r="O225" s="21">
        <f t="shared" si="42"/>
        <v>1</v>
      </c>
      <c r="P225" s="634"/>
      <c r="Q225" s="21">
        <f t="shared" si="43"/>
        <v>1</v>
      </c>
      <c r="R225" s="21">
        <f t="shared" si="44"/>
        <v>0</v>
      </c>
      <c r="S225" s="308">
        <f t="shared" si="35"/>
        <v>0</v>
      </c>
    </row>
    <row r="226" spans="1:19">
      <c r="A226" s="142"/>
      <c r="B226" s="52"/>
      <c r="C226" s="21">
        <f t="shared" si="36"/>
        <v>1</v>
      </c>
      <c r="D226" s="634"/>
      <c r="E226" s="21">
        <f t="shared" si="37"/>
        <v>0</v>
      </c>
      <c r="F226" s="634"/>
      <c r="G226" s="21">
        <f t="shared" si="38"/>
        <v>0.05</v>
      </c>
      <c r="H226" s="634"/>
      <c r="I226" s="21">
        <f t="shared" si="39"/>
        <v>0.05</v>
      </c>
      <c r="J226" s="634"/>
      <c r="K226" s="21">
        <f t="shared" si="40"/>
        <v>1</v>
      </c>
      <c r="L226" s="634"/>
      <c r="M226" s="21">
        <f t="shared" si="41"/>
        <v>1</v>
      </c>
      <c r="N226" s="634"/>
      <c r="O226" s="21">
        <f t="shared" si="42"/>
        <v>1</v>
      </c>
      <c r="P226" s="634"/>
      <c r="Q226" s="21">
        <f t="shared" si="43"/>
        <v>1</v>
      </c>
      <c r="R226" s="21">
        <f t="shared" si="44"/>
        <v>0</v>
      </c>
      <c r="S226" s="308">
        <f t="shared" si="35"/>
        <v>0</v>
      </c>
    </row>
    <row r="227" spans="1:19">
      <c r="A227" s="142"/>
      <c r="B227" s="52"/>
      <c r="C227" s="21">
        <f t="shared" si="36"/>
        <v>1</v>
      </c>
      <c r="D227" s="634"/>
      <c r="E227" s="21">
        <f t="shared" si="37"/>
        <v>0</v>
      </c>
      <c r="F227" s="634"/>
      <c r="G227" s="21">
        <f t="shared" si="38"/>
        <v>0.05</v>
      </c>
      <c r="H227" s="634"/>
      <c r="I227" s="21">
        <f t="shared" si="39"/>
        <v>0.05</v>
      </c>
      <c r="J227" s="634"/>
      <c r="K227" s="21">
        <f t="shared" si="40"/>
        <v>1</v>
      </c>
      <c r="L227" s="634"/>
      <c r="M227" s="21">
        <f t="shared" si="41"/>
        <v>1</v>
      </c>
      <c r="N227" s="634"/>
      <c r="O227" s="21">
        <f t="shared" si="42"/>
        <v>1</v>
      </c>
      <c r="P227" s="634"/>
      <c r="Q227" s="21">
        <f t="shared" si="43"/>
        <v>1</v>
      </c>
      <c r="R227" s="21">
        <f t="shared" si="44"/>
        <v>0</v>
      </c>
      <c r="S227" s="308">
        <f t="shared" si="35"/>
        <v>0</v>
      </c>
    </row>
    <row r="228" spans="1:19">
      <c r="A228" s="142"/>
      <c r="B228" s="52"/>
      <c r="C228" s="21">
        <f t="shared" si="36"/>
        <v>1</v>
      </c>
      <c r="D228" s="634"/>
      <c r="E228" s="21">
        <f t="shared" si="37"/>
        <v>0</v>
      </c>
      <c r="F228" s="634"/>
      <c r="G228" s="21">
        <f t="shared" si="38"/>
        <v>0.05</v>
      </c>
      <c r="H228" s="634"/>
      <c r="I228" s="21">
        <f t="shared" si="39"/>
        <v>0.05</v>
      </c>
      <c r="J228" s="634"/>
      <c r="K228" s="21">
        <f t="shared" si="40"/>
        <v>1</v>
      </c>
      <c r="L228" s="634"/>
      <c r="M228" s="21">
        <f t="shared" si="41"/>
        <v>1</v>
      </c>
      <c r="N228" s="634"/>
      <c r="O228" s="21">
        <f t="shared" si="42"/>
        <v>1</v>
      </c>
      <c r="P228" s="634"/>
      <c r="Q228" s="21">
        <f t="shared" si="43"/>
        <v>1</v>
      </c>
      <c r="R228" s="21">
        <f t="shared" si="44"/>
        <v>0</v>
      </c>
      <c r="S228" s="308">
        <f t="shared" si="35"/>
        <v>0</v>
      </c>
    </row>
    <row r="229" spans="1:19">
      <c r="A229" s="142"/>
      <c r="B229" s="52"/>
      <c r="C229" s="21">
        <f t="shared" si="36"/>
        <v>1</v>
      </c>
      <c r="D229" s="634"/>
      <c r="E229" s="21">
        <f t="shared" si="37"/>
        <v>0</v>
      </c>
      <c r="F229" s="634"/>
      <c r="G229" s="21">
        <f t="shared" si="38"/>
        <v>0.05</v>
      </c>
      <c r="H229" s="634"/>
      <c r="I229" s="21">
        <f t="shared" si="39"/>
        <v>0.05</v>
      </c>
      <c r="J229" s="634"/>
      <c r="K229" s="21">
        <f t="shared" si="40"/>
        <v>1</v>
      </c>
      <c r="L229" s="634"/>
      <c r="M229" s="21">
        <f t="shared" si="41"/>
        <v>1</v>
      </c>
      <c r="N229" s="634"/>
      <c r="O229" s="21">
        <f t="shared" si="42"/>
        <v>1</v>
      </c>
      <c r="P229" s="634"/>
      <c r="Q229" s="21">
        <f t="shared" si="43"/>
        <v>1</v>
      </c>
      <c r="R229" s="21">
        <f t="shared" si="44"/>
        <v>0</v>
      </c>
      <c r="S229" s="308">
        <f t="shared" si="35"/>
        <v>0</v>
      </c>
    </row>
    <row r="230" spans="1:19">
      <c r="A230" s="142"/>
      <c r="B230" s="52"/>
      <c r="C230" s="21">
        <f t="shared" si="36"/>
        <v>1</v>
      </c>
      <c r="D230" s="634"/>
      <c r="E230" s="21">
        <f t="shared" si="37"/>
        <v>0</v>
      </c>
      <c r="F230" s="634"/>
      <c r="G230" s="21">
        <f t="shared" si="38"/>
        <v>0.05</v>
      </c>
      <c r="H230" s="634"/>
      <c r="I230" s="21">
        <f t="shared" si="39"/>
        <v>0.05</v>
      </c>
      <c r="J230" s="634"/>
      <c r="K230" s="21">
        <f t="shared" si="40"/>
        <v>1</v>
      </c>
      <c r="L230" s="634"/>
      <c r="M230" s="21">
        <f t="shared" si="41"/>
        <v>1</v>
      </c>
      <c r="N230" s="634"/>
      <c r="O230" s="21">
        <f t="shared" si="42"/>
        <v>1</v>
      </c>
      <c r="P230" s="634"/>
      <c r="Q230" s="21">
        <f t="shared" si="43"/>
        <v>1</v>
      </c>
      <c r="R230" s="21">
        <f t="shared" si="44"/>
        <v>0</v>
      </c>
      <c r="S230" s="308">
        <f t="shared" si="35"/>
        <v>0</v>
      </c>
    </row>
    <row r="231" spans="1:19">
      <c r="A231" s="142"/>
      <c r="B231" s="52"/>
      <c r="C231" s="21">
        <f t="shared" si="36"/>
        <v>1</v>
      </c>
      <c r="D231" s="634"/>
      <c r="E231" s="21">
        <f t="shared" si="37"/>
        <v>0</v>
      </c>
      <c r="F231" s="634"/>
      <c r="G231" s="21">
        <f t="shared" si="38"/>
        <v>0.05</v>
      </c>
      <c r="H231" s="634"/>
      <c r="I231" s="21">
        <f t="shared" si="39"/>
        <v>0.05</v>
      </c>
      <c r="J231" s="634"/>
      <c r="K231" s="21">
        <f t="shared" si="40"/>
        <v>1</v>
      </c>
      <c r="L231" s="634"/>
      <c r="M231" s="21">
        <f t="shared" si="41"/>
        <v>1</v>
      </c>
      <c r="N231" s="634"/>
      <c r="O231" s="21">
        <f t="shared" si="42"/>
        <v>1</v>
      </c>
      <c r="P231" s="634"/>
      <c r="Q231" s="21">
        <f t="shared" si="43"/>
        <v>1</v>
      </c>
      <c r="R231" s="21">
        <f t="shared" si="44"/>
        <v>0</v>
      </c>
      <c r="S231" s="308">
        <f t="shared" si="35"/>
        <v>0</v>
      </c>
    </row>
    <row r="232" spans="1:19">
      <c r="A232" s="142"/>
      <c r="B232" s="52"/>
      <c r="C232" s="21">
        <f t="shared" si="36"/>
        <v>1</v>
      </c>
      <c r="D232" s="634"/>
      <c r="E232" s="21">
        <f t="shared" si="37"/>
        <v>0</v>
      </c>
      <c r="F232" s="634"/>
      <c r="G232" s="21">
        <f t="shared" si="38"/>
        <v>0.05</v>
      </c>
      <c r="H232" s="634"/>
      <c r="I232" s="21">
        <f t="shared" si="39"/>
        <v>0.05</v>
      </c>
      <c r="J232" s="634"/>
      <c r="K232" s="21">
        <f t="shared" si="40"/>
        <v>1</v>
      </c>
      <c r="L232" s="634"/>
      <c r="M232" s="21">
        <f t="shared" si="41"/>
        <v>1</v>
      </c>
      <c r="N232" s="634"/>
      <c r="O232" s="21">
        <f t="shared" si="42"/>
        <v>1</v>
      </c>
      <c r="P232" s="634"/>
      <c r="Q232" s="21">
        <f t="shared" si="43"/>
        <v>1</v>
      </c>
      <c r="R232" s="21">
        <f t="shared" si="44"/>
        <v>0</v>
      </c>
      <c r="S232" s="308">
        <f t="shared" si="35"/>
        <v>0</v>
      </c>
    </row>
    <row r="233" spans="1:19">
      <c r="A233" s="142"/>
      <c r="B233" s="52"/>
      <c r="C233" s="21">
        <f t="shared" si="36"/>
        <v>1</v>
      </c>
      <c r="D233" s="634"/>
      <c r="E233" s="21">
        <f t="shared" si="37"/>
        <v>0</v>
      </c>
      <c r="F233" s="634"/>
      <c r="G233" s="21">
        <f t="shared" si="38"/>
        <v>0.05</v>
      </c>
      <c r="H233" s="634"/>
      <c r="I233" s="21">
        <f t="shared" si="39"/>
        <v>0.05</v>
      </c>
      <c r="J233" s="634"/>
      <c r="K233" s="21">
        <f t="shared" si="40"/>
        <v>1</v>
      </c>
      <c r="L233" s="634"/>
      <c r="M233" s="21">
        <f t="shared" si="41"/>
        <v>1</v>
      </c>
      <c r="N233" s="634"/>
      <c r="O233" s="21">
        <f t="shared" si="42"/>
        <v>1</v>
      </c>
      <c r="P233" s="634"/>
      <c r="Q233" s="21">
        <f t="shared" si="43"/>
        <v>1</v>
      </c>
      <c r="R233" s="21">
        <f t="shared" si="44"/>
        <v>0</v>
      </c>
      <c r="S233" s="308">
        <f t="shared" si="35"/>
        <v>0</v>
      </c>
    </row>
    <row r="234" spans="1:19">
      <c r="A234" s="142"/>
      <c r="B234" s="52"/>
      <c r="C234" s="21">
        <f t="shared" si="36"/>
        <v>1</v>
      </c>
      <c r="D234" s="634"/>
      <c r="E234" s="21">
        <f t="shared" si="37"/>
        <v>0</v>
      </c>
      <c r="F234" s="634"/>
      <c r="G234" s="21">
        <f t="shared" si="38"/>
        <v>0.05</v>
      </c>
      <c r="H234" s="634"/>
      <c r="I234" s="21">
        <f t="shared" si="39"/>
        <v>0.05</v>
      </c>
      <c r="J234" s="634"/>
      <c r="K234" s="21">
        <f t="shared" si="40"/>
        <v>1</v>
      </c>
      <c r="L234" s="634"/>
      <c r="M234" s="21">
        <f t="shared" si="41"/>
        <v>1</v>
      </c>
      <c r="N234" s="634"/>
      <c r="O234" s="21">
        <f t="shared" si="42"/>
        <v>1</v>
      </c>
      <c r="P234" s="634"/>
      <c r="Q234" s="21">
        <f t="shared" si="43"/>
        <v>1</v>
      </c>
      <c r="R234" s="21">
        <f t="shared" si="44"/>
        <v>0</v>
      </c>
      <c r="S234" s="308">
        <f t="shared" si="35"/>
        <v>0</v>
      </c>
    </row>
    <row r="235" spans="1:19">
      <c r="A235" s="142"/>
      <c r="B235" s="52"/>
      <c r="C235" s="21">
        <f t="shared" si="36"/>
        <v>1</v>
      </c>
      <c r="D235" s="634"/>
      <c r="E235" s="21">
        <f t="shared" si="37"/>
        <v>0</v>
      </c>
      <c r="F235" s="634"/>
      <c r="G235" s="21">
        <f t="shared" si="38"/>
        <v>0.05</v>
      </c>
      <c r="H235" s="634"/>
      <c r="I235" s="21">
        <f t="shared" si="39"/>
        <v>0.05</v>
      </c>
      <c r="J235" s="634"/>
      <c r="K235" s="21">
        <f t="shared" si="40"/>
        <v>1</v>
      </c>
      <c r="L235" s="634"/>
      <c r="M235" s="21">
        <f t="shared" si="41"/>
        <v>1</v>
      </c>
      <c r="N235" s="634"/>
      <c r="O235" s="21">
        <f t="shared" si="42"/>
        <v>1</v>
      </c>
      <c r="P235" s="634"/>
      <c r="Q235" s="21">
        <f t="shared" si="43"/>
        <v>1</v>
      </c>
      <c r="R235" s="21">
        <f t="shared" si="44"/>
        <v>0</v>
      </c>
      <c r="S235" s="308">
        <f t="shared" si="35"/>
        <v>0</v>
      </c>
    </row>
    <row r="236" spans="1:19">
      <c r="A236" s="142"/>
      <c r="B236" s="52"/>
      <c r="C236" s="21">
        <f t="shared" si="36"/>
        <v>1</v>
      </c>
      <c r="D236" s="634"/>
      <c r="E236" s="21">
        <f t="shared" si="37"/>
        <v>0</v>
      </c>
      <c r="F236" s="634"/>
      <c r="G236" s="21">
        <f t="shared" si="38"/>
        <v>0.05</v>
      </c>
      <c r="H236" s="634"/>
      <c r="I236" s="21">
        <f t="shared" si="39"/>
        <v>0.05</v>
      </c>
      <c r="J236" s="634"/>
      <c r="K236" s="21">
        <f t="shared" si="40"/>
        <v>1</v>
      </c>
      <c r="L236" s="634"/>
      <c r="M236" s="21">
        <f t="shared" si="41"/>
        <v>1</v>
      </c>
      <c r="N236" s="634"/>
      <c r="O236" s="21">
        <f t="shared" si="42"/>
        <v>1</v>
      </c>
      <c r="P236" s="634"/>
      <c r="Q236" s="21">
        <f t="shared" si="43"/>
        <v>1</v>
      </c>
      <c r="R236" s="21">
        <f t="shared" si="44"/>
        <v>0</v>
      </c>
      <c r="S236" s="308">
        <f t="shared" si="35"/>
        <v>0</v>
      </c>
    </row>
    <row r="237" spans="1:19">
      <c r="A237" s="142"/>
      <c r="B237" s="52"/>
      <c r="C237" s="21">
        <f t="shared" si="36"/>
        <v>1</v>
      </c>
      <c r="D237" s="634"/>
      <c r="E237" s="21">
        <f t="shared" si="37"/>
        <v>0</v>
      </c>
      <c r="F237" s="634"/>
      <c r="G237" s="21">
        <f t="shared" si="38"/>
        <v>0.05</v>
      </c>
      <c r="H237" s="634"/>
      <c r="I237" s="21">
        <f t="shared" si="39"/>
        <v>0.05</v>
      </c>
      <c r="J237" s="634"/>
      <c r="K237" s="21">
        <f t="shared" si="40"/>
        <v>1</v>
      </c>
      <c r="L237" s="634"/>
      <c r="M237" s="21">
        <f t="shared" si="41"/>
        <v>1</v>
      </c>
      <c r="N237" s="634"/>
      <c r="O237" s="21">
        <f t="shared" si="42"/>
        <v>1</v>
      </c>
      <c r="P237" s="634"/>
      <c r="Q237" s="21">
        <f t="shared" si="43"/>
        <v>1</v>
      </c>
      <c r="R237" s="21">
        <f t="shared" si="44"/>
        <v>0</v>
      </c>
      <c r="S237" s="308">
        <f t="shared" si="35"/>
        <v>0</v>
      </c>
    </row>
    <row r="238" spans="1:19">
      <c r="A238" s="142"/>
      <c r="B238" s="52"/>
      <c r="C238" s="21">
        <f t="shared" si="36"/>
        <v>1</v>
      </c>
      <c r="D238" s="634"/>
      <c r="E238" s="21">
        <f t="shared" si="37"/>
        <v>0</v>
      </c>
      <c r="F238" s="634"/>
      <c r="G238" s="21">
        <f t="shared" si="38"/>
        <v>0.05</v>
      </c>
      <c r="H238" s="634"/>
      <c r="I238" s="21">
        <f t="shared" si="39"/>
        <v>0.05</v>
      </c>
      <c r="J238" s="634"/>
      <c r="K238" s="21">
        <f t="shared" si="40"/>
        <v>1</v>
      </c>
      <c r="L238" s="634"/>
      <c r="M238" s="21">
        <f t="shared" si="41"/>
        <v>1</v>
      </c>
      <c r="N238" s="634"/>
      <c r="O238" s="21">
        <f t="shared" si="42"/>
        <v>1</v>
      </c>
      <c r="P238" s="634"/>
      <c r="Q238" s="21">
        <f t="shared" si="43"/>
        <v>1</v>
      </c>
      <c r="R238" s="21">
        <f t="shared" si="44"/>
        <v>0</v>
      </c>
      <c r="S238" s="308">
        <f t="shared" si="35"/>
        <v>0</v>
      </c>
    </row>
    <row r="239" spans="1:19">
      <c r="A239" s="142"/>
      <c r="B239" s="52"/>
      <c r="C239" s="21">
        <f t="shared" si="36"/>
        <v>1</v>
      </c>
      <c r="D239" s="634"/>
      <c r="E239" s="21">
        <f t="shared" si="37"/>
        <v>0</v>
      </c>
      <c r="F239" s="634"/>
      <c r="G239" s="21">
        <f t="shared" si="38"/>
        <v>0.05</v>
      </c>
      <c r="H239" s="634"/>
      <c r="I239" s="21">
        <f t="shared" si="39"/>
        <v>0.05</v>
      </c>
      <c r="J239" s="634"/>
      <c r="K239" s="21">
        <f t="shared" si="40"/>
        <v>1</v>
      </c>
      <c r="L239" s="634"/>
      <c r="M239" s="21">
        <f t="shared" si="41"/>
        <v>1</v>
      </c>
      <c r="N239" s="634"/>
      <c r="O239" s="21">
        <f t="shared" si="42"/>
        <v>1</v>
      </c>
      <c r="P239" s="634"/>
      <c r="Q239" s="21">
        <f t="shared" si="43"/>
        <v>1</v>
      </c>
      <c r="R239" s="21">
        <f t="shared" si="44"/>
        <v>0</v>
      </c>
      <c r="S239" s="308">
        <f t="shared" si="35"/>
        <v>0</v>
      </c>
    </row>
    <row r="240" spans="1:19">
      <c r="A240" s="142"/>
      <c r="B240" s="52"/>
      <c r="C240" s="21">
        <f t="shared" si="36"/>
        <v>1</v>
      </c>
      <c r="D240" s="634"/>
      <c r="E240" s="21">
        <f t="shared" si="37"/>
        <v>0</v>
      </c>
      <c r="F240" s="634"/>
      <c r="G240" s="21">
        <f t="shared" si="38"/>
        <v>0.05</v>
      </c>
      <c r="H240" s="634"/>
      <c r="I240" s="21">
        <f t="shared" si="39"/>
        <v>0.05</v>
      </c>
      <c r="J240" s="634"/>
      <c r="K240" s="21">
        <f t="shared" si="40"/>
        <v>1</v>
      </c>
      <c r="L240" s="634"/>
      <c r="M240" s="21">
        <f t="shared" si="41"/>
        <v>1</v>
      </c>
      <c r="N240" s="634"/>
      <c r="O240" s="21">
        <f t="shared" si="42"/>
        <v>1</v>
      </c>
      <c r="P240" s="634"/>
      <c r="Q240" s="21">
        <f t="shared" si="43"/>
        <v>1</v>
      </c>
      <c r="R240" s="21">
        <f t="shared" si="44"/>
        <v>0</v>
      </c>
      <c r="S240" s="308">
        <f t="shared" si="35"/>
        <v>0</v>
      </c>
    </row>
    <row r="241" spans="1:19">
      <c r="A241" s="142"/>
      <c r="B241" s="52"/>
      <c r="C241" s="21">
        <f t="shared" si="36"/>
        <v>1</v>
      </c>
      <c r="D241" s="634"/>
      <c r="E241" s="21">
        <f t="shared" si="37"/>
        <v>0</v>
      </c>
      <c r="F241" s="634"/>
      <c r="G241" s="21">
        <f t="shared" si="38"/>
        <v>0.05</v>
      </c>
      <c r="H241" s="634"/>
      <c r="I241" s="21">
        <f t="shared" si="39"/>
        <v>0.05</v>
      </c>
      <c r="J241" s="634"/>
      <c r="K241" s="21">
        <f t="shared" si="40"/>
        <v>1</v>
      </c>
      <c r="L241" s="634"/>
      <c r="M241" s="21">
        <f t="shared" si="41"/>
        <v>1</v>
      </c>
      <c r="N241" s="634"/>
      <c r="O241" s="21">
        <f t="shared" si="42"/>
        <v>1</v>
      </c>
      <c r="P241" s="634"/>
      <c r="Q241" s="21">
        <f t="shared" si="43"/>
        <v>1</v>
      </c>
      <c r="R241" s="21">
        <f t="shared" si="44"/>
        <v>0</v>
      </c>
      <c r="S241" s="308">
        <f t="shared" si="35"/>
        <v>0</v>
      </c>
    </row>
    <row r="242" spans="1:19">
      <c r="A242" s="142"/>
      <c r="B242" s="52"/>
      <c r="C242" s="21">
        <f t="shared" si="36"/>
        <v>1</v>
      </c>
      <c r="D242" s="634"/>
      <c r="E242" s="21">
        <f t="shared" si="37"/>
        <v>0</v>
      </c>
      <c r="F242" s="634"/>
      <c r="G242" s="21">
        <f t="shared" si="38"/>
        <v>0.05</v>
      </c>
      <c r="H242" s="634"/>
      <c r="I242" s="21">
        <f t="shared" si="39"/>
        <v>0.05</v>
      </c>
      <c r="J242" s="634"/>
      <c r="K242" s="21">
        <f t="shared" si="40"/>
        <v>1</v>
      </c>
      <c r="L242" s="634"/>
      <c r="M242" s="21">
        <f t="shared" si="41"/>
        <v>1</v>
      </c>
      <c r="N242" s="634"/>
      <c r="O242" s="21">
        <f t="shared" si="42"/>
        <v>1</v>
      </c>
      <c r="P242" s="634"/>
      <c r="Q242" s="21">
        <f t="shared" si="43"/>
        <v>1</v>
      </c>
      <c r="R242" s="21">
        <f t="shared" si="44"/>
        <v>0</v>
      </c>
      <c r="S242" s="308">
        <f t="shared" si="35"/>
        <v>0</v>
      </c>
    </row>
    <row r="243" spans="1:19">
      <c r="A243" s="142"/>
      <c r="B243" s="52"/>
      <c r="C243" s="21">
        <f t="shared" si="36"/>
        <v>1</v>
      </c>
      <c r="D243" s="634"/>
      <c r="E243" s="21">
        <f t="shared" si="37"/>
        <v>0</v>
      </c>
      <c r="F243" s="634"/>
      <c r="G243" s="21">
        <f t="shared" si="38"/>
        <v>0.05</v>
      </c>
      <c r="H243" s="634"/>
      <c r="I243" s="21">
        <f t="shared" si="39"/>
        <v>0.05</v>
      </c>
      <c r="J243" s="634"/>
      <c r="K243" s="21">
        <f t="shared" si="40"/>
        <v>1</v>
      </c>
      <c r="L243" s="634"/>
      <c r="M243" s="21">
        <f t="shared" si="41"/>
        <v>1</v>
      </c>
      <c r="N243" s="634"/>
      <c r="O243" s="21">
        <f t="shared" si="42"/>
        <v>1</v>
      </c>
      <c r="P243" s="634"/>
      <c r="Q243" s="21">
        <f t="shared" si="43"/>
        <v>1</v>
      </c>
      <c r="R243" s="21">
        <f t="shared" si="44"/>
        <v>0</v>
      </c>
      <c r="S243" s="308">
        <f t="shared" si="35"/>
        <v>0</v>
      </c>
    </row>
    <row r="244" spans="1:19">
      <c r="A244" s="142"/>
      <c r="B244" s="52"/>
      <c r="C244" s="21">
        <f t="shared" si="36"/>
        <v>1</v>
      </c>
      <c r="D244" s="634"/>
      <c r="E244" s="21">
        <f t="shared" si="37"/>
        <v>0</v>
      </c>
      <c r="F244" s="634"/>
      <c r="G244" s="21">
        <f t="shared" si="38"/>
        <v>0.05</v>
      </c>
      <c r="H244" s="634"/>
      <c r="I244" s="21">
        <f t="shared" si="39"/>
        <v>0.05</v>
      </c>
      <c r="J244" s="634"/>
      <c r="K244" s="21">
        <f t="shared" si="40"/>
        <v>1</v>
      </c>
      <c r="L244" s="634"/>
      <c r="M244" s="21">
        <f t="shared" si="41"/>
        <v>1</v>
      </c>
      <c r="N244" s="634"/>
      <c r="O244" s="21">
        <f t="shared" si="42"/>
        <v>1</v>
      </c>
      <c r="P244" s="634"/>
      <c r="Q244" s="21">
        <f t="shared" si="43"/>
        <v>1</v>
      </c>
      <c r="R244" s="21">
        <f t="shared" si="44"/>
        <v>0</v>
      </c>
      <c r="S244" s="308">
        <f t="shared" si="35"/>
        <v>0</v>
      </c>
    </row>
    <row r="245" spans="1:19">
      <c r="A245" s="142"/>
      <c r="B245" s="52"/>
      <c r="C245" s="21">
        <f t="shared" si="36"/>
        <v>1</v>
      </c>
      <c r="D245" s="634"/>
      <c r="E245" s="21">
        <f t="shared" si="37"/>
        <v>0</v>
      </c>
      <c r="F245" s="634"/>
      <c r="G245" s="21">
        <f t="shared" si="38"/>
        <v>0.05</v>
      </c>
      <c r="H245" s="634"/>
      <c r="I245" s="21">
        <f t="shared" si="39"/>
        <v>0.05</v>
      </c>
      <c r="J245" s="634"/>
      <c r="K245" s="21">
        <f t="shared" si="40"/>
        <v>1</v>
      </c>
      <c r="L245" s="634"/>
      <c r="M245" s="21">
        <f t="shared" si="41"/>
        <v>1</v>
      </c>
      <c r="N245" s="634"/>
      <c r="O245" s="21">
        <f t="shared" si="42"/>
        <v>1</v>
      </c>
      <c r="P245" s="634"/>
      <c r="Q245" s="21">
        <f t="shared" si="43"/>
        <v>1</v>
      </c>
      <c r="R245" s="21">
        <f t="shared" si="44"/>
        <v>0</v>
      </c>
      <c r="S245" s="308">
        <f t="shared" si="35"/>
        <v>0</v>
      </c>
    </row>
    <row r="246" spans="1:19">
      <c r="A246" s="142"/>
      <c r="B246" s="52"/>
      <c r="C246" s="21">
        <f t="shared" si="36"/>
        <v>1</v>
      </c>
      <c r="D246" s="634"/>
      <c r="E246" s="21">
        <f t="shared" si="37"/>
        <v>0</v>
      </c>
      <c r="F246" s="634"/>
      <c r="G246" s="21">
        <f t="shared" si="38"/>
        <v>0.05</v>
      </c>
      <c r="H246" s="634"/>
      <c r="I246" s="21">
        <f t="shared" si="39"/>
        <v>0.05</v>
      </c>
      <c r="J246" s="634"/>
      <c r="K246" s="21">
        <f t="shared" si="40"/>
        <v>1</v>
      </c>
      <c r="L246" s="634"/>
      <c r="M246" s="21">
        <f t="shared" si="41"/>
        <v>1</v>
      </c>
      <c r="N246" s="634"/>
      <c r="O246" s="21">
        <f t="shared" si="42"/>
        <v>1</v>
      </c>
      <c r="P246" s="634"/>
      <c r="Q246" s="21">
        <f t="shared" si="43"/>
        <v>1</v>
      </c>
      <c r="R246" s="21">
        <f t="shared" si="44"/>
        <v>0</v>
      </c>
      <c r="S246" s="308">
        <f t="shared" si="35"/>
        <v>0</v>
      </c>
    </row>
    <row r="247" spans="1:19">
      <c r="A247" s="142"/>
      <c r="B247" s="52"/>
      <c r="C247" s="21">
        <f t="shared" si="36"/>
        <v>1</v>
      </c>
      <c r="D247" s="634"/>
      <c r="E247" s="21">
        <f t="shared" si="37"/>
        <v>0</v>
      </c>
      <c r="F247" s="634"/>
      <c r="G247" s="21">
        <f t="shared" si="38"/>
        <v>0.05</v>
      </c>
      <c r="H247" s="634"/>
      <c r="I247" s="21">
        <f t="shared" si="39"/>
        <v>0.05</v>
      </c>
      <c r="J247" s="634"/>
      <c r="K247" s="21">
        <f t="shared" si="40"/>
        <v>1</v>
      </c>
      <c r="L247" s="634"/>
      <c r="M247" s="21">
        <f t="shared" si="41"/>
        <v>1</v>
      </c>
      <c r="N247" s="634"/>
      <c r="O247" s="21">
        <f t="shared" si="42"/>
        <v>1</v>
      </c>
      <c r="P247" s="634"/>
      <c r="Q247" s="21">
        <f t="shared" si="43"/>
        <v>1</v>
      </c>
      <c r="R247" s="21">
        <f t="shared" si="44"/>
        <v>0</v>
      </c>
      <c r="S247" s="308">
        <f t="shared" si="35"/>
        <v>0</v>
      </c>
    </row>
    <row r="248" spans="1:19">
      <c r="A248" s="142"/>
      <c r="B248" s="52"/>
      <c r="C248" s="21">
        <f t="shared" si="36"/>
        <v>1</v>
      </c>
      <c r="D248" s="634"/>
      <c r="E248" s="21">
        <f t="shared" si="37"/>
        <v>0</v>
      </c>
      <c r="F248" s="634"/>
      <c r="G248" s="21">
        <f t="shared" si="38"/>
        <v>0.05</v>
      </c>
      <c r="H248" s="634"/>
      <c r="I248" s="21">
        <f t="shared" si="39"/>
        <v>0.05</v>
      </c>
      <c r="J248" s="634"/>
      <c r="K248" s="21">
        <f t="shared" si="40"/>
        <v>1</v>
      </c>
      <c r="L248" s="634"/>
      <c r="M248" s="21">
        <f t="shared" si="41"/>
        <v>1</v>
      </c>
      <c r="N248" s="634"/>
      <c r="O248" s="21">
        <f t="shared" si="42"/>
        <v>1</v>
      </c>
      <c r="P248" s="634"/>
      <c r="Q248" s="21">
        <f t="shared" si="43"/>
        <v>1</v>
      </c>
      <c r="R248" s="21">
        <f t="shared" si="44"/>
        <v>0</v>
      </c>
      <c r="S248" s="308">
        <f t="shared" si="35"/>
        <v>0</v>
      </c>
    </row>
    <row r="249" spans="1:19">
      <c r="A249" s="142"/>
      <c r="B249" s="52"/>
      <c r="C249" s="21">
        <f t="shared" si="36"/>
        <v>1</v>
      </c>
      <c r="D249" s="634"/>
      <c r="E249" s="21">
        <f t="shared" si="37"/>
        <v>0</v>
      </c>
      <c r="F249" s="634"/>
      <c r="G249" s="21">
        <f t="shared" si="38"/>
        <v>0.05</v>
      </c>
      <c r="H249" s="634"/>
      <c r="I249" s="21">
        <f t="shared" si="39"/>
        <v>0.05</v>
      </c>
      <c r="J249" s="634"/>
      <c r="K249" s="21">
        <f t="shared" si="40"/>
        <v>1</v>
      </c>
      <c r="L249" s="634"/>
      <c r="M249" s="21">
        <f t="shared" si="41"/>
        <v>1</v>
      </c>
      <c r="N249" s="634"/>
      <c r="O249" s="21">
        <f t="shared" si="42"/>
        <v>1</v>
      </c>
      <c r="P249" s="634"/>
      <c r="Q249" s="21">
        <f t="shared" si="43"/>
        <v>1</v>
      </c>
      <c r="R249" s="21">
        <f t="shared" si="44"/>
        <v>0</v>
      </c>
      <c r="S249" s="308">
        <f t="shared" si="35"/>
        <v>0</v>
      </c>
    </row>
    <row r="250" spans="1:19">
      <c r="A250" s="142"/>
      <c r="B250" s="52"/>
      <c r="C250" s="21">
        <f t="shared" si="36"/>
        <v>1</v>
      </c>
      <c r="D250" s="634"/>
      <c r="E250" s="21">
        <f t="shared" si="37"/>
        <v>0</v>
      </c>
      <c r="F250" s="634"/>
      <c r="G250" s="21">
        <f t="shared" si="38"/>
        <v>0.05</v>
      </c>
      <c r="H250" s="634"/>
      <c r="I250" s="21">
        <f t="shared" si="39"/>
        <v>0.05</v>
      </c>
      <c r="J250" s="634"/>
      <c r="K250" s="21">
        <f t="shared" si="40"/>
        <v>1</v>
      </c>
      <c r="L250" s="634"/>
      <c r="M250" s="21">
        <f t="shared" si="41"/>
        <v>1</v>
      </c>
      <c r="N250" s="634"/>
      <c r="O250" s="21">
        <f t="shared" si="42"/>
        <v>1</v>
      </c>
      <c r="P250" s="634"/>
      <c r="Q250" s="21">
        <f t="shared" si="43"/>
        <v>1</v>
      </c>
      <c r="R250" s="21">
        <f t="shared" si="44"/>
        <v>0</v>
      </c>
      <c r="S250" s="308">
        <f t="shared" si="35"/>
        <v>0</v>
      </c>
    </row>
    <row r="251" spans="1:19">
      <c r="A251" s="142"/>
      <c r="B251" s="52"/>
      <c r="C251" s="21">
        <f t="shared" si="36"/>
        <v>1</v>
      </c>
      <c r="D251" s="634"/>
      <c r="E251" s="21">
        <f t="shared" si="37"/>
        <v>0</v>
      </c>
      <c r="F251" s="634"/>
      <c r="G251" s="21">
        <f t="shared" si="38"/>
        <v>0.05</v>
      </c>
      <c r="H251" s="634"/>
      <c r="I251" s="21">
        <f t="shared" si="39"/>
        <v>0.05</v>
      </c>
      <c r="J251" s="634"/>
      <c r="K251" s="21">
        <f t="shared" si="40"/>
        <v>1</v>
      </c>
      <c r="L251" s="634"/>
      <c r="M251" s="21">
        <f t="shared" si="41"/>
        <v>1</v>
      </c>
      <c r="N251" s="634"/>
      <c r="O251" s="21">
        <f t="shared" si="42"/>
        <v>1</v>
      </c>
      <c r="P251" s="634"/>
      <c r="Q251" s="21">
        <f t="shared" si="43"/>
        <v>1</v>
      </c>
      <c r="R251" s="21">
        <f t="shared" si="44"/>
        <v>0</v>
      </c>
      <c r="S251" s="308">
        <f t="shared" si="35"/>
        <v>0</v>
      </c>
    </row>
    <row r="252" spans="1:19">
      <c r="A252" s="142"/>
      <c r="B252" s="52"/>
      <c r="C252" s="21">
        <f t="shared" si="36"/>
        <v>1</v>
      </c>
      <c r="D252" s="634"/>
      <c r="E252" s="21">
        <f t="shared" si="37"/>
        <v>0</v>
      </c>
      <c r="F252" s="634"/>
      <c r="G252" s="21">
        <f t="shared" si="38"/>
        <v>0.05</v>
      </c>
      <c r="H252" s="634"/>
      <c r="I252" s="21">
        <f t="shared" si="39"/>
        <v>0.05</v>
      </c>
      <c r="J252" s="634"/>
      <c r="K252" s="21">
        <f t="shared" si="40"/>
        <v>1</v>
      </c>
      <c r="L252" s="634"/>
      <c r="M252" s="21">
        <f t="shared" si="41"/>
        <v>1</v>
      </c>
      <c r="N252" s="634"/>
      <c r="O252" s="21">
        <f t="shared" si="42"/>
        <v>1</v>
      </c>
      <c r="P252" s="634"/>
      <c r="Q252" s="21">
        <f t="shared" si="43"/>
        <v>1</v>
      </c>
      <c r="R252" s="21">
        <f t="shared" si="44"/>
        <v>0</v>
      </c>
      <c r="S252" s="308">
        <f t="shared" si="35"/>
        <v>0</v>
      </c>
    </row>
    <row r="253" spans="1:19">
      <c r="A253" s="142"/>
      <c r="B253" s="52"/>
      <c r="C253" s="21">
        <f t="shared" si="36"/>
        <v>1</v>
      </c>
      <c r="D253" s="634"/>
      <c r="E253" s="21">
        <f t="shared" si="37"/>
        <v>0</v>
      </c>
      <c r="F253" s="634"/>
      <c r="G253" s="21">
        <f t="shared" si="38"/>
        <v>0.05</v>
      </c>
      <c r="H253" s="634"/>
      <c r="I253" s="21">
        <f t="shared" si="39"/>
        <v>0.05</v>
      </c>
      <c r="J253" s="634"/>
      <c r="K253" s="21">
        <f t="shared" si="40"/>
        <v>1</v>
      </c>
      <c r="L253" s="634"/>
      <c r="M253" s="21">
        <f t="shared" si="41"/>
        <v>1</v>
      </c>
      <c r="N253" s="634"/>
      <c r="O253" s="21">
        <f t="shared" si="42"/>
        <v>1</v>
      </c>
      <c r="P253" s="634"/>
      <c r="Q253" s="21">
        <f t="shared" si="43"/>
        <v>1</v>
      </c>
      <c r="R253" s="21">
        <f t="shared" si="44"/>
        <v>0</v>
      </c>
      <c r="S253" s="308">
        <f t="shared" si="35"/>
        <v>0</v>
      </c>
    </row>
    <row r="254" spans="1:19">
      <c r="A254" s="142"/>
      <c r="B254" s="52"/>
      <c r="C254" s="21">
        <f t="shared" si="36"/>
        <v>1</v>
      </c>
      <c r="D254" s="634"/>
      <c r="E254" s="21">
        <f t="shared" si="37"/>
        <v>0</v>
      </c>
      <c r="F254" s="634"/>
      <c r="G254" s="21">
        <f t="shared" si="38"/>
        <v>0.05</v>
      </c>
      <c r="H254" s="634"/>
      <c r="I254" s="21">
        <f t="shared" si="39"/>
        <v>0.05</v>
      </c>
      <c r="J254" s="634"/>
      <c r="K254" s="21">
        <f t="shared" si="40"/>
        <v>1</v>
      </c>
      <c r="L254" s="634"/>
      <c r="M254" s="21">
        <f t="shared" si="41"/>
        <v>1</v>
      </c>
      <c r="N254" s="634"/>
      <c r="O254" s="21">
        <f t="shared" si="42"/>
        <v>1</v>
      </c>
      <c r="P254" s="634"/>
      <c r="Q254" s="21">
        <f t="shared" si="43"/>
        <v>1</v>
      </c>
      <c r="R254" s="21">
        <f t="shared" si="44"/>
        <v>0</v>
      </c>
      <c r="S254" s="308">
        <f t="shared" si="35"/>
        <v>0</v>
      </c>
    </row>
    <row r="255" spans="1:19">
      <c r="A255" s="142"/>
      <c r="B255" s="52"/>
      <c r="C255" s="21">
        <f t="shared" si="36"/>
        <v>1</v>
      </c>
      <c r="D255" s="634"/>
      <c r="E255" s="21">
        <f t="shared" si="37"/>
        <v>0</v>
      </c>
      <c r="F255" s="634"/>
      <c r="G255" s="21">
        <f t="shared" si="38"/>
        <v>0.05</v>
      </c>
      <c r="H255" s="634"/>
      <c r="I255" s="21">
        <f t="shared" si="39"/>
        <v>0.05</v>
      </c>
      <c r="J255" s="634"/>
      <c r="K255" s="21">
        <f t="shared" si="40"/>
        <v>1</v>
      </c>
      <c r="L255" s="634"/>
      <c r="M255" s="21">
        <f t="shared" si="41"/>
        <v>1</v>
      </c>
      <c r="N255" s="634"/>
      <c r="O255" s="21">
        <f t="shared" si="42"/>
        <v>1</v>
      </c>
      <c r="P255" s="634"/>
      <c r="Q255" s="21">
        <f t="shared" si="43"/>
        <v>1</v>
      </c>
      <c r="R255" s="21">
        <f t="shared" si="44"/>
        <v>0</v>
      </c>
      <c r="S255" s="308">
        <f t="shared" si="35"/>
        <v>0</v>
      </c>
    </row>
    <row r="256" spans="1:19">
      <c r="A256" s="142"/>
      <c r="B256" s="52"/>
      <c r="C256" s="21">
        <f t="shared" si="36"/>
        <v>1</v>
      </c>
      <c r="D256" s="634"/>
      <c r="E256" s="21">
        <f t="shared" si="37"/>
        <v>0</v>
      </c>
      <c r="F256" s="634"/>
      <c r="G256" s="21">
        <f t="shared" si="38"/>
        <v>0.05</v>
      </c>
      <c r="H256" s="634"/>
      <c r="I256" s="21">
        <f t="shared" si="39"/>
        <v>0.05</v>
      </c>
      <c r="J256" s="634"/>
      <c r="K256" s="21">
        <f t="shared" si="40"/>
        <v>1</v>
      </c>
      <c r="L256" s="634"/>
      <c r="M256" s="21">
        <f t="shared" si="41"/>
        <v>1</v>
      </c>
      <c r="N256" s="634"/>
      <c r="O256" s="21">
        <f t="shared" si="42"/>
        <v>1</v>
      </c>
      <c r="P256" s="634"/>
      <c r="Q256" s="21">
        <f t="shared" si="43"/>
        <v>1</v>
      </c>
      <c r="R256" s="21">
        <f t="shared" si="44"/>
        <v>0</v>
      </c>
      <c r="S256" s="308">
        <f t="shared" si="35"/>
        <v>0</v>
      </c>
    </row>
    <row r="257" spans="1:19">
      <c r="A257" s="142"/>
      <c r="B257" s="52"/>
      <c r="C257" s="21">
        <f t="shared" si="36"/>
        <v>1</v>
      </c>
      <c r="D257" s="634"/>
      <c r="E257" s="21">
        <f t="shared" si="37"/>
        <v>0</v>
      </c>
      <c r="F257" s="634"/>
      <c r="G257" s="21">
        <f t="shared" si="38"/>
        <v>0.05</v>
      </c>
      <c r="H257" s="634"/>
      <c r="I257" s="21">
        <f t="shared" si="39"/>
        <v>0.05</v>
      </c>
      <c r="J257" s="634"/>
      <c r="K257" s="21">
        <f t="shared" si="40"/>
        <v>1</v>
      </c>
      <c r="L257" s="634"/>
      <c r="M257" s="21">
        <f t="shared" si="41"/>
        <v>1</v>
      </c>
      <c r="N257" s="634"/>
      <c r="O257" s="21">
        <f t="shared" si="42"/>
        <v>1</v>
      </c>
      <c r="P257" s="634"/>
      <c r="Q257" s="21">
        <f t="shared" si="43"/>
        <v>1</v>
      </c>
      <c r="R257" s="21">
        <f t="shared" si="44"/>
        <v>0</v>
      </c>
      <c r="S257" s="308">
        <f t="shared" si="35"/>
        <v>0</v>
      </c>
    </row>
    <row r="258" spans="1:19">
      <c r="A258" s="142"/>
      <c r="B258" s="52"/>
      <c r="C258" s="21">
        <f t="shared" si="36"/>
        <v>1</v>
      </c>
      <c r="D258" s="634"/>
      <c r="E258" s="21">
        <f t="shared" si="37"/>
        <v>0</v>
      </c>
      <c r="F258" s="634"/>
      <c r="G258" s="21">
        <f t="shared" si="38"/>
        <v>0.05</v>
      </c>
      <c r="H258" s="634"/>
      <c r="I258" s="21">
        <f t="shared" si="39"/>
        <v>0.05</v>
      </c>
      <c r="J258" s="634"/>
      <c r="K258" s="21">
        <f t="shared" si="40"/>
        <v>1</v>
      </c>
      <c r="L258" s="634"/>
      <c r="M258" s="21">
        <f t="shared" si="41"/>
        <v>1</v>
      </c>
      <c r="N258" s="634"/>
      <c r="O258" s="21">
        <f t="shared" si="42"/>
        <v>1</v>
      </c>
      <c r="P258" s="634"/>
      <c r="Q258" s="21">
        <f t="shared" si="43"/>
        <v>1</v>
      </c>
      <c r="R258" s="21">
        <f t="shared" si="44"/>
        <v>0</v>
      </c>
      <c r="S258" s="308">
        <f t="shared" si="35"/>
        <v>0</v>
      </c>
    </row>
    <row r="259" spans="1:19">
      <c r="A259" s="142"/>
      <c r="B259" s="52"/>
      <c r="C259" s="21">
        <f t="shared" si="36"/>
        <v>1</v>
      </c>
      <c r="D259" s="634"/>
      <c r="E259" s="21">
        <f t="shared" si="37"/>
        <v>0</v>
      </c>
      <c r="F259" s="634"/>
      <c r="G259" s="21">
        <f t="shared" si="38"/>
        <v>0.05</v>
      </c>
      <c r="H259" s="634"/>
      <c r="I259" s="21">
        <f t="shared" si="39"/>
        <v>0.05</v>
      </c>
      <c r="J259" s="634"/>
      <c r="K259" s="21">
        <f t="shared" si="40"/>
        <v>1</v>
      </c>
      <c r="L259" s="634"/>
      <c r="M259" s="21">
        <f t="shared" si="41"/>
        <v>1</v>
      </c>
      <c r="N259" s="634"/>
      <c r="O259" s="21">
        <f t="shared" si="42"/>
        <v>1</v>
      </c>
      <c r="P259" s="634"/>
      <c r="Q259" s="21">
        <f t="shared" si="43"/>
        <v>1</v>
      </c>
      <c r="R259" s="21">
        <f t="shared" si="44"/>
        <v>0</v>
      </c>
      <c r="S259" s="308">
        <f t="shared" si="35"/>
        <v>0</v>
      </c>
    </row>
    <row r="260" spans="1:19">
      <c r="A260" s="142"/>
      <c r="B260" s="52"/>
      <c r="C260" s="21">
        <f t="shared" si="36"/>
        <v>1</v>
      </c>
      <c r="D260" s="634"/>
      <c r="E260" s="21">
        <f t="shared" si="37"/>
        <v>0</v>
      </c>
      <c r="F260" s="634"/>
      <c r="G260" s="21">
        <f t="shared" si="38"/>
        <v>0.05</v>
      </c>
      <c r="H260" s="634"/>
      <c r="I260" s="21">
        <f t="shared" si="39"/>
        <v>0.05</v>
      </c>
      <c r="J260" s="634"/>
      <c r="K260" s="21">
        <f t="shared" si="40"/>
        <v>1</v>
      </c>
      <c r="L260" s="634"/>
      <c r="M260" s="21">
        <f t="shared" si="41"/>
        <v>1</v>
      </c>
      <c r="N260" s="634"/>
      <c r="O260" s="21">
        <f t="shared" si="42"/>
        <v>1</v>
      </c>
      <c r="P260" s="634"/>
      <c r="Q260" s="21">
        <f t="shared" si="43"/>
        <v>1</v>
      </c>
      <c r="R260" s="21">
        <f t="shared" si="44"/>
        <v>0</v>
      </c>
      <c r="S260" s="308">
        <f t="shared" si="35"/>
        <v>0</v>
      </c>
    </row>
    <row r="261" spans="1:19">
      <c r="A261" s="142"/>
      <c r="B261" s="52"/>
      <c r="C261" s="21">
        <f t="shared" si="36"/>
        <v>1</v>
      </c>
      <c r="D261" s="634"/>
      <c r="E261" s="21">
        <f t="shared" si="37"/>
        <v>0</v>
      </c>
      <c r="F261" s="634"/>
      <c r="G261" s="21">
        <f t="shared" si="38"/>
        <v>0.05</v>
      </c>
      <c r="H261" s="634"/>
      <c r="I261" s="21">
        <f t="shared" si="39"/>
        <v>0.05</v>
      </c>
      <c r="J261" s="634"/>
      <c r="K261" s="21">
        <f t="shared" si="40"/>
        <v>1</v>
      </c>
      <c r="L261" s="634"/>
      <c r="M261" s="21">
        <f t="shared" si="41"/>
        <v>1</v>
      </c>
      <c r="N261" s="634"/>
      <c r="O261" s="21">
        <f t="shared" si="42"/>
        <v>1</v>
      </c>
      <c r="P261" s="634"/>
      <c r="Q261" s="21">
        <f t="shared" si="43"/>
        <v>1</v>
      </c>
      <c r="R261" s="21">
        <f t="shared" si="44"/>
        <v>0</v>
      </c>
      <c r="S261" s="308">
        <f t="shared" si="35"/>
        <v>0</v>
      </c>
    </row>
    <row r="262" spans="1:19">
      <c r="A262" s="142"/>
      <c r="B262" s="52"/>
      <c r="C262" s="21">
        <f t="shared" si="36"/>
        <v>1</v>
      </c>
      <c r="D262" s="634"/>
      <c r="E262" s="21">
        <f t="shared" si="37"/>
        <v>0</v>
      </c>
      <c r="F262" s="634"/>
      <c r="G262" s="21">
        <f t="shared" si="38"/>
        <v>0.05</v>
      </c>
      <c r="H262" s="634"/>
      <c r="I262" s="21">
        <f t="shared" si="39"/>
        <v>0.05</v>
      </c>
      <c r="J262" s="634"/>
      <c r="K262" s="21">
        <f t="shared" si="40"/>
        <v>1</v>
      </c>
      <c r="L262" s="634"/>
      <c r="M262" s="21">
        <f t="shared" si="41"/>
        <v>1</v>
      </c>
      <c r="N262" s="634"/>
      <c r="O262" s="21">
        <f t="shared" si="42"/>
        <v>1</v>
      </c>
      <c r="P262" s="634"/>
      <c r="Q262" s="21">
        <f t="shared" si="43"/>
        <v>1</v>
      </c>
      <c r="R262" s="21">
        <f t="shared" si="44"/>
        <v>0</v>
      </c>
      <c r="S262" s="308">
        <f t="shared" si="35"/>
        <v>0</v>
      </c>
    </row>
    <row r="263" spans="1:19">
      <c r="A263" s="142"/>
      <c r="B263" s="52"/>
      <c r="C263" s="21">
        <f t="shared" si="36"/>
        <v>1</v>
      </c>
      <c r="D263" s="634"/>
      <c r="E263" s="21">
        <f t="shared" si="37"/>
        <v>0</v>
      </c>
      <c r="F263" s="634"/>
      <c r="G263" s="21">
        <f t="shared" si="38"/>
        <v>0.05</v>
      </c>
      <c r="H263" s="634"/>
      <c r="I263" s="21">
        <f t="shared" si="39"/>
        <v>0.05</v>
      </c>
      <c r="J263" s="634"/>
      <c r="K263" s="21">
        <f t="shared" si="40"/>
        <v>1</v>
      </c>
      <c r="L263" s="634"/>
      <c r="M263" s="21">
        <f t="shared" si="41"/>
        <v>1</v>
      </c>
      <c r="N263" s="634"/>
      <c r="O263" s="21">
        <f t="shared" si="42"/>
        <v>1</v>
      </c>
      <c r="P263" s="634"/>
      <c r="Q263" s="21">
        <f t="shared" si="43"/>
        <v>1</v>
      </c>
      <c r="R263" s="21">
        <f t="shared" si="44"/>
        <v>0</v>
      </c>
      <c r="S263" s="308">
        <f t="shared" si="35"/>
        <v>0</v>
      </c>
    </row>
    <row r="264" spans="1:19">
      <c r="A264" s="142"/>
      <c r="B264" s="52"/>
      <c r="C264" s="21">
        <f t="shared" si="36"/>
        <v>1</v>
      </c>
      <c r="D264" s="634"/>
      <c r="E264" s="21">
        <f t="shared" si="37"/>
        <v>0</v>
      </c>
      <c r="F264" s="634"/>
      <c r="G264" s="21">
        <f t="shared" si="38"/>
        <v>0.05</v>
      </c>
      <c r="H264" s="634"/>
      <c r="I264" s="21">
        <f t="shared" si="39"/>
        <v>0.05</v>
      </c>
      <c r="J264" s="634"/>
      <c r="K264" s="21">
        <f t="shared" si="40"/>
        <v>1</v>
      </c>
      <c r="L264" s="634"/>
      <c r="M264" s="21">
        <f t="shared" si="41"/>
        <v>1</v>
      </c>
      <c r="N264" s="634"/>
      <c r="O264" s="21">
        <f t="shared" si="42"/>
        <v>1</v>
      </c>
      <c r="P264" s="634"/>
      <c r="Q264" s="21">
        <f t="shared" si="43"/>
        <v>1</v>
      </c>
      <c r="R264" s="21">
        <f t="shared" si="44"/>
        <v>0</v>
      </c>
      <c r="S264" s="308">
        <f t="shared" si="35"/>
        <v>0</v>
      </c>
    </row>
    <row r="265" spans="1:19">
      <c r="A265" s="142"/>
      <c r="B265" s="52"/>
      <c r="C265" s="21">
        <f t="shared" si="36"/>
        <v>1</v>
      </c>
      <c r="D265" s="634"/>
      <c r="E265" s="21">
        <f t="shared" si="37"/>
        <v>0</v>
      </c>
      <c r="F265" s="634"/>
      <c r="G265" s="21">
        <f t="shared" si="38"/>
        <v>0.05</v>
      </c>
      <c r="H265" s="634"/>
      <c r="I265" s="21">
        <f t="shared" si="39"/>
        <v>0.05</v>
      </c>
      <c r="J265" s="634"/>
      <c r="K265" s="21">
        <f t="shared" si="40"/>
        <v>1</v>
      </c>
      <c r="L265" s="634"/>
      <c r="M265" s="21">
        <f t="shared" si="41"/>
        <v>1</v>
      </c>
      <c r="N265" s="634"/>
      <c r="O265" s="21">
        <f t="shared" si="42"/>
        <v>1</v>
      </c>
      <c r="P265" s="634"/>
      <c r="Q265" s="21">
        <f t="shared" si="43"/>
        <v>1</v>
      </c>
      <c r="R265" s="21">
        <f t="shared" si="44"/>
        <v>0</v>
      </c>
      <c r="S265" s="308">
        <f t="shared" si="35"/>
        <v>0</v>
      </c>
    </row>
    <row r="266" spans="1:19">
      <c r="A266" s="142"/>
      <c r="B266" s="52"/>
      <c r="C266" s="21">
        <f t="shared" si="36"/>
        <v>1</v>
      </c>
      <c r="D266" s="634"/>
      <c r="E266" s="21">
        <f t="shared" si="37"/>
        <v>0</v>
      </c>
      <c r="F266" s="634"/>
      <c r="G266" s="21">
        <f t="shared" si="38"/>
        <v>0.05</v>
      </c>
      <c r="H266" s="634"/>
      <c r="I266" s="21">
        <f t="shared" si="39"/>
        <v>0.05</v>
      </c>
      <c r="J266" s="634"/>
      <c r="K266" s="21">
        <f t="shared" si="40"/>
        <v>1</v>
      </c>
      <c r="L266" s="634"/>
      <c r="M266" s="21">
        <f t="shared" si="41"/>
        <v>1</v>
      </c>
      <c r="N266" s="634"/>
      <c r="O266" s="21">
        <f t="shared" si="42"/>
        <v>1</v>
      </c>
      <c r="P266" s="634"/>
      <c r="Q266" s="21">
        <f t="shared" si="43"/>
        <v>1</v>
      </c>
      <c r="R266" s="21">
        <f t="shared" si="44"/>
        <v>0</v>
      </c>
      <c r="S266" s="308">
        <f t="shared" si="35"/>
        <v>0</v>
      </c>
    </row>
    <row r="267" spans="1:19">
      <c r="A267" s="142"/>
      <c r="B267" s="52"/>
      <c r="C267" s="21">
        <f t="shared" si="36"/>
        <v>1</v>
      </c>
      <c r="D267" s="634"/>
      <c r="E267" s="21">
        <f t="shared" si="37"/>
        <v>0</v>
      </c>
      <c r="F267" s="634"/>
      <c r="G267" s="21">
        <f t="shared" si="38"/>
        <v>0.05</v>
      </c>
      <c r="H267" s="634"/>
      <c r="I267" s="21">
        <f t="shared" si="39"/>
        <v>0.05</v>
      </c>
      <c r="J267" s="634"/>
      <c r="K267" s="21">
        <f t="shared" si="40"/>
        <v>1</v>
      </c>
      <c r="L267" s="634"/>
      <c r="M267" s="21">
        <f t="shared" si="41"/>
        <v>1</v>
      </c>
      <c r="N267" s="634"/>
      <c r="O267" s="21">
        <f t="shared" si="42"/>
        <v>1</v>
      </c>
      <c r="P267" s="634"/>
      <c r="Q267" s="21">
        <f t="shared" si="43"/>
        <v>1</v>
      </c>
      <c r="R267" s="21">
        <f t="shared" si="44"/>
        <v>0</v>
      </c>
      <c r="S267" s="308">
        <f t="shared" si="35"/>
        <v>0</v>
      </c>
    </row>
    <row r="268" spans="1:19">
      <c r="A268" s="142"/>
      <c r="B268" s="52"/>
      <c r="C268" s="21">
        <f t="shared" si="36"/>
        <v>1</v>
      </c>
      <c r="D268" s="634"/>
      <c r="E268" s="21">
        <f t="shared" si="37"/>
        <v>0</v>
      </c>
      <c r="F268" s="634"/>
      <c r="G268" s="21">
        <f t="shared" si="38"/>
        <v>0.05</v>
      </c>
      <c r="H268" s="634"/>
      <c r="I268" s="21">
        <f t="shared" si="39"/>
        <v>0.05</v>
      </c>
      <c r="J268" s="634"/>
      <c r="K268" s="21">
        <f t="shared" si="40"/>
        <v>1</v>
      </c>
      <c r="L268" s="634"/>
      <c r="M268" s="21">
        <f t="shared" si="41"/>
        <v>1</v>
      </c>
      <c r="N268" s="634"/>
      <c r="O268" s="21">
        <f t="shared" si="42"/>
        <v>1</v>
      </c>
      <c r="P268" s="634"/>
      <c r="Q268" s="21">
        <f t="shared" si="43"/>
        <v>1</v>
      </c>
      <c r="R268" s="21">
        <f t="shared" si="44"/>
        <v>0</v>
      </c>
      <c r="S268" s="308">
        <f t="shared" si="35"/>
        <v>0</v>
      </c>
    </row>
    <row r="269" spans="1:19">
      <c r="A269" s="142"/>
      <c r="B269" s="52"/>
      <c r="C269" s="21">
        <f t="shared" si="36"/>
        <v>1</v>
      </c>
      <c r="D269" s="634"/>
      <c r="E269" s="21">
        <f t="shared" si="37"/>
        <v>0</v>
      </c>
      <c r="F269" s="634"/>
      <c r="G269" s="21">
        <f t="shared" si="38"/>
        <v>0.05</v>
      </c>
      <c r="H269" s="634"/>
      <c r="I269" s="21">
        <f t="shared" si="39"/>
        <v>0.05</v>
      </c>
      <c r="J269" s="634"/>
      <c r="K269" s="21">
        <f t="shared" si="40"/>
        <v>1</v>
      </c>
      <c r="L269" s="634"/>
      <c r="M269" s="21">
        <f t="shared" si="41"/>
        <v>1</v>
      </c>
      <c r="N269" s="634"/>
      <c r="O269" s="21">
        <f t="shared" si="42"/>
        <v>1</v>
      </c>
      <c r="P269" s="634"/>
      <c r="Q269" s="21">
        <f t="shared" si="43"/>
        <v>1</v>
      </c>
      <c r="R269" s="21">
        <f t="shared" si="44"/>
        <v>0</v>
      </c>
      <c r="S269" s="308">
        <f t="shared" si="35"/>
        <v>0</v>
      </c>
    </row>
    <row r="270" spans="1:19">
      <c r="A270" s="142"/>
      <c r="B270" s="52"/>
      <c r="C270" s="21">
        <f t="shared" si="36"/>
        <v>1</v>
      </c>
      <c r="D270" s="634"/>
      <c r="E270" s="21">
        <f t="shared" si="37"/>
        <v>0</v>
      </c>
      <c r="F270" s="634"/>
      <c r="G270" s="21">
        <f t="shared" si="38"/>
        <v>0.05</v>
      </c>
      <c r="H270" s="634"/>
      <c r="I270" s="21">
        <f t="shared" si="39"/>
        <v>0.05</v>
      </c>
      <c r="J270" s="634"/>
      <c r="K270" s="21">
        <f t="shared" si="40"/>
        <v>1</v>
      </c>
      <c r="L270" s="634"/>
      <c r="M270" s="21">
        <f t="shared" si="41"/>
        <v>1</v>
      </c>
      <c r="N270" s="634"/>
      <c r="O270" s="21">
        <f t="shared" si="42"/>
        <v>1</v>
      </c>
      <c r="P270" s="634"/>
      <c r="Q270" s="21">
        <f t="shared" si="43"/>
        <v>1</v>
      </c>
      <c r="R270" s="21">
        <f t="shared" si="44"/>
        <v>0</v>
      </c>
      <c r="S270" s="308">
        <f t="shared" si="35"/>
        <v>0</v>
      </c>
    </row>
    <row r="271" spans="1:19">
      <c r="A271" s="142"/>
      <c r="B271" s="52"/>
      <c r="C271" s="21">
        <f t="shared" si="36"/>
        <v>1</v>
      </c>
      <c r="D271" s="634"/>
      <c r="E271" s="21">
        <f t="shared" si="37"/>
        <v>0</v>
      </c>
      <c r="F271" s="634"/>
      <c r="G271" s="21">
        <f t="shared" si="38"/>
        <v>0.05</v>
      </c>
      <c r="H271" s="634"/>
      <c r="I271" s="21">
        <f t="shared" si="39"/>
        <v>0.05</v>
      </c>
      <c r="J271" s="634"/>
      <c r="K271" s="21">
        <f t="shared" si="40"/>
        <v>1</v>
      </c>
      <c r="L271" s="634"/>
      <c r="M271" s="21">
        <f t="shared" si="41"/>
        <v>1</v>
      </c>
      <c r="N271" s="634"/>
      <c r="O271" s="21">
        <f t="shared" si="42"/>
        <v>1</v>
      </c>
      <c r="P271" s="634"/>
      <c r="Q271" s="21">
        <f t="shared" si="43"/>
        <v>1</v>
      </c>
      <c r="R271" s="21">
        <f t="shared" si="44"/>
        <v>0</v>
      </c>
      <c r="S271" s="308">
        <f t="shared" si="35"/>
        <v>0</v>
      </c>
    </row>
    <row r="272" spans="1:19">
      <c r="A272" s="142"/>
      <c r="B272" s="52"/>
      <c r="C272" s="21">
        <f t="shared" si="36"/>
        <v>1</v>
      </c>
      <c r="D272" s="634"/>
      <c r="E272" s="21">
        <f t="shared" si="37"/>
        <v>0</v>
      </c>
      <c r="F272" s="634"/>
      <c r="G272" s="21">
        <f t="shared" si="38"/>
        <v>0.05</v>
      </c>
      <c r="H272" s="634"/>
      <c r="I272" s="21">
        <f t="shared" si="39"/>
        <v>0.05</v>
      </c>
      <c r="J272" s="634"/>
      <c r="K272" s="21">
        <f t="shared" si="40"/>
        <v>1</v>
      </c>
      <c r="L272" s="634"/>
      <c r="M272" s="21">
        <f t="shared" si="41"/>
        <v>1</v>
      </c>
      <c r="N272" s="634"/>
      <c r="O272" s="21">
        <f t="shared" si="42"/>
        <v>1</v>
      </c>
      <c r="P272" s="634"/>
      <c r="Q272" s="21">
        <f t="shared" si="43"/>
        <v>1</v>
      </c>
      <c r="R272" s="21">
        <f t="shared" si="44"/>
        <v>0</v>
      </c>
      <c r="S272" s="308">
        <f t="shared" si="35"/>
        <v>0</v>
      </c>
    </row>
    <row r="273" spans="1:19">
      <c r="A273" s="142"/>
      <c r="B273" s="52"/>
      <c r="C273" s="21">
        <f t="shared" si="36"/>
        <v>1</v>
      </c>
      <c r="D273" s="634"/>
      <c r="E273" s="21">
        <f t="shared" si="37"/>
        <v>0</v>
      </c>
      <c r="F273" s="634"/>
      <c r="G273" s="21">
        <f t="shared" si="38"/>
        <v>0.05</v>
      </c>
      <c r="H273" s="634"/>
      <c r="I273" s="21">
        <f t="shared" si="39"/>
        <v>0.05</v>
      </c>
      <c r="J273" s="634"/>
      <c r="K273" s="21">
        <f t="shared" si="40"/>
        <v>1</v>
      </c>
      <c r="L273" s="634"/>
      <c r="M273" s="21">
        <f t="shared" si="41"/>
        <v>1</v>
      </c>
      <c r="N273" s="634"/>
      <c r="O273" s="21">
        <f t="shared" si="42"/>
        <v>1</v>
      </c>
      <c r="P273" s="634"/>
      <c r="Q273" s="21">
        <f t="shared" si="43"/>
        <v>1</v>
      </c>
      <c r="R273" s="21">
        <f t="shared" si="44"/>
        <v>0</v>
      </c>
      <c r="S273" s="308">
        <f t="shared" si="35"/>
        <v>0</v>
      </c>
    </row>
    <row r="274" spans="1:19">
      <c r="A274" s="142"/>
      <c r="B274" s="52"/>
      <c r="C274" s="21">
        <f t="shared" si="36"/>
        <v>1</v>
      </c>
      <c r="D274" s="634"/>
      <c r="E274" s="21">
        <f t="shared" si="37"/>
        <v>0</v>
      </c>
      <c r="F274" s="634"/>
      <c r="G274" s="21">
        <f t="shared" si="38"/>
        <v>0.05</v>
      </c>
      <c r="H274" s="634"/>
      <c r="I274" s="21">
        <f t="shared" si="39"/>
        <v>0.05</v>
      </c>
      <c r="J274" s="634"/>
      <c r="K274" s="21">
        <f t="shared" si="40"/>
        <v>1</v>
      </c>
      <c r="L274" s="634"/>
      <c r="M274" s="21">
        <f t="shared" si="41"/>
        <v>1</v>
      </c>
      <c r="N274" s="634"/>
      <c r="O274" s="21">
        <f t="shared" si="42"/>
        <v>1</v>
      </c>
      <c r="P274" s="634"/>
      <c r="Q274" s="21">
        <f t="shared" si="43"/>
        <v>1</v>
      </c>
      <c r="R274" s="21">
        <f t="shared" si="44"/>
        <v>0</v>
      </c>
      <c r="S274" s="308">
        <f t="shared" si="35"/>
        <v>0</v>
      </c>
    </row>
    <row r="275" spans="1:19">
      <c r="A275" s="142"/>
      <c r="B275" s="52"/>
      <c r="C275" s="21">
        <f t="shared" si="36"/>
        <v>1</v>
      </c>
      <c r="D275" s="634"/>
      <c r="E275" s="21">
        <f t="shared" si="37"/>
        <v>0</v>
      </c>
      <c r="F275" s="634"/>
      <c r="G275" s="21">
        <f t="shared" si="38"/>
        <v>0.05</v>
      </c>
      <c r="H275" s="634"/>
      <c r="I275" s="21">
        <f t="shared" si="39"/>
        <v>0.05</v>
      </c>
      <c r="J275" s="634"/>
      <c r="K275" s="21">
        <f t="shared" si="40"/>
        <v>1</v>
      </c>
      <c r="L275" s="634"/>
      <c r="M275" s="21">
        <f t="shared" si="41"/>
        <v>1</v>
      </c>
      <c r="N275" s="634"/>
      <c r="O275" s="21">
        <f t="shared" si="42"/>
        <v>1</v>
      </c>
      <c r="P275" s="634"/>
      <c r="Q275" s="21">
        <f t="shared" si="43"/>
        <v>1</v>
      </c>
      <c r="R275" s="21">
        <f t="shared" si="44"/>
        <v>0</v>
      </c>
      <c r="S275" s="308">
        <f t="shared" si="35"/>
        <v>0</v>
      </c>
    </row>
    <row r="276" spans="1:19">
      <c r="A276" s="142"/>
      <c r="B276" s="52"/>
      <c r="C276" s="21">
        <f t="shared" si="36"/>
        <v>1</v>
      </c>
      <c r="D276" s="634"/>
      <c r="E276" s="21">
        <f t="shared" si="37"/>
        <v>0</v>
      </c>
      <c r="F276" s="634"/>
      <c r="G276" s="21">
        <f t="shared" si="38"/>
        <v>0.05</v>
      </c>
      <c r="H276" s="634"/>
      <c r="I276" s="21">
        <f t="shared" si="39"/>
        <v>0.05</v>
      </c>
      <c r="J276" s="634"/>
      <c r="K276" s="21">
        <f t="shared" si="40"/>
        <v>1</v>
      </c>
      <c r="L276" s="634"/>
      <c r="M276" s="21">
        <f t="shared" si="41"/>
        <v>1</v>
      </c>
      <c r="N276" s="634"/>
      <c r="O276" s="21">
        <f t="shared" si="42"/>
        <v>1</v>
      </c>
      <c r="P276" s="634"/>
      <c r="Q276" s="21">
        <f t="shared" si="43"/>
        <v>1</v>
      </c>
      <c r="R276" s="21">
        <f t="shared" si="44"/>
        <v>0</v>
      </c>
      <c r="S276" s="308">
        <f t="shared" si="35"/>
        <v>0</v>
      </c>
    </row>
    <row r="277" spans="1:19">
      <c r="A277" s="142"/>
      <c r="B277" s="52"/>
      <c r="C277" s="21">
        <f t="shared" si="36"/>
        <v>1</v>
      </c>
      <c r="D277" s="634"/>
      <c r="E277" s="21">
        <f t="shared" si="37"/>
        <v>0</v>
      </c>
      <c r="F277" s="634"/>
      <c r="G277" s="21">
        <f t="shared" si="38"/>
        <v>0.05</v>
      </c>
      <c r="H277" s="634"/>
      <c r="I277" s="21">
        <f t="shared" si="39"/>
        <v>0.05</v>
      </c>
      <c r="J277" s="634"/>
      <c r="K277" s="21">
        <f t="shared" si="40"/>
        <v>1</v>
      </c>
      <c r="L277" s="634"/>
      <c r="M277" s="21">
        <f t="shared" si="41"/>
        <v>1</v>
      </c>
      <c r="N277" s="634"/>
      <c r="O277" s="21">
        <f t="shared" si="42"/>
        <v>1</v>
      </c>
      <c r="P277" s="634"/>
      <c r="Q277" s="21">
        <f t="shared" si="43"/>
        <v>1</v>
      </c>
      <c r="R277" s="21">
        <f t="shared" si="44"/>
        <v>0</v>
      </c>
      <c r="S277" s="308">
        <f t="shared" si="35"/>
        <v>0</v>
      </c>
    </row>
    <row r="278" spans="1:19">
      <c r="A278" s="142"/>
      <c r="B278" s="52"/>
      <c r="C278" s="21">
        <f t="shared" si="36"/>
        <v>1</v>
      </c>
      <c r="D278" s="634"/>
      <c r="E278" s="21">
        <f t="shared" si="37"/>
        <v>0</v>
      </c>
      <c r="F278" s="634"/>
      <c r="G278" s="21">
        <f t="shared" si="38"/>
        <v>0.05</v>
      </c>
      <c r="H278" s="634"/>
      <c r="I278" s="21">
        <f t="shared" si="39"/>
        <v>0.05</v>
      </c>
      <c r="J278" s="634"/>
      <c r="K278" s="21">
        <f t="shared" si="40"/>
        <v>1</v>
      </c>
      <c r="L278" s="634"/>
      <c r="M278" s="21">
        <f t="shared" si="41"/>
        <v>1</v>
      </c>
      <c r="N278" s="634"/>
      <c r="O278" s="21">
        <f t="shared" si="42"/>
        <v>1</v>
      </c>
      <c r="P278" s="634"/>
      <c r="Q278" s="21">
        <f t="shared" si="43"/>
        <v>1</v>
      </c>
      <c r="R278" s="21">
        <f t="shared" si="44"/>
        <v>0</v>
      </c>
      <c r="S278" s="308">
        <f t="shared" si="35"/>
        <v>0</v>
      </c>
    </row>
    <row r="279" spans="1:19">
      <c r="A279" s="142"/>
      <c r="B279" s="52"/>
      <c r="C279" s="21">
        <f t="shared" si="36"/>
        <v>1</v>
      </c>
      <c r="D279" s="634"/>
      <c r="E279" s="21">
        <f t="shared" si="37"/>
        <v>0</v>
      </c>
      <c r="F279" s="634"/>
      <c r="G279" s="21">
        <f t="shared" si="38"/>
        <v>0.05</v>
      </c>
      <c r="H279" s="634"/>
      <c r="I279" s="21">
        <f t="shared" si="39"/>
        <v>0.05</v>
      </c>
      <c r="J279" s="634"/>
      <c r="K279" s="21">
        <f t="shared" si="40"/>
        <v>1</v>
      </c>
      <c r="L279" s="634"/>
      <c r="M279" s="21">
        <f t="shared" si="41"/>
        <v>1</v>
      </c>
      <c r="N279" s="634"/>
      <c r="O279" s="21">
        <f t="shared" si="42"/>
        <v>1</v>
      </c>
      <c r="P279" s="634"/>
      <c r="Q279" s="21">
        <f t="shared" si="43"/>
        <v>1</v>
      </c>
      <c r="R279" s="21">
        <f t="shared" si="44"/>
        <v>0</v>
      </c>
      <c r="S279" s="308">
        <f t="shared" si="35"/>
        <v>0</v>
      </c>
    </row>
    <row r="280" spans="1:19">
      <c r="A280" s="142"/>
      <c r="B280" s="52"/>
      <c r="C280" s="21">
        <f t="shared" si="36"/>
        <v>1</v>
      </c>
      <c r="D280" s="634"/>
      <c r="E280" s="21">
        <f t="shared" si="37"/>
        <v>0</v>
      </c>
      <c r="F280" s="634"/>
      <c r="G280" s="21">
        <f t="shared" si="38"/>
        <v>0.05</v>
      </c>
      <c r="H280" s="634"/>
      <c r="I280" s="21">
        <f t="shared" si="39"/>
        <v>0.05</v>
      </c>
      <c r="J280" s="634"/>
      <c r="K280" s="21">
        <f t="shared" si="40"/>
        <v>1</v>
      </c>
      <c r="L280" s="634"/>
      <c r="M280" s="21">
        <f t="shared" si="41"/>
        <v>1</v>
      </c>
      <c r="N280" s="634"/>
      <c r="O280" s="21">
        <f t="shared" si="42"/>
        <v>1</v>
      </c>
      <c r="P280" s="634"/>
      <c r="Q280" s="21">
        <f t="shared" si="43"/>
        <v>1</v>
      </c>
      <c r="R280" s="21">
        <f t="shared" si="44"/>
        <v>0</v>
      </c>
      <c r="S280" s="308">
        <f t="shared" ref="S280:S343" si="45">ROUND(R280*B280/10000,0)</f>
        <v>0</v>
      </c>
    </row>
    <row r="281" spans="1:19">
      <c r="A281" s="142"/>
      <c r="B281" s="52"/>
      <c r="C281" s="21">
        <f t="shared" si="36"/>
        <v>1</v>
      </c>
      <c r="D281" s="634"/>
      <c r="E281" s="21">
        <f t="shared" si="37"/>
        <v>0</v>
      </c>
      <c r="F281" s="634"/>
      <c r="G281" s="21">
        <f t="shared" si="38"/>
        <v>0.05</v>
      </c>
      <c r="H281" s="634"/>
      <c r="I281" s="21">
        <f t="shared" si="39"/>
        <v>0.05</v>
      </c>
      <c r="J281" s="634"/>
      <c r="K281" s="21">
        <f t="shared" si="40"/>
        <v>1</v>
      </c>
      <c r="L281" s="634"/>
      <c r="M281" s="21">
        <f t="shared" si="41"/>
        <v>1</v>
      </c>
      <c r="N281" s="634"/>
      <c r="O281" s="21">
        <f t="shared" si="42"/>
        <v>1</v>
      </c>
      <c r="P281" s="634"/>
      <c r="Q281" s="21">
        <f t="shared" si="43"/>
        <v>1</v>
      </c>
      <c r="R281" s="21">
        <f t="shared" si="44"/>
        <v>0</v>
      </c>
      <c r="S281" s="308">
        <f t="shared" si="45"/>
        <v>0</v>
      </c>
    </row>
    <row r="282" spans="1:19">
      <c r="A282" s="142"/>
      <c r="B282" s="52"/>
      <c r="C282" s="21">
        <f t="shared" ref="C282:C345" si="46">IF(B282="",1,(LOOKUP(B282,$3:$3,$4:$4)-LOOKUP($B$24,$3:$3,$4:$4)+100)/100)</f>
        <v>1</v>
      </c>
      <c r="D282" s="634"/>
      <c r="E282" s="21">
        <f t="shared" ref="E282:E345" si="47">(SUMIF($5:$5,D282,$6:$6)-SUMIF($5:$5,$D$24,$6:$6)+100)/100</f>
        <v>0</v>
      </c>
      <c r="F282" s="634"/>
      <c r="G282" s="21">
        <f t="shared" ref="G282:G345" si="48">(SUMIF($7:$7,F282,$8:$8)-SUMIF($7:$7,$F$24,$8:$8)+100)/100</f>
        <v>0.05</v>
      </c>
      <c r="H282" s="634"/>
      <c r="I282" s="21">
        <f t="shared" ref="I282:I345" si="49">(SUMIF($9:$9,H282,$10:$10)-SUMIF($9:$9,$H$24,$10:$10)+100)/100</f>
        <v>0.05</v>
      </c>
      <c r="J282" s="634"/>
      <c r="K282" s="21">
        <f t="shared" ref="K282:K345" si="50">(SUMIF($11:$11,J282,$12:$12)-SUMIF($11:$11,$J$24,$12:$12)+100)/100</f>
        <v>1</v>
      </c>
      <c r="L282" s="634"/>
      <c r="M282" s="21">
        <f t="shared" ref="M282:M345" si="51">(SUMIF($13:$13,L282,$14:$14)-SUMIF($13:$13,$L$24,$14:$14)+100)/100</f>
        <v>1</v>
      </c>
      <c r="N282" s="634"/>
      <c r="O282" s="21">
        <f t="shared" ref="O282:O345" si="52">(SUMIF($15:$15,N282,$16:$16)-SUMIF($15:$15,$N$24,$16:$16)+100)/100</f>
        <v>1</v>
      </c>
      <c r="P282" s="634"/>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4"/>
      <c r="E283" s="21">
        <f t="shared" si="47"/>
        <v>0</v>
      </c>
      <c r="F283" s="634"/>
      <c r="G283" s="21">
        <f t="shared" si="48"/>
        <v>0.05</v>
      </c>
      <c r="H283" s="634"/>
      <c r="I283" s="21">
        <f t="shared" si="49"/>
        <v>0.05</v>
      </c>
      <c r="J283" s="634"/>
      <c r="K283" s="21">
        <f t="shared" si="50"/>
        <v>1</v>
      </c>
      <c r="L283" s="634"/>
      <c r="M283" s="21">
        <f t="shared" si="51"/>
        <v>1</v>
      </c>
      <c r="N283" s="634"/>
      <c r="O283" s="21">
        <f t="shared" si="52"/>
        <v>1</v>
      </c>
      <c r="P283" s="634"/>
      <c r="Q283" s="21">
        <f t="shared" si="53"/>
        <v>1</v>
      </c>
      <c r="R283" s="21">
        <f t="shared" si="54"/>
        <v>0</v>
      </c>
      <c r="S283" s="308">
        <f t="shared" si="45"/>
        <v>0</v>
      </c>
    </row>
    <row r="284" spans="1:19">
      <c r="A284" s="142"/>
      <c r="B284" s="52"/>
      <c r="C284" s="21">
        <f t="shared" si="46"/>
        <v>1</v>
      </c>
      <c r="D284" s="634"/>
      <c r="E284" s="21">
        <f t="shared" si="47"/>
        <v>0</v>
      </c>
      <c r="F284" s="634"/>
      <c r="G284" s="21">
        <f t="shared" si="48"/>
        <v>0.05</v>
      </c>
      <c r="H284" s="634"/>
      <c r="I284" s="21">
        <f t="shared" si="49"/>
        <v>0.05</v>
      </c>
      <c r="J284" s="634"/>
      <c r="K284" s="21">
        <f t="shared" si="50"/>
        <v>1</v>
      </c>
      <c r="L284" s="634"/>
      <c r="M284" s="21">
        <f t="shared" si="51"/>
        <v>1</v>
      </c>
      <c r="N284" s="634"/>
      <c r="O284" s="21">
        <f t="shared" si="52"/>
        <v>1</v>
      </c>
      <c r="P284" s="634"/>
      <c r="Q284" s="21">
        <f t="shared" si="53"/>
        <v>1</v>
      </c>
      <c r="R284" s="21">
        <f t="shared" si="54"/>
        <v>0</v>
      </c>
      <c r="S284" s="308">
        <f t="shared" si="45"/>
        <v>0</v>
      </c>
    </row>
    <row r="285" spans="1:19">
      <c r="A285" s="142"/>
      <c r="B285" s="52"/>
      <c r="C285" s="21">
        <f t="shared" si="46"/>
        <v>1</v>
      </c>
      <c r="D285" s="634"/>
      <c r="E285" s="21">
        <f t="shared" si="47"/>
        <v>0</v>
      </c>
      <c r="F285" s="634"/>
      <c r="G285" s="21">
        <f t="shared" si="48"/>
        <v>0.05</v>
      </c>
      <c r="H285" s="634"/>
      <c r="I285" s="21">
        <f t="shared" si="49"/>
        <v>0.05</v>
      </c>
      <c r="J285" s="634"/>
      <c r="K285" s="21">
        <f t="shared" si="50"/>
        <v>1</v>
      </c>
      <c r="L285" s="634"/>
      <c r="M285" s="21">
        <f t="shared" si="51"/>
        <v>1</v>
      </c>
      <c r="N285" s="634"/>
      <c r="O285" s="21">
        <f t="shared" si="52"/>
        <v>1</v>
      </c>
      <c r="P285" s="634"/>
      <c r="Q285" s="21">
        <f t="shared" si="53"/>
        <v>1</v>
      </c>
      <c r="R285" s="21">
        <f t="shared" si="54"/>
        <v>0</v>
      </c>
      <c r="S285" s="308">
        <f t="shared" si="45"/>
        <v>0</v>
      </c>
    </row>
    <row r="286" spans="1:19">
      <c r="A286" s="142"/>
      <c r="B286" s="52"/>
      <c r="C286" s="21">
        <f t="shared" si="46"/>
        <v>1</v>
      </c>
      <c r="D286" s="634"/>
      <c r="E286" s="21">
        <f t="shared" si="47"/>
        <v>0</v>
      </c>
      <c r="F286" s="634"/>
      <c r="G286" s="21">
        <f t="shared" si="48"/>
        <v>0.05</v>
      </c>
      <c r="H286" s="634"/>
      <c r="I286" s="21">
        <f t="shared" si="49"/>
        <v>0.05</v>
      </c>
      <c r="J286" s="634"/>
      <c r="K286" s="21">
        <f t="shared" si="50"/>
        <v>1</v>
      </c>
      <c r="L286" s="634"/>
      <c r="M286" s="21">
        <f t="shared" si="51"/>
        <v>1</v>
      </c>
      <c r="N286" s="634"/>
      <c r="O286" s="21">
        <f t="shared" si="52"/>
        <v>1</v>
      </c>
      <c r="P286" s="634"/>
      <c r="Q286" s="21">
        <f t="shared" si="53"/>
        <v>1</v>
      </c>
      <c r="R286" s="21">
        <f t="shared" si="54"/>
        <v>0</v>
      </c>
      <c r="S286" s="308">
        <f t="shared" si="45"/>
        <v>0</v>
      </c>
    </row>
    <row r="287" spans="1:19">
      <c r="A287" s="142"/>
      <c r="B287" s="52"/>
      <c r="C287" s="21">
        <f t="shared" si="46"/>
        <v>1</v>
      </c>
      <c r="D287" s="634"/>
      <c r="E287" s="21">
        <f t="shared" si="47"/>
        <v>0</v>
      </c>
      <c r="F287" s="634"/>
      <c r="G287" s="21">
        <f t="shared" si="48"/>
        <v>0.05</v>
      </c>
      <c r="H287" s="634"/>
      <c r="I287" s="21">
        <f t="shared" si="49"/>
        <v>0.05</v>
      </c>
      <c r="J287" s="634"/>
      <c r="K287" s="21">
        <f t="shared" si="50"/>
        <v>1</v>
      </c>
      <c r="L287" s="634"/>
      <c r="M287" s="21">
        <f t="shared" si="51"/>
        <v>1</v>
      </c>
      <c r="N287" s="634"/>
      <c r="O287" s="21">
        <f t="shared" si="52"/>
        <v>1</v>
      </c>
      <c r="P287" s="634"/>
      <c r="Q287" s="21">
        <f t="shared" si="53"/>
        <v>1</v>
      </c>
      <c r="R287" s="21">
        <f t="shared" si="54"/>
        <v>0</v>
      </c>
      <c r="S287" s="308">
        <f t="shared" si="45"/>
        <v>0</v>
      </c>
    </row>
    <row r="288" spans="1:19">
      <c r="A288" s="142"/>
      <c r="B288" s="52"/>
      <c r="C288" s="21">
        <f t="shared" si="46"/>
        <v>1</v>
      </c>
      <c r="D288" s="634"/>
      <c r="E288" s="21">
        <f t="shared" si="47"/>
        <v>0</v>
      </c>
      <c r="F288" s="634"/>
      <c r="G288" s="21">
        <f t="shared" si="48"/>
        <v>0.05</v>
      </c>
      <c r="H288" s="634"/>
      <c r="I288" s="21">
        <f t="shared" si="49"/>
        <v>0.05</v>
      </c>
      <c r="J288" s="634"/>
      <c r="K288" s="21">
        <f t="shared" si="50"/>
        <v>1</v>
      </c>
      <c r="L288" s="634"/>
      <c r="M288" s="21">
        <f t="shared" si="51"/>
        <v>1</v>
      </c>
      <c r="N288" s="634"/>
      <c r="O288" s="21">
        <f t="shared" si="52"/>
        <v>1</v>
      </c>
      <c r="P288" s="634"/>
      <c r="Q288" s="21">
        <f t="shared" si="53"/>
        <v>1</v>
      </c>
      <c r="R288" s="21">
        <f t="shared" si="54"/>
        <v>0</v>
      </c>
      <c r="S288" s="308">
        <f t="shared" si="45"/>
        <v>0</v>
      </c>
    </row>
    <row r="289" spans="1:19">
      <c r="A289" s="142"/>
      <c r="B289" s="52"/>
      <c r="C289" s="21">
        <f t="shared" si="46"/>
        <v>1</v>
      </c>
      <c r="D289" s="634"/>
      <c r="E289" s="21">
        <f t="shared" si="47"/>
        <v>0</v>
      </c>
      <c r="F289" s="634"/>
      <c r="G289" s="21">
        <f t="shared" si="48"/>
        <v>0.05</v>
      </c>
      <c r="H289" s="634"/>
      <c r="I289" s="21">
        <f t="shared" si="49"/>
        <v>0.05</v>
      </c>
      <c r="J289" s="634"/>
      <c r="K289" s="21">
        <f t="shared" si="50"/>
        <v>1</v>
      </c>
      <c r="L289" s="634"/>
      <c r="M289" s="21">
        <f t="shared" si="51"/>
        <v>1</v>
      </c>
      <c r="N289" s="634"/>
      <c r="O289" s="21">
        <f t="shared" si="52"/>
        <v>1</v>
      </c>
      <c r="P289" s="634"/>
      <c r="Q289" s="21">
        <f t="shared" si="53"/>
        <v>1</v>
      </c>
      <c r="R289" s="21">
        <f t="shared" si="54"/>
        <v>0</v>
      </c>
      <c r="S289" s="308">
        <f t="shared" si="45"/>
        <v>0</v>
      </c>
    </row>
    <row r="290" spans="1:19">
      <c r="A290" s="142"/>
      <c r="B290" s="52"/>
      <c r="C290" s="21">
        <f t="shared" si="46"/>
        <v>1</v>
      </c>
      <c r="D290" s="634"/>
      <c r="E290" s="21">
        <f t="shared" si="47"/>
        <v>0</v>
      </c>
      <c r="F290" s="634"/>
      <c r="G290" s="21">
        <f t="shared" si="48"/>
        <v>0.05</v>
      </c>
      <c r="H290" s="634"/>
      <c r="I290" s="21">
        <f t="shared" si="49"/>
        <v>0.05</v>
      </c>
      <c r="J290" s="634"/>
      <c r="K290" s="21">
        <f t="shared" si="50"/>
        <v>1</v>
      </c>
      <c r="L290" s="634"/>
      <c r="M290" s="21">
        <f t="shared" si="51"/>
        <v>1</v>
      </c>
      <c r="N290" s="634"/>
      <c r="O290" s="21">
        <f t="shared" si="52"/>
        <v>1</v>
      </c>
      <c r="P290" s="634"/>
      <c r="Q290" s="21">
        <f t="shared" si="53"/>
        <v>1</v>
      </c>
      <c r="R290" s="21">
        <f t="shared" si="54"/>
        <v>0</v>
      </c>
      <c r="S290" s="308">
        <f t="shared" si="45"/>
        <v>0</v>
      </c>
    </row>
    <row r="291" spans="1:19">
      <c r="A291" s="142"/>
      <c r="B291" s="52"/>
      <c r="C291" s="21">
        <f t="shared" si="46"/>
        <v>1</v>
      </c>
      <c r="D291" s="634"/>
      <c r="E291" s="21">
        <f t="shared" si="47"/>
        <v>0</v>
      </c>
      <c r="F291" s="634"/>
      <c r="G291" s="21">
        <f t="shared" si="48"/>
        <v>0.05</v>
      </c>
      <c r="H291" s="634"/>
      <c r="I291" s="21">
        <f t="shared" si="49"/>
        <v>0.05</v>
      </c>
      <c r="J291" s="634"/>
      <c r="K291" s="21">
        <f t="shared" si="50"/>
        <v>1</v>
      </c>
      <c r="L291" s="634"/>
      <c r="M291" s="21">
        <f t="shared" si="51"/>
        <v>1</v>
      </c>
      <c r="N291" s="634"/>
      <c r="O291" s="21">
        <f t="shared" si="52"/>
        <v>1</v>
      </c>
      <c r="P291" s="634"/>
      <c r="Q291" s="21">
        <f t="shared" si="53"/>
        <v>1</v>
      </c>
      <c r="R291" s="21">
        <f t="shared" si="54"/>
        <v>0</v>
      </c>
      <c r="S291" s="308">
        <f t="shared" si="45"/>
        <v>0</v>
      </c>
    </row>
    <row r="292" spans="1:19">
      <c r="A292" s="142"/>
      <c r="B292" s="52"/>
      <c r="C292" s="21">
        <f t="shared" si="46"/>
        <v>1</v>
      </c>
      <c r="D292" s="634"/>
      <c r="E292" s="21">
        <f t="shared" si="47"/>
        <v>0</v>
      </c>
      <c r="F292" s="634"/>
      <c r="G292" s="21">
        <f t="shared" si="48"/>
        <v>0.05</v>
      </c>
      <c r="H292" s="634"/>
      <c r="I292" s="21">
        <f t="shared" si="49"/>
        <v>0.05</v>
      </c>
      <c r="J292" s="634"/>
      <c r="K292" s="21">
        <f t="shared" si="50"/>
        <v>1</v>
      </c>
      <c r="L292" s="634"/>
      <c r="M292" s="21">
        <f t="shared" si="51"/>
        <v>1</v>
      </c>
      <c r="N292" s="634"/>
      <c r="O292" s="21">
        <f t="shared" si="52"/>
        <v>1</v>
      </c>
      <c r="P292" s="634"/>
      <c r="Q292" s="21">
        <f t="shared" si="53"/>
        <v>1</v>
      </c>
      <c r="R292" s="21">
        <f t="shared" si="54"/>
        <v>0</v>
      </c>
      <c r="S292" s="308">
        <f t="shared" si="45"/>
        <v>0</v>
      </c>
    </row>
    <row r="293" spans="1:19">
      <c r="A293" s="142"/>
      <c r="B293" s="52"/>
      <c r="C293" s="21">
        <f t="shared" si="46"/>
        <v>1</v>
      </c>
      <c r="D293" s="634"/>
      <c r="E293" s="21">
        <f t="shared" si="47"/>
        <v>0</v>
      </c>
      <c r="F293" s="634"/>
      <c r="G293" s="21">
        <f t="shared" si="48"/>
        <v>0.05</v>
      </c>
      <c r="H293" s="634"/>
      <c r="I293" s="21">
        <f t="shared" si="49"/>
        <v>0.05</v>
      </c>
      <c r="J293" s="634"/>
      <c r="K293" s="21">
        <f t="shared" si="50"/>
        <v>1</v>
      </c>
      <c r="L293" s="634"/>
      <c r="M293" s="21">
        <f t="shared" si="51"/>
        <v>1</v>
      </c>
      <c r="N293" s="634"/>
      <c r="O293" s="21">
        <f t="shared" si="52"/>
        <v>1</v>
      </c>
      <c r="P293" s="634"/>
      <c r="Q293" s="21">
        <f t="shared" si="53"/>
        <v>1</v>
      </c>
      <c r="R293" s="21">
        <f t="shared" si="54"/>
        <v>0</v>
      </c>
      <c r="S293" s="308">
        <f t="shared" si="45"/>
        <v>0</v>
      </c>
    </row>
    <row r="294" spans="1:19">
      <c r="A294" s="142"/>
      <c r="B294" s="52"/>
      <c r="C294" s="21">
        <f t="shared" si="46"/>
        <v>1</v>
      </c>
      <c r="D294" s="634"/>
      <c r="E294" s="21">
        <f t="shared" si="47"/>
        <v>0</v>
      </c>
      <c r="F294" s="634"/>
      <c r="G294" s="21">
        <f t="shared" si="48"/>
        <v>0.05</v>
      </c>
      <c r="H294" s="634"/>
      <c r="I294" s="21">
        <f t="shared" si="49"/>
        <v>0.05</v>
      </c>
      <c r="J294" s="634"/>
      <c r="K294" s="21">
        <f t="shared" si="50"/>
        <v>1</v>
      </c>
      <c r="L294" s="634"/>
      <c r="M294" s="21">
        <f t="shared" si="51"/>
        <v>1</v>
      </c>
      <c r="N294" s="634"/>
      <c r="O294" s="21">
        <f t="shared" si="52"/>
        <v>1</v>
      </c>
      <c r="P294" s="634"/>
      <c r="Q294" s="21">
        <f t="shared" si="53"/>
        <v>1</v>
      </c>
      <c r="R294" s="21">
        <f t="shared" si="54"/>
        <v>0</v>
      </c>
      <c r="S294" s="308">
        <f t="shared" si="45"/>
        <v>0</v>
      </c>
    </row>
    <row r="295" spans="1:19">
      <c r="A295" s="142"/>
      <c r="B295" s="52"/>
      <c r="C295" s="21">
        <f t="shared" si="46"/>
        <v>1</v>
      </c>
      <c r="D295" s="634"/>
      <c r="E295" s="21">
        <f t="shared" si="47"/>
        <v>0</v>
      </c>
      <c r="F295" s="634"/>
      <c r="G295" s="21">
        <f t="shared" si="48"/>
        <v>0.05</v>
      </c>
      <c r="H295" s="634"/>
      <c r="I295" s="21">
        <f t="shared" si="49"/>
        <v>0.05</v>
      </c>
      <c r="J295" s="634"/>
      <c r="K295" s="21">
        <f t="shared" si="50"/>
        <v>1</v>
      </c>
      <c r="L295" s="634"/>
      <c r="M295" s="21">
        <f t="shared" si="51"/>
        <v>1</v>
      </c>
      <c r="N295" s="634"/>
      <c r="O295" s="21">
        <f t="shared" si="52"/>
        <v>1</v>
      </c>
      <c r="P295" s="634"/>
      <c r="Q295" s="21">
        <f t="shared" si="53"/>
        <v>1</v>
      </c>
      <c r="R295" s="21">
        <f t="shared" si="54"/>
        <v>0</v>
      </c>
      <c r="S295" s="308">
        <f t="shared" si="45"/>
        <v>0</v>
      </c>
    </row>
    <row r="296" spans="1:19">
      <c r="A296" s="142"/>
      <c r="B296" s="52"/>
      <c r="C296" s="21">
        <f t="shared" si="46"/>
        <v>1</v>
      </c>
      <c r="D296" s="634"/>
      <c r="E296" s="21">
        <f t="shared" si="47"/>
        <v>0</v>
      </c>
      <c r="F296" s="634"/>
      <c r="G296" s="21">
        <f t="shared" si="48"/>
        <v>0.05</v>
      </c>
      <c r="H296" s="634"/>
      <c r="I296" s="21">
        <f t="shared" si="49"/>
        <v>0.05</v>
      </c>
      <c r="J296" s="634"/>
      <c r="K296" s="21">
        <f t="shared" si="50"/>
        <v>1</v>
      </c>
      <c r="L296" s="634"/>
      <c r="M296" s="21">
        <f t="shared" si="51"/>
        <v>1</v>
      </c>
      <c r="N296" s="634"/>
      <c r="O296" s="21">
        <f t="shared" si="52"/>
        <v>1</v>
      </c>
      <c r="P296" s="634"/>
      <c r="Q296" s="21">
        <f t="shared" si="53"/>
        <v>1</v>
      </c>
      <c r="R296" s="21">
        <f t="shared" si="54"/>
        <v>0</v>
      </c>
      <c r="S296" s="308">
        <f t="shared" si="45"/>
        <v>0</v>
      </c>
    </row>
    <row r="297" spans="1:19">
      <c r="A297" s="142"/>
      <c r="B297" s="52"/>
      <c r="C297" s="21">
        <f t="shared" si="46"/>
        <v>1</v>
      </c>
      <c r="D297" s="634"/>
      <c r="E297" s="21">
        <f t="shared" si="47"/>
        <v>0</v>
      </c>
      <c r="F297" s="634"/>
      <c r="G297" s="21">
        <f t="shared" si="48"/>
        <v>0.05</v>
      </c>
      <c r="H297" s="634"/>
      <c r="I297" s="21">
        <f t="shared" si="49"/>
        <v>0.05</v>
      </c>
      <c r="J297" s="634"/>
      <c r="K297" s="21">
        <f t="shared" si="50"/>
        <v>1</v>
      </c>
      <c r="L297" s="634"/>
      <c r="M297" s="21">
        <f t="shared" si="51"/>
        <v>1</v>
      </c>
      <c r="N297" s="634"/>
      <c r="O297" s="21">
        <f t="shared" si="52"/>
        <v>1</v>
      </c>
      <c r="P297" s="634"/>
      <c r="Q297" s="21">
        <f t="shared" si="53"/>
        <v>1</v>
      </c>
      <c r="R297" s="21">
        <f t="shared" si="54"/>
        <v>0</v>
      </c>
      <c r="S297" s="308">
        <f t="shared" si="45"/>
        <v>0</v>
      </c>
    </row>
    <row r="298" spans="1:19">
      <c r="A298" s="142"/>
      <c r="B298" s="52"/>
      <c r="C298" s="21">
        <f t="shared" si="46"/>
        <v>1</v>
      </c>
      <c r="D298" s="634"/>
      <c r="E298" s="21">
        <f t="shared" si="47"/>
        <v>0</v>
      </c>
      <c r="F298" s="634"/>
      <c r="G298" s="21">
        <f t="shared" si="48"/>
        <v>0.05</v>
      </c>
      <c r="H298" s="634"/>
      <c r="I298" s="21">
        <f t="shared" si="49"/>
        <v>0.05</v>
      </c>
      <c r="J298" s="634"/>
      <c r="K298" s="21">
        <f t="shared" si="50"/>
        <v>1</v>
      </c>
      <c r="L298" s="634"/>
      <c r="M298" s="21">
        <f t="shared" si="51"/>
        <v>1</v>
      </c>
      <c r="N298" s="634"/>
      <c r="O298" s="21">
        <f t="shared" si="52"/>
        <v>1</v>
      </c>
      <c r="P298" s="634"/>
      <c r="Q298" s="21">
        <f t="shared" si="53"/>
        <v>1</v>
      </c>
      <c r="R298" s="21">
        <f t="shared" si="54"/>
        <v>0</v>
      </c>
      <c r="S298" s="308">
        <f t="shared" si="45"/>
        <v>0</v>
      </c>
    </row>
    <row r="299" spans="1:19">
      <c r="A299" s="142"/>
      <c r="B299" s="52"/>
      <c r="C299" s="21">
        <f t="shared" si="46"/>
        <v>1</v>
      </c>
      <c r="D299" s="634"/>
      <c r="E299" s="21">
        <f t="shared" si="47"/>
        <v>0</v>
      </c>
      <c r="F299" s="634"/>
      <c r="G299" s="21">
        <f t="shared" si="48"/>
        <v>0.05</v>
      </c>
      <c r="H299" s="634"/>
      <c r="I299" s="21">
        <f t="shared" si="49"/>
        <v>0.05</v>
      </c>
      <c r="J299" s="634"/>
      <c r="K299" s="21">
        <f t="shared" si="50"/>
        <v>1</v>
      </c>
      <c r="L299" s="634"/>
      <c r="M299" s="21">
        <f t="shared" si="51"/>
        <v>1</v>
      </c>
      <c r="N299" s="634"/>
      <c r="O299" s="21">
        <f t="shared" si="52"/>
        <v>1</v>
      </c>
      <c r="P299" s="634"/>
      <c r="Q299" s="21">
        <f t="shared" si="53"/>
        <v>1</v>
      </c>
      <c r="R299" s="21">
        <f t="shared" si="54"/>
        <v>0</v>
      </c>
      <c r="S299" s="308">
        <f t="shared" si="45"/>
        <v>0</v>
      </c>
    </row>
    <row r="300" spans="1:19">
      <c r="A300" s="142"/>
      <c r="B300" s="52"/>
      <c r="C300" s="21">
        <f t="shared" si="46"/>
        <v>1</v>
      </c>
      <c r="D300" s="634"/>
      <c r="E300" s="21">
        <f t="shared" si="47"/>
        <v>0</v>
      </c>
      <c r="F300" s="634"/>
      <c r="G300" s="21">
        <f t="shared" si="48"/>
        <v>0.05</v>
      </c>
      <c r="H300" s="634"/>
      <c r="I300" s="21">
        <f t="shared" si="49"/>
        <v>0.05</v>
      </c>
      <c r="J300" s="634"/>
      <c r="K300" s="21">
        <f t="shared" si="50"/>
        <v>1</v>
      </c>
      <c r="L300" s="634"/>
      <c r="M300" s="21">
        <f t="shared" si="51"/>
        <v>1</v>
      </c>
      <c r="N300" s="634"/>
      <c r="O300" s="21">
        <f t="shared" si="52"/>
        <v>1</v>
      </c>
      <c r="P300" s="634"/>
      <c r="Q300" s="21">
        <f t="shared" si="53"/>
        <v>1</v>
      </c>
      <c r="R300" s="21">
        <f t="shared" si="54"/>
        <v>0</v>
      </c>
      <c r="S300" s="308">
        <f t="shared" si="45"/>
        <v>0</v>
      </c>
    </row>
    <row r="301" spans="1:19">
      <c r="A301" s="142"/>
      <c r="B301" s="52"/>
      <c r="C301" s="21">
        <f t="shared" si="46"/>
        <v>1</v>
      </c>
      <c r="D301" s="634"/>
      <c r="E301" s="21">
        <f t="shared" si="47"/>
        <v>0</v>
      </c>
      <c r="F301" s="634"/>
      <c r="G301" s="21">
        <f t="shared" si="48"/>
        <v>0.05</v>
      </c>
      <c r="H301" s="634"/>
      <c r="I301" s="21">
        <f t="shared" si="49"/>
        <v>0.05</v>
      </c>
      <c r="J301" s="634"/>
      <c r="K301" s="21">
        <f t="shared" si="50"/>
        <v>1</v>
      </c>
      <c r="L301" s="634"/>
      <c r="M301" s="21">
        <f t="shared" si="51"/>
        <v>1</v>
      </c>
      <c r="N301" s="634"/>
      <c r="O301" s="21">
        <f t="shared" si="52"/>
        <v>1</v>
      </c>
      <c r="P301" s="634"/>
      <c r="Q301" s="21">
        <f t="shared" si="53"/>
        <v>1</v>
      </c>
      <c r="R301" s="21">
        <f t="shared" si="54"/>
        <v>0</v>
      </c>
      <c r="S301" s="308">
        <f t="shared" si="45"/>
        <v>0</v>
      </c>
    </row>
    <row r="302" spans="1:19">
      <c r="A302" s="142"/>
      <c r="B302" s="52"/>
      <c r="C302" s="21">
        <f t="shared" si="46"/>
        <v>1</v>
      </c>
      <c r="D302" s="634"/>
      <c r="E302" s="21">
        <f t="shared" si="47"/>
        <v>0</v>
      </c>
      <c r="F302" s="634"/>
      <c r="G302" s="21">
        <f t="shared" si="48"/>
        <v>0.05</v>
      </c>
      <c r="H302" s="634"/>
      <c r="I302" s="21">
        <f t="shared" si="49"/>
        <v>0.05</v>
      </c>
      <c r="J302" s="634"/>
      <c r="K302" s="21">
        <f t="shared" si="50"/>
        <v>1</v>
      </c>
      <c r="L302" s="634"/>
      <c r="M302" s="21">
        <f t="shared" si="51"/>
        <v>1</v>
      </c>
      <c r="N302" s="634"/>
      <c r="O302" s="21">
        <f t="shared" si="52"/>
        <v>1</v>
      </c>
      <c r="P302" s="634"/>
      <c r="Q302" s="21">
        <f t="shared" si="53"/>
        <v>1</v>
      </c>
      <c r="R302" s="21">
        <f t="shared" si="54"/>
        <v>0</v>
      </c>
      <c r="S302" s="308">
        <f t="shared" si="45"/>
        <v>0</v>
      </c>
    </row>
    <row r="303" spans="1:19">
      <c r="A303" s="142"/>
      <c r="B303" s="52"/>
      <c r="C303" s="21">
        <f t="shared" si="46"/>
        <v>1</v>
      </c>
      <c r="D303" s="634"/>
      <c r="E303" s="21">
        <f t="shared" si="47"/>
        <v>0</v>
      </c>
      <c r="F303" s="634"/>
      <c r="G303" s="21">
        <f t="shared" si="48"/>
        <v>0.05</v>
      </c>
      <c r="H303" s="634"/>
      <c r="I303" s="21">
        <f t="shared" si="49"/>
        <v>0.05</v>
      </c>
      <c r="J303" s="634"/>
      <c r="K303" s="21">
        <f t="shared" si="50"/>
        <v>1</v>
      </c>
      <c r="L303" s="634"/>
      <c r="M303" s="21">
        <f t="shared" si="51"/>
        <v>1</v>
      </c>
      <c r="N303" s="634"/>
      <c r="O303" s="21">
        <f t="shared" si="52"/>
        <v>1</v>
      </c>
      <c r="P303" s="634"/>
      <c r="Q303" s="21">
        <f t="shared" si="53"/>
        <v>1</v>
      </c>
      <c r="R303" s="21">
        <f t="shared" si="54"/>
        <v>0</v>
      </c>
      <c r="S303" s="308">
        <f t="shared" si="45"/>
        <v>0</v>
      </c>
    </row>
    <row r="304" spans="1:19">
      <c r="A304" s="142"/>
      <c r="B304" s="52"/>
      <c r="C304" s="21">
        <f t="shared" si="46"/>
        <v>1</v>
      </c>
      <c r="D304" s="634"/>
      <c r="E304" s="21">
        <f t="shared" si="47"/>
        <v>0</v>
      </c>
      <c r="F304" s="634"/>
      <c r="G304" s="21">
        <f t="shared" si="48"/>
        <v>0.05</v>
      </c>
      <c r="H304" s="634"/>
      <c r="I304" s="21">
        <f t="shared" si="49"/>
        <v>0.05</v>
      </c>
      <c r="J304" s="634"/>
      <c r="K304" s="21">
        <f t="shared" si="50"/>
        <v>1</v>
      </c>
      <c r="L304" s="634"/>
      <c r="M304" s="21">
        <f t="shared" si="51"/>
        <v>1</v>
      </c>
      <c r="N304" s="634"/>
      <c r="O304" s="21">
        <f t="shared" si="52"/>
        <v>1</v>
      </c>
      <c r="P304" s="634"/>
      <c r="Q304" s="21">
        <f t="shared" si="53"/>
        <v>1</v>
      </c>
      <c r="R304" s="21">
        <f t="shared" si="54"/>
        <v>0</v>
      </c>
      <c r="S304" s="308">
        <f t="shared" si="45"/>
        <v>0</v>
      </c>
    </row>
    <row r="305" spans="1:19">
      <c r="A305" s="142"/>
      <c r="B305" s="52"/>
      <c r="C305" s="21">
        <f t="shared" si="46"/>
        <v>1</v>
      </c>
      <c r="D305" s="634"/>
      <c r="E305" s="21">
        <f t="shared" si="47"/>
        <v>0</v>
      </c>
      <c r="F305" s="634"/>
      <c r="G305" s="21">
        <f t="shared" si="48"/>
        <v>0.05</v>
      </c>
      <c r="H305" s="634"/>
      <c r="I305" s="21">
        <f t="shared" si="49"/>
        <v>0.05</v>
      </c>
      <c r="J305" s="634"/>
      <c r="K305" s="21">
        <f t="shared" si="50"/>
        <v>1</v>
      </c>
      <c r="L305" s="634"/>
      <c r="M305" s="21">
        <f t="shared" si="51"/>
        <v>1</v>
      </c>
      <c r="N305" s="634"/>
      <c r="O305" s="21">
        <f t="shared" si="52"/>
        <v>1</v>
      </c>
      <c r="P305" s="634"/>
      <c r="Q305" s="21">
        <f t="shared" si="53"/>
        <v>1</v>
      </c>
      <c r="R305" s="21">
        <f t="shared" si="54"/>
        <v>0</v>
      </c>
      <c r="S305" s="308">
        <f t="shared" si="45"/>
        <v>0</v>
      </c>
    </row>
    <row r="306" spans="1:19">
      <c r="A306" s="142"/>
      <c r="B306" s="52"/>
      <c r="C306" s="21">
        <f t="shared" si="46"/>
        <v>1</v>
      </c>
      <c r="D306" s="634"/>
      <c r="E306" s="21">
        <f t="shared" si="47"/>
        <v>0</v>
      </c>
      <c r="F306" s="634"/>
      <c r="G306" s="21">
        <f t="shared" si="48"/>
        <v>0.05</v>
      </c>
      <c r="H306" s="634"/>
      <c r="I306" s="21">
        <f t="shared" si="49"/>
        <v>0.05</v>
      </c>
      <c r="J306" s="634"/>
      <c r="K306" s="21">
        <f t="shared" si="50"/>
        <v>1</v>
      </c>
      <c r="L306" s="634"/>
      <c r="M306" s="21">
        <f t="shared" si="51"/>
        <v>1</v>
      </c>
      <c r="N306" s="634"/>
      <c r="O306" s="21">
        <f t="shared" si="52"/>
        <v>1</v>
      </c>
      <c r="P306" s="634"/>
      <c r="Q306" s="21">
        <f t="shared" si="53"/>
        <v>1</v>
      </c>
      <c r="R306" s="21">
        <f t="shared" si="54"/>
        <v>0</v>
      </c>
      <c r="S306" s="308">
        <f t="shared" si="45"/>
        <v>0</v>
      </c>
    </row>
    <row r="307" spans="1:19">
      <c r="A307" s="142"/>
      <c r="B307" s="52"/>
      <c r="C307" s="21">
        <f t="shared" si="46"/>
        <v>1</v>
      </c>
      <c r="D307" s="634"/>
      <c r="E307" s="21">
        <f t="shared" si="47"/>
        <v>0</v>
      </c>
      <c r="F307" s="634"/>
      <c r="G307" s="21">
        <f t="shared" si="48"/>
        <v>0.05</v>
      </c>
      <c r="H307" s="634"/>
      <c r="I307" s="21">
        <f t="shared" si="49"/>
        <v>0.05</v>
      </c>
      <c r="J307" s="634"/>
      <c r="K307" s="21">
        <f t="shared" si="50"/>
        <v>1</v>
      </c>
      <c r="L307" s="634"/>
      <c r="M307" s="21">
        <f t="shared" si="51"/>
        <v>1</v>
      </c>
      <c r="N307" s="634"/>
      <c r="O307" s="21">
        <f t="shared" si="52"/>
        <v>1</v>
      </c>
      <c r="P307" s="634"/>
      <c r="Q307" s="21">
        <f t="shared" si="53"/>
        <v>1</v>
      </c>
      <c r="R307" s="21">
        <f t="shared" si="54"/>
        <v>0</v>
      </c>
      <c r="S307" s="308">
        <f t="shared" si="45"/>
        <v>0</v>
      </c>
    </row>
    <row r="308" spans="1:19">
      <c r="A308" s="142"/>
      <c r="B308" s="52"/>
      <c r="C308" s="21">
        <f t="shared" si="46"/>
        <v>1</v>
      </c>
      <c r="D308" s="634"/>
      <c r="E308" s="21">
        <f t="shared" si="47"/>
        <v>0</v>
      </c>
      <c r="F308" s="634"/>
      <c r="G308" s="21">
        <f t="shared" si="48"/>
        <v>0.05</v>
      </c>
      <c r="H308" s="634"/>
      <c r="I308" s="21">
        <f t="shared" si="49"/>
        <v>0.05</v>
      </c>
      <c r="J308" s="634"/>
      <c r="K308" s="21">
        <f t="shared" si="50"/>
        <v>1</v>
      </c>
      <c r="L308" s="634"/>
      <c r="M308" s="21">
        <f t="shared" si="51"/>
        <v>1</v>
      </c>
      <c r="N308" s="634"/>
      <c r="O308" s="21">
        <f t="shared" si="52"/>
        <v>1</v>
      </c>
      <c r="P308" s="634"/>
      <c r="Q308" s="21">
        <f t="shared" si="53"/>
        <v>1</v>
      </c>
      <c r="R308" s="21">
        <f t="shared" si="54"/>
        <v>0</v>
      </c>
      <c r="S308" s="308">
        <f t="shared" si="45"/>
        <v>0</v>
      </c>
    </row>
    <row r="309" spans="1:19">
      <c r="A309" s="142"/>
      <c r="B309" s="52"/>
      <c r="C309" s="21">
        <f t="shared" si="46"/>
        <v>1</v>
      </c>
      <c r="D309" s="634"/>
      <c r="E309" s="21">
        <f t="shared" si="47"/>
        <v>0</v>
      </c>
      <c r="F309" s="634"/>
      <c r="G309" s="21">
        <f t="shared" si="48"/>
        <v>0.05</v>
      </c>
      <c r="H309" s="634"/>
      <c r="I309" s="21">
        <f t="shared" si="49"/>
        <v>0.05</v>
      </c>
      <c r="J309" s="634"/>
      <c r="K309" s="21">
        <f t="shared" si="50"/>
        <v>1</v>
      </c>
      <c r="L309" s="634"/>
      <c r="M309" s="21">
        <f t="shared" si="51"/>
        <v>1</v>
      </c>
      <c r="N309" s="634"/>
      <c r="O309" s="21">
        <f t="shared" si="52"/>
        <v>1</v>
      </c>
      <c r="P309" s="634"/>
      <c r="Q309" s="21">
        <f t="shared" si="53"/>
        <v>1</v>
      </c>
      <c r="R309" s="21">
        <f t="shared" si="54"/>
        <v>0</v>
      </c>
      <c r="S309" s="308">
        <f t="shared" si="45"/>
        <v>0</v>
      </c>
    </row>
    <row r="310" spans="1:19">
      <c r="A310" s="142"/>
      <c r="B310" s="52"/>
      <c r="C310" s="21">
        <f t="shared" si="46"/>
        <v>1</v>
      </c>
      <c r="D310" s="634"/>
      <c r="E310" s="21">
        <f t="shared" si="47"/>
        <v>0</v>
      </c>
      <c r="F310" s="634"/>
      <c r="G310" s="21">
        <f t="shared" si="48"/>
        <v>0.05</v>
      </c>
      <c r="H310" s="634"/>
      <c r="I310" s="21">
        <f t="shared" si="49"/>
        <v>0.05</v>
      </c>
      <c r="J310" s="634"/>
      <c r="K310" s="21">
        <f t="shared" si="50"/>
        <v>1</v>
      </c>
      <c r="L310" s="634"/>
      <c r="M310" s="21">
        <f t="shared" si="51"/>
        <v>1</v>
      </c>
      <c r="N310" s="634"/>
      <c r="O310" s="21">
        <f t="shared" si="52"/>
        <v>1</v>
      </c>
      <c r="P310" s="634"/>
      <c r="Q310" s="21">
        <f t="shared" si="53"/>
        <v>1</v>
      </c>
      <c r="R310" s="21">
        <f t="shared" si="54"/>
        <v>0</v>
      </c>
      <c r="S310" s="308">
        <f t="shared" si="45"/>
        <v>0</v>
      </c>
    </row>
    <row r="311" spans="1:19">
      <c r="A311" s="142"/>
      <c r="B311" s="52"/>
      <c r="C311" s="21">
        <f t="shared" si="46"/>
        <v>1</v>
      </c>
      <c r="D311" s="634"/>
      <c r="E311" s="21">
        <f t="shared" si="47"/>
        <v>0</v>
      </c>
      <c r="F311" s="634"/>
      <c r="G311" s="21">
        <f t="shared" si="48"/>
        <v>0.05</v>
      </c>
      <c r="H311" s="634"/>
      <c r="I311" s="21">
        <f t="shared" si="49"/>
        <v>0.05</v>
      </c>
      <c r="J311" s="634"/>
      <c r="K311" s="21">
        <f t="shared" si="50"/>
        <v>1</v>
      </c>
      <c r="L311" s="634"/>
      <c r="M311" s="21">
        <f t="shared" si="51"/>
        <v>1</v>
      </c>
      <c r="N311" s="634"/>
      <c r="O311" s="21">
        <f t="shared" si="52"/>
        <v>1</v>
      </c>
      <c r="P311" s="634"/>
      <c r="Q311" s="21">
        <f t="shared" si="53"/>
        <v>1</v>
      </c>
      <c r="R311" s="21">
        <f t="shared" si="54"/>
        <v>0</v>
      </c>
      <c r="S311" s="308">
        <f t="shared" si="45"/>
        <v>0</v>
      </c>
    </row>
    <row r="312" spans="1:19">
      <c r="A312" s="142"/>
      <c r="B312" s="52"/>
      <c r="C312" s="21">
        <f t="shared" si="46"/>
        <v>1</v>
      </c>
      <c r="D312" s="634"/>
      <c r="E312" s="21">
        <f t="shared" si="47"/>
        <v>0</v>
      </c>
      <c r="F312" s="634"/>
      <c r="G312" s="21">
        <f t="shared" si="48"/>
        <v>0.05</v>
      </c>
      <c r="H312" s="634"/>
      <c r="I312" s="21">
        <f t="shared" si="49"/>
        <v>0.05</v>
      </c>
      <c r="J312" s="634"/>
      <c r="K312" s="21">
        <f t="shared" si="50"/>
        <v>1</v>
      </c>
      <c r="L312" s="634"/>
      <c r="M312" s="21">
        <f t="shared" si="51"/>
        <v>1</v>
      </c>
      <c r="N312" s="634"/>
      <c r="O312" s="21">
        <f t="shared" si="52"/>
        <v>1</v>
      </c>
      <c r="P312" s="634"/>
      <c r="Q312" s="21">
        <f t="shared" si="53"/>
        <v>1</v>
      </c>
      <c r="R312" s="21">
        <f t="shared" si="54"/>
        <v>0</v>
      </c>
      <c r="S312" s="308">
        <f t="shared" si="45"/>
        <v>0</v>
      </c>
    </row>
    <row r="313" spans="1:19">
      <c r="A313" s="142"/>
      <c r="B313" s="52"/>
      <c r="C313" s="21">
        <f t="shared" si="46"/>
        <v>1</v>
      </c>
      <c r="D313" s="634"/>
      <c r="E313" s="21">
        <f t="shared" si="47"/>
        <v>0</v>
      </c>
      <c r="F313" s="634"/>
      <c r="G313" s="21">
        <f t="shared" si="48"/>
        <v>0.05</v>
      </c>
      <c r="H313" s="634"/>
      <c r="I313" s="21">
        <f t="shared" si="49"/>
        <v>0.05</v>
      </c>
      <c r="J313" s="634"/>
      <c r="K313" s="21">
        <f t="shared" si="50"/>
        <v>1</v>
      </c>
      <c r="L313" s="634"/>
      <c r="M313" s="21">
        <f t="shared" si="51"/>
        <v>1</v>
      </c>
      <c r="N313" s="634"/>
      <c r="O313" s="21">
        <f t="shared" si="52"/>
        <v>1</v>
      </c>
      <c r="P313" s="634"/>
      <c r="Q313" s="21">
        <f t="shared" si="53"/>
        <v>1</v>
      </c>
      <c r="R313" s="21">
        <f t="shared" si="54"/>
        <v>0</v>
      </c>
      <c r="S313" s="308">
        <f t="shared" si="45"/>
        <v>0</v>
      </c>
    </row>
    <row r="314" spans="1:19">
      <c r="A314" s="142"/>
      <c r="B314" s="52"/>
      <c r="C314" s="21">
        <f t="shared" si="46"/>
        <v>1</v>
      </c>
      <c r="D314" s="634"/>
      <c r="E314" s="21">
        <f t="shared" si="47"/>
        <v>0</v>
      </c>
      <c r="F314" s="634"/>
      <c r="G314" s="21">
        <f t="shared" si="48"/>
        <v>0.05</v>
      </c>
      <c r="H314" s="634"/>
      <c r="I314" s="21">
        <f t="shared" si="49"/>
        <v>0.05</v>
      </c>
      <c r="J314" s="634"/>
      <c r="K314" s="21">
        <f t="shared" si="50"/>
        <v>1</v>
      </c>
      <c r="L314" s="634"/>
      <c r="M314" s="21">
        <f t="shared" si="51"/>
        <v>1</v>
      </c>
      <c r="N314" s="634"/>
      <c r="O314" s="21">
        <f t="shared" si="52"/>
        <v>1</v>
      </c>
      <c r="P314" s="634"/>
      <c r="Q314" s="21">
        <f t="shared" si="53"/>
        <v>1</v>
      </c>
      <c r="R314" s="21">
        <f t="shared" si="54"/>
        <v>0</v>
      </c>
      <c r="S314" s="308">
        <f t="shared" si="45"/>
        <v>0</v>
      </c>
    </row>
    <row r="315" spans="1:19">
      <c r="A315" s="142"/>
      <c r="B315" s="52"/>
      <c r="C315" s="21">
        <f t="shared" si="46"/>
        <v>1</v>
      </c>
      <c r="D315" s="634"/>
      <c r="E315" s="21">
        <f t="shared" si="47"/>
        <v>0</v>
      </c>
      <c r="F315" s="634"/>
      <c r="G315" s="21">
        <f t="shared" si="48"/>
        <v>0.05</v>
      </c>
      <c r="H315" s="634"/>
      <c r="I315" s="21">
        <f t="shared" si="49"/>
        <v>0.05</v>
      </c>
      <c r="J315" s="634"/>
      <c r="K315" s="21">
        <f t="shared" si="50"/>
        <v>1</v>
      </c>
      <c r="L315" s="634"/>
      <c r="M315" s="21">
        <f t="shared" si="51"/>
        <v>1</v>
      </c>
      <c r="N315" s="634"/>
      <c r="O315" s="21">
        <f t="shared" si="52"/>
        <v>1</v>
      </c>
      <c r="P315" s="634"/>
      <c r="Q315" s="21">
        <f t="shared" si="53"/>
        <v>1</v>
      </c>
      <c r="R315" s="21">
        <f t="shared" si="54"/>
        <v>0</v>
      </c>
      <c r="S315" s="308">
        <f t="shared" si="45"/>
        <v>0</v>
      </c>
    </row>
    <row r="316" spans="1:19">
      <c r="A316" s="142"/>
      <c r="B316" s="52"/>
      <c r="C316" s="21">
        <f t="shared" si="46"/>
        <v>1</v>
      </c>
      <c r="D316" s="634"/>
      <c r="E316" s="21">
        <f t="shared" si="47"/>
        <v>0</v>
      </c>
      <c r="F316" s="634"/>
      <c r="G316" s="21">
        <f t="shared" si="48"/>
        <v>0.05</v>
      </c>
      <c r="H316" s="634"/>
      <c r="I316" s="21">
        <f t="shared" si="49"/>
        <v>0.05</v>
      </c>
      <c r="J316" s="634"/>
      <c r="K316" s="21">
        <f t="shared" si="50"/>
        <v>1</v>
      </c>
      <c r="L316" s="634"/>
      <c r="M316" s="21">
        <f t="shared" si="51"/>
        <v>1</v>
      </c>
      <c r="N316" s="634"/>
      <c r="O316" s="21">
        <f t="shared" si="52"/>
        <v>1</v>
      </c>
      <c r="P316" s="634"/>
      <c r="Q316" s="21">
        <f t="shared" si="53"/>
        <v>1</v>
      </c>
      <c r="R316" s="21">
        <f t="shared" si="54"/>
        <v>0</v>
      </c>
      <c r="S316" s="308">
        <f t="shared" si="45"/>
        <v>0</v>
      </c>
    </row>
    <row r="317" spans="1:19">
      <c r="A317" s="142"/>
      <c r="B317" s="52"/>
      <c r="C317" s="21">
        <f t="shared" si="46"/>
        <v>1</v>
      </c>
      <c r="D317" s="634"/>
      <c r="E317" s="21">
        <f t="shared" si="47"/>
        <v>0</v>
      </c>
      <c r="F317" s="634"/>
      <c r="G317" s="21">
        <f t="shared" si="48"/>
        <v>0.05</v>
      </c>
      <c r="H317" s="634"/>
      <c r="I317" s="21">
        <f t="shared" si="49"/>
        <v>0.05</v>
      </c>
      <c r="J317" s="634"/>
      <c r="K317" s="21">
        <f t="shared" si="50"/>
        <v>1</v>
      </c>
      <c r="L317" s="634"/>
      <c r="M317" s="21">
        <f t="shared" si="51"/>
        <v>1</v>
      </c>
      <c r="N317" s="634"/>
      <c r="O317" s="21">
        <f t="shared" si="52"/>
        <v>1</v>
      </c>
      <c r="P317" s="634"/>
      <c r="Q317" s="21">
        <f t="shared" si="53"/>
        <v>1</v>
      </c>
      <c r="R317" s="21">
        <f t="shared" si="54"/>
        <v>0</v>
      </c>
      <c r="S317" s="308">
        <f t="shared" si="45"/>
        <v>0</v>
      </c>
    </row>
    <row r="318" spans="1:19">
      <c r="A318" s="142"/>
      <c r="B318" s="52"/>
      <c r="C318" s="21">
        <f t="shared" si="46"/>
        <v>1</v>
      </c>
      <c r="D318" s="634"/>
      <c r="E318" s="21">
        <f t="shared" si="47"/>
        <v>0</v>
      </c>
      <c r="F318" s="634"/>
      <c r="G318" s="21">
        <f t="shared" si="48"/>
        <v>0.05</v>
      </c>
      <c r="H318" s="634"/>
      <c r="I318" s="21">
        <f t="shared" si="49"/>
        <v>0.05</v>
      </c>
      <c r="J318" s="634"/>
      <c r="K318" s="21">
        <f t="shared" si="50"/>
        <v>1</v>
      </c>
      <c r="L318" s="634"/>
      <c r="M318" s="21">
        <f t="shared" si="51"/>
        <v>1</v>
      </c>
      <c r="N318" s="634"/>
      <c r="O318" s="21">
        <f t="shared" si="52"/>
        <v>1</v>
      </c>
      <c r="P318" s="634"/>
      <c r="Q318" s="21">
        <f t="shared" si="53"/>
        <v>1</v>
      </c>
      <c r="R318" s="21">
        <f t="shared" si="54"/>
        <v>0</v>
      </c>
      <c r="S318" s="308">
        <f t="shared" si="45"/>
        <v>0</v>
      </c>
    </row>
    <row r="319" spans="1:19">
      <c r="A319" s="142"/>
      <c r="B319" s="52"/>
      <c r="C319" s="21">
        <f t="shared" si="46"/>
        <v>1</v>
      </c>
      <c r="D319" s="634"/>
      <c r="E319" s="21">
        <f t="shared" si="47"/>
        <v>0</v>
      </c>
      <c r="F319" s="634"/>
      <c r="G319" s="21">
        <f t="shared" si="48"/>
        <v>0.05</v>
      </c>
      <c r="H319" s="634"/>
      <c r="I319" s="21">
        <f t="shared" si="49"/>
        <v>0.05</v>
      </c>
      <c r="J319" s="634"/>
      <c r="K319" s="21">
        <f t="shared" si="50"/>
        <v>1</v>
      </c>
      <c r="L319" s="634"/>
      <c r="M319" s="21">
        <f t="shared" si="51"/>
        <v>1</v>
      </c>
      <c r="N319" s="634"/>
      <c r="O319" s="21">
        <f t="shared" si="52"/>
        <v>1</v>
      </c>
      <c r="P319" s="634"/>
      <c r="Q319" s="21">
        <f t="shared" si="53"/>
        <v>1</v>
      </c>
      <c r="R319" s="21">
        <f t="shared" si="54"/>
        <v>0</v>
      </c>
      <c r="S319" s="308">
        <f t="shared" si="45"/>
        <v>0</v>
      </c>
    </row>
    <row r="320" spans="1:19">
      <c r="A320" s="142"/>
      <c r="B320" s="52"/>
      <c r="C320" s="21">
        <f t="shared" si="46"/>
        <v>1</v>
      </c>
      <c r="D320" s="634"/>
      <c r="E320" s="21">
        <f t="shared" si="47"/>
        <v>0</v>
      </c>
      <c r="F320" s="634"/>
      <c r="G320" s="21">
        <f t="shared" si="48"/>
        <v>0.05</v>
      </c>
      <c r="H320" s="634"/>
      <c r="I320" s="21">
        <f t="shared" si="49"/>
        <v>0.05</v>
      </c>
      <c r="J320" s="634"/>
      <c r="K320" s="21">
        <f t="shared" si="50"/>
        <v>1</v>
      </c>
      <c r="L320" s="634"/>
      <c r="M320" s="21">
        <f t="shared" si="51"/>
        <v>1</v>
      </c>
      <c r="N320" s="634"/>
      <c r="O320" s="21">
        <f t="shared" si="52"/>
        <v>1</v>
      </c>
      <c r="P320" s="634"/>
      <c r="Q320" s="21">
        <f t="shared" si="53"/>
        <v>1</v>
      </c>
      <c r="R320" s="21">
        <f t="shared" si="54"/>
        <v>0</v>
      </c>
      <c r="S320" s="308">
        <f t="shared" si="45"/>
        <v>0</v>
      </c>
    </row>
    <row r="321" spans="1:19">
      <c r="A321" s="142"/>
      <c r="B321" s="52"/>
      <c r="C321" s="21">
        <f t="shared" si="46"/>
        <v>1</v>
      </c>
      <c r="D321" s="634"/>
      <c r="E321" s="21">
        <f t="shared" si="47"/>
        <v>0</v>
      </c>
      <c r="F321" s="634"/>
      <c r="G321" s="21">
        <f t="shared" si="48"/>
        <v>0.05</v>
      </c>
      <c r="H321" s="634"/>
      <c r="I321" s="21">
        <f t="shared" si="49"/>
        <v>0.05</v>
      </c>
      <c r="J321" s="634"/>
      <c r="K321" s="21">
        <f t="shared" si="50"/>
        <v>1</v>
      </c>
      <c r="L321" s="634"/>
      <c r="M321" s="21">
        <f t="shared" si="51"/>
        <v>1</v>
      </c>
      <c r="N321" s="634"/>
      <c r="O321" s="21">
        <f t="shared" si="52"/>
        <v>1</v>
      </c>
      <c r="P321" s="634"/>
      <c r="Q321" s="21">
        <f t="shared" si="53"/>
        <v>1</v>
      </c>
      <c r="R321" s="21">
        <f t="shared" si="54"/>
        <v>0</v>
      </c>
      <c r="S321" s="308">
        <f t="shared" si="45"/>
        <v>0</v>
      </c>
    </row>
    <row r="322" spans="1:19">
      <c r="A322" s="142"/>
      <c r="B322" s="52"/>
      <c r="C322" s="21">
        <f t="shared" si="46"/>
        <v>1</v>
      </c>
      <c r="D322" s="634"/>
      <c r="E322" s="21">
        <f t="shared" si="47"/>
        <v>0</v>
      </c>
      <c r="F322" s="634"/>
      <c r="G322" s="21">
        <f t="shared" si="48"/>
        <v>0.05</v>
      </c>
      <c r="H322" s="634"/>
      <c r="I322" s="21">
        <f t="shared" si="49"/>
        <v>0.05</v>
      </c>
      <c r="J322" s="634"/>
      <c r="K322" s="21">
        <f t="shared" si="50"/>
        <v>1</v>
      </c>
      <c r="L322" s="634"/>
      <c r="M322" s="21">
        <f t="shared" si="51"/>
        <v>1</v>
      </c>
      <c r="N322" s="634"/>
      <c r="O322" s="21">
        <f t="shared" si="52"/>
        <v>1</v>
      </c>
      <c r="P322" s="634"/>
      <c r="Q322" s="21">
        <f t="shared" si="53"/>
        <v>1</v>
      </c>
      <c r="R322" s="21">
        <f t="shared" si="54"/>
        <v>0</v>
      </c>
      <c r="S322" s="308">
        <f t="shared" si="45"/>
        <v>0</v>
      </c>
    </row>
    <row r="323" spans="1:19">
      <c r="A323" s="142"/>
      <c r="B323" s="52"/>
      <c r="C323" s="21">
        <f t="shared" si="46"/>
        <v>1</v>
      </c>
      <c r="D323" s="634"/>
      <c r="E323" s="21">
        <f t="shared" si="47"/>
        <v>0</v>
      </c>
      <c r="F323" s="634"/>
      <c r="G323" s="21">
        <f t="shared" si="48"/>
        <v>0.05</v>
      </c>
      <c r="H323" s="634"/>
      <c r="I323" s="21">
        <f t="shared" si="49"/>
        <v>0.05</v>
      </c>
      <c r="J323" s="634"/>
      <c r="K323" s="21">
        <f t="shared" si="50"/>
        <v>1</v>
      </c>
      <c r="L323" s="634"/>
      <c r="M323" s="21">
        <f t="shared" si="51"/>
        <v>1</v>
      </c>
      <c r="N323" s="634"/>
      <c r="O323" s="21">
        <f t="shared" si="52"/>
        <v>1</v>
      </c>
      <c r="P323" s="634"/>
      <c r="Q323" s="21">
        <f t="shared" si="53"/>
        <v>1</v>
      </c>
      <c r="R323" s="21">
        <f t="shared" si="54"/>
        <v>0</v>
      </c>
      <c r="S323" s="308">
        <f t="shared" si="45"/>
        <v>0</v>
      </c>
    </row>
    <row r="324" spans="1:19">
      <c r="A324" s="142"/>
      <c r="B324" s="52"/>
      <c r="C324" s="21">
        <f t="shared" si="46"/>
        <v>1</v>
      </c>
      <c r="D324" s="634"/>
      <c r="E324" s="21">
        <f t="shared" si="47"/>
        <v>0</v>
      </c>
      <c r="F324" s="634"/>
      <c r="G324" s="21">
        <f t="shared" si="48"/>
        <v>0.05</v>
      </c>
      <c r="H324" s="634"/>
      <c r="I324" s="21">
        <f t="shared" si="49"/>
        <v>0.05</v>
      </c>
      <c r="J324" s="634"/>
      <c r="K324" s="21">
        <f t="shared" si="50"/>
        <v>1</v>
      </c>
      <c r="L324" s="634"/>
      <c r="M324" s="21">
        <f t="shared" si="51"/>
        <v>1</v>
      </c>
      <c r="N324" s="634"/>
      <c r="O324" s="21">
        <f t="shared" si="52"/>
        <v>1</v>
      </c>
      <c r="P324" s="634"/>
      <c r="Q324" s="21">
        <f t="shared" si="53"/>
        <v>1</v>
      </c>
      <c r="R324" s="21">
        <f t="shared" si="54"/>
        <v>0</v>
      </c>
      <c r="S324" s="308">
        <f t="shared" si="45"/>
        <v>0</v>
      </c>
    </row>
    <row r="325" spans="1:19">
      <c r="A325" s="142"/>
      <c r="B325" s="52"/>
      <c r="C325" s="21">
        <f t="shared" si="46"/>
        <v>1</v>
      </c>
      <c r="D325" s="634"/>
      <c r="E325" s="21">
        <f t="shared" si="47"/>
        <v>0</v>
      </c>
      <c r="F325" s="634"/>
      <c r="G325" s="21">
        <f t="shared" si="48"/>
        <v>0.05</v>
      </c>
      <c r="H325" s="634"/>
      <c r="I325" s="21">
        <f t="shared" si="49"/>
        <v>0.05</v>
      </c>
      <c r="J325" s="634"/>
      <c r="K325" s="21">
        <f t="shared" si="50"/>
        <v>1</v>
      </c>
      <c r="L325" s="634"/>
      <c r="M325" s="21">
        <f t="shared" si="51"/>
        <v>1</v>
      </c>
      <c r="N325" s="634"/>
      <c r="O325" s="21">
        <f t="shared" si="52"/>
        <v>1</v>
      </c>
      <c r="P325" s="634"/>
      <c r="Q325" s="21">
        <f t="shared" si="53"/>
        <v>1</v>
      </c>
      <c r="R325" s="21">
        <f t="shared" si="54"/>
        <v>0</v>
      </c>
      <c r="S325" s="308">
        <f t="shared" si="45"/>
        <v>0</v>
      </c>
    </row>
    <row r="326" spans="1:19">
      <c r="A326" s="142"/>
      <c r="B326" s="52"/>
      <c r="C326" s="21">
        <f t="shared" si="46"/>
        <v>1</v>
      </c>
      <c r="D326" s="634"/>
      <c r="E326" s="21">
        <f t="shared" si="47"/>
        <v>0</v>
      </c>
      <c r="F326" s="634"/>
      <c r="G326" s="21">
        <f t="shared" si="48"/>
        <v>0.05</v>
      </c>
      <c r="H326" s="634"/>
      <c r="I326" s="21">
        <f t="shared" si="49"/>
        <v>0.05</v>
      </c>
      <c r="J326" s="634"/>
      <c r="K326" s="21">
        <f t="shared" si="50"/>
        <v>1</v>
      </c>
      <c r="L326" s="634"/>
      <c r="M326" s="21">
        <f t="shared" si="51"/>
        <v>1</v>
      </c>
      <c r="N326" s="634"/>
      <c r="O326" s="21">
        <f t="shared" si="52"/>
        <v>1</v>
      </c>
      <c r="P326" s="634"/>
      <c r="Q326" s="21">
        <f t="shared" si="53"/>
        <v>1</v>
      </c>
      <c r="R326" s="21">
        <f t="shared" si="54"/>
        <v>0</v>
      </c>
      <c r="S326" s="308">
        <f t="shared" si="45"/>
        <v>0</v>
      </c>
    </row>
    <row r="327" spans="1:19">
      <c r="A327" s="142"/>
      <c r="B327" s="52"/>
      <c r="C327" s="21">
        <f t="shared" si="46"/>
        <v>1</v>
      </c>
      <c r="D327" s="634"/>
      <c r="E327" s="21">
        <f t="shared" si="47"/>
        <v>0</v>
      </c>
      <c r="F327" s="634"/>
      <c r="G327" s="21">
        <f t="shared" si="48"/>
        <v>0.05</v>
      </c>
      <c r="H327" s="634"/>
      <c r="I327" s="21">
        <f t="shared" si="49"/>
        <v>0.05</v>
      </c>
      <c r="J327" s="634"/>
      <c r="K327" s="21">
        <f t="shared" si="50"/>
        <v>1</v>
      </c>
      <c r="L327" s="634"/>
      <c r="M327" s="21">
        <f t="shared" si="51"/>
        <v>1</v>
      </c>
      <c r="N327" s="634"/>
      <c r="O327" s="21">
        <f t="shared" si="52"/>
        <v>1</v>
      </c>
      <c r="P327" s="634"/>
      <c r="Q327" s="21">
        <f t="shared" si="53"/>
        <v>1</v>
      </c>
      <c r="R327" s="21">
        <f t="shared" si="54"/>
        <v>0</v>
      </c>
      <c r="S327" s="308">
        <f t="shared" si="45"/>
        <v>0</v>
      </c>
    </row>
    <row r="328" spans="1:19">
      <c r="A328" s="142"/>
      <c r="B328" s="52"/>
      <c r="C328" s="21">
        <f t="shared" si="46"/>
        <v>1</v>
      </c>
      <c r="D328" s="634"/>
      <c r="E328" s="21">
        <f t="shared" si="47"/>
        <v>0</v>
      </c>
      <c r="F328" s="634"/>
      <c r="G328" s="21">
        <f t="shared" si="48"/>
        <v>0.05</v>
      </c>
      <c r="H328" s="634"/>
      <c r="I328" s="21">
        <f t="shared" si="49"/>
        <v>0.05</v>
      </c>
      <c r="J328" s="634"/>
      <c r="K328" s="21">
        <f t="shared" si="50"/>
        <v>1</v>
      </c>
      <c r="L328" s="634"/>
      <c r="M328" s="21">
        <f t="shared" si="51"/>
        <v>1</v>
      </c>
      <c r="N328" s="634"/>
      <c r="O328" s="21">
        <f t="shared" si="52"/>
        <v>1</v>
      </c>
      <c r="P328" s="634"/>
      <c r="Q328" s="21">
        <f t="shared" si="53"/>
        <v>1</v>
      </c>
      <c r="R328" s="21">
        <f t="shared" si="54"/>
        <v>0</v>
      </c>
      <c r="S328" s="308">
        <f t="shared" si="45"/>
        <v>0</v>
      </c>
    </row>
    <row r="329" spans="1:19">
      <c r="A329" s="142"/>
      <c r="B329" s="52"/>
      <c r="C329" s="21">
        <f t="shared" si="46"/>
        <v>1</v>
      </c>
      <c r="D329" s="634"/>
      <c r="E329" s="21">
        <f t="shared" si="47"/>
        <v>0</v>
      </c>
      <c r="F329" s="634"/>
      <c r="G329" s="21">
        <f t="shared" si="48"/>
        <v>0.05</v>
      </c>
      <c r="H329" s="634"/>
      <c r="I329" s="21">
        <f t="shared" si="49"/>
        <v>0.05</v>
      </c>
      <c r="J329" s="634"/>
      <c r="K329" s="21">
        <f t="shared" si="50"/>
        <v>1</v>
      </c>
      <c r="L329" s="634"/>
      <c r="M329" s="21">
        <f t="shared" si="51"/>
        <v>1</v>
      </c>
      <c r="N329" s="634"/>
      <c r="O329" s="21">
        <f t="shared" si="52"/>
        <v>1</v>
      </c>
      <c r="P329" s="634"/>
      <c r="Q329" s="21">
        <f t="shared" si="53"/>
        <v>1</v>
      </c>
      <c r="R329" s="21">
        <f t="shared" si="54"/>
        <v>0</v>
      </c>
      <c r="S329" s="308">
        <f t="shared" si="45"/>
        <v>0</v>
      </c>
    </row>
    <row r="330" spans="1:19">
      <c r="A330" s="142"/>
      <c r="B330" s="52"/>
      <c r="C330" s="21">
        <f t="shared" si="46"/>
        <v>1</v>
      </c>
      <c r="D330" s="634"/>
      <c r="E330" s="21">
        <f t="shared" si="47"/>
        <v>0</v>
      </c>
      <c r="F330" s="634"/>
      <c r="G330" s="21">
        <f t="shared" si="48"/>
        <v>0.05</v>
      </c>
      <c r="H330" s="634"/>
      <c r="I330" s="21">
        <f t="shared" si="49"/>
        <v>0.05</v>
      </c>
      <c r="J330" s="634"/>
      <c r="K330" s="21">
        <f t="shared" si="50"/>
        <v>1</v>
      </c>
      <c r="L330" s="634"/>
      <c r="M330" s="21">
        <f t="shared" si="51"/>
        <v>1</v>
      </c>
      <c r="N330" s="634"/>
      <c r="O330" s="21">
        <f t="shared" si="52"/>
        <v>1</v>
      </c>
      <c r="P330" s="634"/>
      <c r="Q330" s="21">
        <f t="shared" si="53"/>
        <v>1</v>
      </c>
      <c r="R330" s="21">
        <f t="shared" si="54"/>
        <v>0</v>
      </c>
      <c r="S330" s="308">
        <f t="shared" si="45"/>
        <v>0</v>
      </c>
    </row>
    <row r="331" spans="1:19">
      <c r="A331" s="142"/>
      <c r="B331" s="52"/>
      <c r="C331" s="21">
        <f t="shared" si="46"/>
        <v>1</v>
      </c>
      <c r="D331" s="634"/>
      <c r="E331" s="21">
        <f t="shared" si="47"/>
        <v>0</v>
      </c>
      <c r="F331" s="634"/>
      <c r="G331" s="21">
        <f t="shared" si="48"/>
        <v>0.05</v>
      </c>
      <c r="H331" s="634"/>
      <c r="I331" s="21">
        <f t="shared" si="49"/>
        <v>0.05</v>
      </c>
      <c r="J331" s="634"/>
      <c r="K331" s="21">
        <f t="shared" si="50"/>
        <v>1</v>
      </c>
      <c r="L331" s="634"/>
      <c r="M331" s="21">
        <f t="shared" si="51"/>
        <v>1</v>
      </c>
      <c r="N331" s="634"/>
      <c r="O331" s="21">
        <f t="shared" si="52"/>
        <v>1</v>
      </c>
      <c r="P331" s="634"/>
      <c r="Q331" s="21">
        <f t="shared" si="53"/>
        <v>1</v>
      </c>
      <c r="R331" s="21">
        <f t="shared" si="54"/>
        <v>0</v>
      </c>
      <c r="S331" s="308">
        <f t="shared" si="45"/>
        <v>0</v>
      </c>
    </row>
    <row r="332" spans="1:19">
      <c r="A332" s="142"/>
      <c r="B332" s="52"/>
      <c r="C332" s="21">
        <f t="shared" si="46"/>
        <v>1</v>
      </c>
      <c r="D332" s="634"/>
      <c r="E332" s="21">
        <f t="shared" si="47"/>
        <v>0</v>
      </c>
      <c r="F332" s="634"/>
      <c r="G332" s="21">
        <f t="shared" si="48"/>
        <v>0.05</v>
      </c>
      <c r="H332" s="634"/>
      <c r="I332" s="21">
        <f t="shared" si="49"/>
        <v>0.05</v>
      </c>
      <c r="J332" s="634"/>
      <c r="K332" s="21">
        <f t="shared" si="50"/>
        <v>1</v>
      </c>
      <c r="L332" s="634"/>
      <c r="M332" s="21">
        <f t="shared" si="51"/>
        <v>1</v>
      </c>
      <c r="N332" s="634"/>
      <c r="O332" s="21">
        <f t="shared" si="52"/>
        <v>1</v>
      </c>
      <c r="P332" s="634"/>
      <c r="Q332" s="21">
        <f t="shared" si="53"/>
        <v>1</v>
      </c>
      <c r="R332" s="21">
        <f t="shared" si="54"/>
        <v>0</v>
      </c>
      <c r="S332" s="308">
        <f t="shared" si="45"/>
        <v>0</v>
      </c>
    </row>
    <row r="333" spans="1:19">
      <c r="A333" s="142"/>
      <c r="B333" s="52"/>
      <c r="C333" s="21">
        <f t="shared" si="46"/>
        <v>1</v>
      </c>
      <c r="D333" s="634"/>
      <c r="E333" s="21">
        <f t="shared" si="47"/>
        <v>0</v>
      </c>
      <c r="F333" s="634"/>
      <c r="G333" s="21">
        <f t="shared" si="48"/>
        <v>0.05</v>
      </c>
      <c r="H333" s="634"/>
      <c r="I333" s="21">
        <f t="shared" si="49"/>
        <v>0.05</v>
      </c>
      <c r="J333" s="634"/>
      <c r="K333" s="21">
        <f t="shared" si="50"/>
        <v>1</v>
      </c>
      <c r="L333" s="634"/>
      <c r="M333" s="21">
        <f t="shared" si="51"/>
        <v>1</v>
      </c>
      <c r="N333" s="634"/>
      <c r="O333" s="21">
        <f t="shared" si="52"/>
        <v>1</v>
      </c>
      <c r="P333" s="634"/>
      <c r="Q333" s="21">
        <f t="shared" si="53"/>
        <v>1</v>
      </c>
      <c r="R333" s="21">
        <f t="shared" si="54"/>
        <v>0</v>
      </c>
      <c r="S333" s="308">
        <f t="shared" si="45"/>
        <v>0</v>
      </c>
    </row>
    <row r="334" spans="1:19">
      <c r="A334" s="142"/>
      <c r="B334" s="52"/>
      <c r="C334" s="21">
        <f t="shared" si="46"/>
        <v>1</v>
      </c>
      <c r="D334" s="634"/>
      <c r="E334" s="21">
        <f t="shared" si="47"/>
        <v>0</v>
      </c>
      <c r="F334" s="634"/>
      <c r="G334" s="21">
        <f t="shared" si="48"/>
        <v>0.05</v>
      </c>
      <c r="H334" s="634"/>
      <c r="I334" s="21">
        <f t="shared" si="49"/>
        <v>0.05</v>
      </c>
      <c r="J334" s="634"/>
      <c r="K334" s="21">
        <f t="shared" si="50"/>
        <v>1</v>
      </c>
      <c r="L334" s="634"/>
      <c r="M334" s="21">
        <f t="shared" si="51"/>
        <v>1</v>
      </c>
      <c r="N334" s="634"/>
      <c r="O334" s="21">
        <f t="shared" si="52"/>
        <v>1</v>
      </c>
      <c r="P334" s="634"/>
      <c r="Q334" s="21">
        <f t="shared" si="53"/>
        <v>1</v>
      </c>
      <c r="R334" s="21">
        <f t="shared" si="54"/>
        <v>0</v>
      </c>
      <c r="S334" s="308">
        <f t="shared" si="45"/>
        <v>0</v>
      </c>
    </row>
    <row r="335" spans="1:19">
      <c r="A335" s="142"/>
      <c r="B335" s="52"/>
      <c r="C335" s="21">
        <f t="shared" si="46"/>
        <v>1</v>
      </c>
      <c r="D335" s="634"/>
      <c r="E335" s="21">
        <f t="shared" si="47"/>
        <v>0</v>
      </c>
      <c r="F335" s="634"/>
      <c r="G335" s="21">
        <f t="shared" si="48"/>
        <v>0.05</v>
      </c>
      <c r="H335" s="634"/>
      <c r="I335" s="21">
        <f t="shared" si="49"/>
        <v>0.05</v>
      </c>
      <c r="J335" s="634"/>
      <c r="K335" s="21">
        <f t="shared" si="50"/>
        <v>1</v>
      </c>
      <c r="L335" s="634"/>
      <c r="M335" s="21">
        <f t="shared" si="51"/>
        <v>1</v>
      </c>
      <c r="N335" s="634"/>
      <c r="O335" s="21">
        <f t="shared" si="52"/>
        <v>1</v>
      </c>
      <c r="P335" s="634"/>
      <c r="Q335" s="21">
        <f t="shared" si="53"/>
        <v>1</v>
      </c>
      <c r="R335" s="21">
        <f t="shared" si="54"/>
        <v>0</v>
      </c>
      <c r="S335" s="308">
        <f t="shared" si="45"/>
        <v>0</v>
      </c>
    </row>
    <row r="336" spans="1:19">
      <c r="A336" s="142"/>
      <c r="B336" s="52"/>
      <c r="C336" s="21">
        <f t="shared" si="46"/>
        <v>1</v>
      </c>
      <c r="D336" s="634"/>
      <c r="E336" s="21">
        <f t="shared" si="47"/>
        <v>0</v>
      </c>
      <c r="F336" s="634"/>
      <c r="G336" s="21">
        <f t="shared" si="48"/>
        <v>0.05</v>
      </c>
      <c r="H336" s="634"/>
      <c r="I336" s="21">
        <f t="shared" si="49"/>
        <v>0.05</v>
      </c>
      <c r="J336" s="634"/>
      <c r="K336" s="21">
        <f t="shared" si="50"/>
        <v>1</v>
      </c>
      <c r="L336" s="634"/>
      <c r="M336" s="21">
        <f t="shared" si="51"/>
        <v>1</v>
      </c>
      <c r="N336" s="634"/>
      <c r="O336" s="21">
        <f t="shared" si="52"/>
        <v>1</v>
      </c>
      <c r="P336" s="634"/>
      <c r="Q336" s="21">
        <f t="shared" si="53"/>
        <v>1</v>
      </c>
      <c r="R336" s="21">
        <f t="shared" si="54"/>
        <v>0</v>
      </c>
      <c r="S336" s="308">
        <f t="shared" si="45"/>
        <v>0</v>
      </c>
    </row>
    <row r="337" spans="1:19">
      <c r="A337" s="142"/>
      <c r="B337" s="52"/>
      <c r="C337" s="21">
        <f t="shared" si="46"/>
        <v>1</v>
      </c>
      <c r="D337" s="634"/>
      <c r="E337" s="21">
        <f t="shared" si="47"/>
        <v>0</v>
      </c>
      <c r="F337" s="634"/>
      <c r="G337" s="21">
        <f t="shared" si="48"/>
        <v>0.05</v>
      </c>
      <c r="H337" s="634"/>
      <c r="I337" s="21">
        <f t="shared" si="49"/>
        <v>0.05</v>
      </c>
      <c r="J337" s="634"/>
      <c r="K337" s="21">
        <f t="shared" si="50"/>
        <v>1</v>
      </c>
      <c r="L337" s="634"/>
      <c r="M337" s="21">
        <f t="shared" si="51"/>
        <v>1</v>
      </c>
      <c r="N337" s="634"/>
      <c r="O337" s="21">
        <f t="shared" si="52"/>
        <v>1</v>
      </c>
      <c r="P337" s="634"/>
      <c r="Q337" s="21">
        <f t="shared" si="53"/>
        <v>1</v>
      </c>
      <c r="R337" s="21">
        <f t="shared" si="54"/>
        <v>0</v>
      </c>
      <c r="S337" s="308">
        <f t="shared" si="45"/>
        <v>0</v>
      </c>
    </row>
    <row r="338" spans="1:19">
      <c r="A338" s="142"/>
      <c r="B338" s="52"/>
      <c r="C338" s="21">
        <f t="shared" si="46"/>
        <v>1</v>
      </c>
      <c r="D338" s="634"/>
      <c r="E338" s="21">
        <f t="shared" si="47"/>
        <v>0</v>
      </c>
      <c r="F338" s="634"/>
      <c r="G338" s="21">
        <f t="shared" si="48"/>
        <v>0.05</v>
      </c>
      <c r="H338" s="634"/>
      <c r="I338" s="21">
        <f t="shared" si="49"/>
        <v>0.05</v>
      </c>
      <c r="J338" s="634"/>
      <c r="K338" s="21">
        <f t="shared" si="50"/>
        <v>1</v>
      </c>
      <c r="L338" s="634"/>
      <c r="M338" s="21">
        <f t="shared" si="51"/>
        <v>1</v>
      </c>
      <c r="N338" s="634"/>
      <c r="O338" s="21">
        <f t="shared" si="52"/>
        <v>1</v>
      </c>
      <c r="P338" s="634"/>
      <c r="Q338" s="21">
        <f t="shared" si="53"/>
        <v>1</v>
      </c>
      <c r="R338" s="21">
        <f t="shared" si="54"/>
        <v>0</v>
      </c>
      <c r="S338" s="308">
        <f t="shared" si="45"/>
        <v>0</v>
      </c>
    </row>
    <row r="339" spans="1:19">
      <c r="A339" s="142"/>
      <c r="B339" s="52"/>
      <c r="C339" s="21">
        <f t="shared" si="46"/>
        <v>1</v>
      </c>
      <c r="D339" s="634"/>
      <c r="E339" s="21">
        <f t="shared" si="47"/>
        <v>0</v>
      </c>
      <c r="F339" s="634"/>
      <c r="G339" s="21">
        <f t="shared" si="48"/>
        <v>0.05</v>
      </c>
      <c r="H339" s="634"/>
      <c r="I339" s="21">
        <f t="shared" si="49"/>
        <v>0.05</v>
      </c>
      <c r="J339" s="634"/>
      <c r="K339" s="21">
        <f t="shared" si="50"/>
        <v>1</v>
      </c>
      <c r="L339" s="634"/>
      <c r="M339" s="21">
        <f t="shared" si="51"/>
        <v>1</v>
      </c>
      <c r="N339" s="634"/>
      <c r="O339" s="21">
        <f t="shared" si="52"/>
        <v>1</v>
      </c>
      <c r="P339" s="634"/>
      <c r="Q339" s="21">
        <f t="shared" si="53"/>
        <v>1</v>
      </c>
      <c r="R339" s="21">
        <f t="shared" si="54"/>
        <v>0</v>
      </c>
      <c r="S339" s="308">
        <f t="shared" si="45"/>
        <v>0</v>
      </c>
    </row>
    <row r="340" spans="1:19">
      <c r="A340" s="142"/>
      <c r="B340" s="52"/>
      <c r="C340" s="21">
        <f t="shared" si="46"/>
        <v>1</v>
      </c>
      <c r="D340" s="634"/>
      <c r="E340" s="21">
        <f t="shared" si="47"/>
        <v>0</v>
      </c>
      <c r="F340" s="634"/>
      <c r="G340" s="21">
        <f t="shared" si="48"/>
        <v>0.05</v>
      </c>
      <c r="H340" s="634"/>
      <c r="I340" s="21">
        <f t="shared" si="49"/>
        <v>0.05</v>
      </c>
      <c r="J340" s="634"/>
      <c r="K340" s="21">
        <f t="shared" si="50"/>
        <v>1</v>
      </c>
      <c r="L340" s="634"/>
      <c r="M340" s="21">
        <f t="shared" si="51"/>
        <v>1</v>
      </c>
      <c r="N340" s="634"/>
      <c r="O340" s="21">
        <f t="shared" si="52"/>
        <v>1</v>
      </c>
      <c r="P340" s="634"/>
      <c r="Q340" s="21">
        <f t="shared" si="53"/>
        <v>1</v>
      </c>
      <c r="R340" s="21">
        <f t="shared" si="54"/>
        <v>0</v>
      </c>
      <c r="S340" s="308">
        <f t="shared" si="45"/>
        <v>0</v>
      </c>
    </row>
    <row r="341" spans="1:19">
      <c r="A341" s="142"/>
      <c r="B341" s="52"/>
      <c r="C341" s="21">
        <f t="shared" si="46"/>
        <v>1</v>
      </c>
      <c r="D341" s="634"/>
      <c r="E341" s="21">
        <f t="shared" si="47"/>
        <v>0</v>
      </c>
      <c r="F341" s="634"/>
      <c r="G341" s="21">
        <f t="shared" si="48"/>
        <v>0.05</v>
      </c>
      <c r="H341" s="634"/>
      <c r="I341" s="21">
        <f t="shared" si="49"/>
        <v>0.05</v>
      </c>
      <c r="J341" s="634"/>
      <c r="K341" s="21">
        <f t="shared" si="50"/>
        <v>1</v>
      </c>
      <c r="L341" s="634"/>
      <c r="M341" s="21">
        <f t="shared" si="51"/>
        <v>1</v>
      </c>
      <c r="N341" s="634"/>
      <c r="O341" s="21">
        <f t="shared" si="52"/>
        <v>1</v>
      </c>
      <c r="P341" s="634"/>
      <c r="Q341" s="21">
        <f t="shared" si="53"/>
        <v>1</v>
      </c>
      <c r="R341" s="21">
        <f t="shared" si="54"/>
        <v>0</v>
      </c>
      <c r="S341" s="308">
        <f t="shared" si="45"/>
        <v>0</v>
      </c>
    </row>
    <row r="342" spans="1:19">
      <c r="A342" s="142"/>
      <c r="B342" s="52"/>
      <c r="C342" s="21">
        <f t="shared" si="46"/>
        <v>1</v>
      </c>
      <c r="D342" s="634"/>
      <c r="E342" s="21">
        <f t="shared" si="47"/>
        <v>0</v>
      </c>
      <c r="F342" s="634"/>
      <c r="G342" s="21">
        <f t="shared" si="48"/>
        <v>0.05</v>
      </c>
      <c r="H342" s="634"/>
      <c r="I342" s="21">
        <f t="shared" si="49"/>
        <v>0.05</v>
      </c>
      <c r="J342" s="634"/>
      <c r="K342" s="21">
        <f t="shared" si="50"/>
        <v>1</v>
      </c>
      <c r="L342" s="634"/>
      <c r="M342" s="21">
        <f t="shared" si="51"/>
        <v>1</v>
      </c>
      <c r="N342" s="634"/>
      <c r="O342" s="21">
        <f t="shared" si="52"/>
        <v>1</v>
      </c>
      <c r="P342" s="634"/>
      <c r="Q342" s="21">
        <f t="shared" si="53"/>
        <v>1</v>
      </c>
      <c r="R342" s="21">
        <f t="shared" si="54"/>
        <v>0</v>
      </c>
      <c r="S342" s="308">
        <f t="shared" si="45"/>
        <v>0</v>
      </c>
    </row>
    <row r="343" spans="1:19">
      <c r="A343" s="142"/>
      <c r="B343" s="52"/>
      <c r="C343" s="21">
        <f t="shared" si="46"/>
        <v>1</v>
      </c>
      <c r="D343" s="634"/>
      <c r="E343" s="21">
        <f t="shared" si="47"/>
        <v>0</v>
      </c>
      <c r="F343" s="634"/>
      <c r="G343" s="21">
        <f t="shared" si="48"/>
        <v>0.05</v>
      </c>
      <c r="H343" s="634"/>
      <c r="I343" s="21">
        <f t="shared" si="49"/>
        <v>0.05</v>
      </c>
      <c r="J343" s="634"/>
      <c r="K343" s="21">
        <f t="shared" si="50"/>
        <v>1</v>
      </c>
      <c r="L343" s="634"/>
      <c r="M343" s="21">
        <f t="shared" si="51"/>
        <v>1</v>
      </c>
      <c r="N343" s="634"/>
      <c r="O343" s="21">
        <f t="shared" si="52"/>
        <v>1</v>
      </c>
      <c r="P343" s="634"/>
      <c r="Q343" s="21">
        <f t="shared" si="53"/>
        <v>1</v>
      </c>
      <c r="R343" s="21">
        <f t="shared" si="54"/>
        <v>0</v>
      </c>
      <c r="S343" s="308">
        <f t="shared" si="45"/>
        <v>0</v>
      </c>
    </row>
    <row r="344" spans="1:19">
      <c r="A344" s="142"/>
      <c r="B344" s="52"/>
      <c r="C344" s="21">
        <f t="shared" si="46"/>
        <v>1</v>
      </c>
      <c r="D344" s="634"/>
      <c r="E344" s="21">
        <f t="shared" si="47"/>
        <v>0</v>
      </c>
      <c r="F344" s="634"/>
      <c r="G344" s="21">
        <f t="shared" si="48"/>
        <v>0.05</v>
      </c>
      <c r="H344" s="634"/>
      <c r="I344" s="21">
        <f t="shared" si="49"/>
        <v>0.05</v>
      </c>
      <c r="J344" s="634"/>
      <c r="K344" s="21">
        <f t="shared" si="50"/>
        <v>1</v>
      </c>
      <c r="L344" s="634"/>
      <c r="M344" s="21">
        <f t="shared" si="51"/>
        <v>1</v>
      </c>
      <c r="N344" s="634"/>
      <c r="O344" s="21">
        <f t="shared" si="52"/>
        <v>1</v>
      </c>
      <c r="P344" s="634"/>
      <c r="Q344" s="21">
        <f t="shared" si="53"/>
        <v>1</v>
      </c>
      <c r="R344" s="21">
        <f t="shared" si="54"/>
        <v>0</v>
      </c>
      <c r="S344" s="308">
        <f t="shared" ref="S344:S407" si="55">ROUND(R344*B344/10000,0)</f>
        <v>0</v>
      </c>
    </row>
    <row r="345" spans="1:19">
      <c r="A345" s="142"/>
      <c r="B345" s="52"/>
      <c r="C345" s="21">
        <f t="shared" si="46"/>
        <v>1</v>
      </c>
      <c r="D345" s="634"/>
      <c r="E345" s="21">
        <f t="shared" si="47"/>
        <v>0</v>
      </c>
      <c r="F345" s="634"/>
      <c r="G345" s="21">
        <f t="shared" si="48"/>
        <v>0.05</v>
      </c>
      <c r="H345" s="634"/>
      <c r="I345" s="21">
        <f t="shared" si="49"/>
        <v>0.05</v>
      </c>
      <c r="J345" s="634"/>
      <c r="K345" s="21">
        <f t="shared" si="50"/>
        <v>1</v>
      </c>
      <c r="L345" s="634"/>
      <c r="M345" s="21">
        <f t="shared" si="51"/>
        <v>1</v>
      </c>
      <c r="N345" s="634"/>
      <c r="O345" s="21">
        <f t="shared" si="52"/>
        <v>1</v>
      </c>
      <c r="P345" s="634"/>
      <c r="Q345" s="21">
        <f t="shared" si="53"/>
        <v>1</v>
      </c>
      <c r="R345" s="21">
        <f t="shared" si="54"/>
        <v>0</v>
      </c>
      <c r="S345" s="308">
        <f t="shared" si="55"/>
        <v>0</v>
      </c>
    </row>
    <row r="346" spans="1:19">
      <c r="A346" s="142"/>
      <c r="B346" s="52"/>
      <c r="C346" s="21">
        <f t="shared" ref="C346:C409" si="56">IF(B346="",1,(LOOKUP(B346,$3:$3,$4:$4)-LOOKUP($B$24,$3:$3,$4:$4)+100)/100)</f>
        <v>1</v>
      </c>
      <c r="D346" s="634"/>
      <c r="E346" s="21">
        <f t="shared" ref="E346:E409" si="57">(SUMIF($5:$5,D346,$6:$6)-SUMIF($5:$5,$D$24,$6:$6)+100)/100</f>
        <v>0</v>
      </c>
      <c r="F346" s="634"/>
      <c r="G346" s="21">
        <f t="shared" ref="G346:G409" si="58">(SUMIF($7:$7,F346,$8:$8)-SUMIF($7:$7,$F$24,$8:$8)+100)/100</f>
        <v>0.05</v>
      </c>
      <c r="H346" s="634"/>
      <c r="I346" s="21">
        <f t="shared" ref="I346:I409" si="59">(SUMIF($9:$9,H346,$10:$10)-SUMIF($9:$9,$H$24,$10:$10)+100)/100</f>
        <v>0.05</v>
      </c>
      <c r="J346" s="634"/>
      <c r="K346" s="21">
        <f t="shared" ref="K346:K409" si="60">(SUMIF($11:$11,J346,$12:$12)-SUMIF($11:$11,$J$24,$12:$12)+100)/100</f>
        <v>1</v>
      </c>
      <c r="L346" s="634"/>
      <c r="M346" s="21">
        <f t="shared" ref="M346:M409" si="61">(SUMIF($13:$13,L346,$14:$14)-SUMIF($13:$13,$L$24,$14:$14)+100)/100</f>
        <v>1</v>
      </c>
      <c r="N346" s="634"/>
      <c r="O346" s="21">
        <f t="shared" ref="O346:O409" si="62">(SUMIF($15:$15,N346,$16:$16)-SUMIF($15:$15,$N$24,$16:$16)+100)/100</f>
        <v>1</v>
      </c>
      <c r="P346" s="634"/>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4"/>
      <c r="E347" s="21">
        <f t="shared" si="57"/>
        <v>0</v>
      </c>
      <c r="F347" s="634"/>
      <c r="G347" s="21">
        <f t="shared" si="58"/>
        <v>0.05</v>
      </c>
      <c r="H347" s="634"/>
      <c r="I347" s="21">
        <f t="shared" si="59"/>
        <v>0.05</v>
      </c>
      <c r="J347" s="634"/>
      <c r="K347" s="21">
        <f t="shared" si="60"/>
        <v>1</v>
      </c>
      <c r="L347" s="634"/>
      <c r="M347" s="21">
        <f t="shared" si="61"/>
        <v>1</v>
      </c>
      <c r="N347" s="634"/>
      <c r="O347" s="21">
        <f t="shared" si="62"/>
        <v>1</v>
      </c>
      <c r="P347" s="634"/>
      <c r="Q347" s="21">
        <f t="shared" si="63"/>
        <v>1</v>
      </c>
      <c r="R347" s="21">
        <f t="shared" si="64"/>
        <v>0</v>
      </c>
      <c r="S347" s="308">
        <f t="shared" si="55"/>
        <v>0</v>
      </c>
    </row>
    <row r="348" spans="1:19">
      <c r="A348" s="142"/>
      <c r="B348" s="52"/>
      <c r="C348" s="21">
        <f t="shared" si="56"/>
        <v>1</v>
      </c>
      <c r="D348" s="634"/>
      <c r="E348" s="21">
        <f t="shared" si="57"/>
        <v>0</v>
      </c>
      <c r="F348" s="634"/>
      <c r="G348" s="21">
        <f t="shared" si="58"/>
        <v>0.05</v>
      </c>
      <c r="H348" s="634"/>
      <c r="I348" s="21">
        <f t="shared" si="59"/>
        <v>0.05</v>
      </c>
      <c r="J348" s="634"/>
      <c r="K348" s="21">
        <f t="shared" si="60"/>
        <v>1</v>
      </c>
      <c r="L348" s="634"/>
      <c r="M348" s="21">
        <f t="shared" si="61"/>
        <v>1</v>
      </c>
      <c r="N348" s="634"/>
      <c r="O348" s="21">
        <f t="shared" si="62"/>
        <v>1</v>
      </c>
      <c r="P348" s="634"/>
      <c r="Q348" s="21">
        <f t="shared" si="63"/>
        <v>1</v>
      </c>
      <c r="R348" s="21">
        <f t="shared" si="64"/>
        <v>0</v>
      </c>
      <c r="S348" s="308">
        <f t="shared" si="55"/>
        <v>0</v>
      </c>
    </row>
    <row r="349" spans="1:19">
      <c r="A349" s="142"/>
      <c r="B349" s="52"/>
      <c r="C349" s="21">
        <f t="shared" si="56"/>
        <v>1</v>
      </c>
      <c r="D349" s="634"/>
      <c r="E349" s="21">
        <f t="shared" si="57"/>
        <v>0</v>
      </c>
      <c r="F349" s="634"/>
      <c r="G349" s="21">
        <f t="shared" si="58"/>
        <v>0.05</v>
      </c>
      <c r="H349" s="634"/>
      <c r="I349" s="21">
        <f t="shared" si="59"/>
        <v>0.05</v>
      </c>
      <c r="J349" s="634"/>
      <c r="K349" s="21">
        <f t="shared" si="60"/>
        <v>1</v>
      </c>
      <c r="L349" s="634"/>
      <c r="M349" s="21">
        <f t="shared" si="61"/>
        <v>1</v>
      </c>
      <c r="N349" s="634"/>
      <c r="O349" s="21">
        <f t="shared" si="62"/>
        <v>1</v>
      </c>
      <c r="P349" s="634"/>
      <c r="Q349" s="21">
        <f t="shared" si="63"/>
        <v>1</v>
      </c>
      <c r="R349" s="21">
        <f t="shared" si="64"/>
        <v>0</v>
      </c>
      <c r="S349" s="308">
        <f t="shared" si="55"/>
        <v>0</v>
      </c>
    </row>
    <row r="350" spans="1:19">
      <c r="A350" s="142"/>
      <c r="B350" s="52"/>
      <c r="C350" s="21">
        <f t="shared" si="56"/>
        <v>1</v>
      </c>
      <c r="D350" s="634"/>
      <c r="E350" s="21">
        <f t="shared" si="57"/>
        <v>0</v>
      </c>
      <c r="F350" s="634"/>
      <c r="G350" s="21">
        <f t="shared" si="58"/>
        <v>0.05</v>
      </c>
      <c r="H350" s="634"/>
      <c r="I350" s="21">
        <f t="shared" si="59"/>
        <v>0.05</v>
      </c>
      <c r="J350" s="634"/>
      <c r="K350" s="21">
        <f t="shared" si="60"/>
        <v>1</v>
      </c>
      <c r="L350" s="634"/>
      <c r="M350" s="21">
        <f t="shared" si="61"/>
        <v>1</v>
      </c>
      <c r="N350" s="634"/>
      <c r="O350" s="21">
        <f t="shared" si="62"/>
        <v>1</v>
      </c>
      <c r="P350" s="634"/>
      <c r="Q350" s="21">
        <f t="shared" si="63"/>
        <v>1</v>
      </c>
      <c r="R350" s="21">
        <f t="shared" si="64"/>
        <v>0</v>
      </c>
      <c r="S350" s="308">
        <f t="shared" si="55"/>
        <v>0</v>
      </c>
    </row>
    <row r="351" spans="1:19">
      <c r="A351" s="142"/>
      <c r="B351" s="52"/>
      <c r="C351" s="21">
        <f t="shared" si="56"/>
        <v>1</v>
      </c>
      <c r="D351" s="634"/>
      <c r="E351" s="21">
        <f t="shared" si="57"/>
        <v>0</v>
      </c>
      <c r="F351" s="634"/>
      <c r="G351" s="21">
        <f t="shared" si="58"/>
        <v>0.05</v>
      </c>
      <c r="H351" s="634"/>
      <c r="I351" s="21">
        <f t="shared" si="59"/>
        <v>0.05</v>
      </c>
      <c r="J351" s="634"/>
      <c r="K351" s="21">
        <f t="shared" si="60"/>
        <v>1</v>
      </c>
      <c r="L351" s="634"/>
      <c r="M351" s="21">
        <f t="shared" si="61"/>
        <v>1</v>
      </c>
      <c r="N351" s="634"/>
      <c r="O351" s="21">
        <f t="shared" si="62"/>
        <v>1</v>
      </c>
      <c r="P351" s="634"/>
      <c r="Q351" s="21">
        <f t="shared" si="63"/>
        <v>1</v>
      </c>
      <c r="R351" s="21">
        <f t="shared" si="64"/>
        <v>0</v>
      </c>
      <c r="S351" s="308">
        <f t="shared" si="55"/>
        <v>0</v>
      </c>
    </row>
    <row r="352" spans="1:19">
      <c r="A352" s="142"/>
      <c r="B352" s="52"/>
      <c r="C352" s="21">
        <f t="shared" si="56"/>
        <v>1</v>
      </c>
      <c r="D352" s="634"/>
      <c r="E352" s="21">
        <f t="shared" si="57"/>
        <v>0</v>
      </c>
      <c r="F352" s="634"/>
      <c r="G352" s="21">
        <f t="shared" si="58"/>
        <v>0.05</v>
      </c>
      <c r="H352" s="634"/>
      <c r="I352" s="21">
        <f t="shared" si="59"/>
        <v>0.05</v>
      </c>
      <c r="J352" s="634"/>
      <c r="K352" s="21">
        <f t="shared" si="60"/>
        <v>1</v>
      </c>
      <c r="L352" s="634"/>
      <c r="M352" s="21">
        <f t="shared" si="61"/>
        <v>1</v>
      </c>
      <c r="N352" s="634"/>
      <c r="O352" s="21">
        <f t="shared" si="62"/>
        <v>1</v>
      </c>
      <c r="P352" s="634"/>
      <c r="Q352" s="21">
        <f t="shared" si="63"/>
        <v>1</v>
      </c>
      <c r="R352" s="21">
        <f t="shared" si="64"/>
        <v>0</v>
      </c>
      <c r="S352" s="308">
        <f t="shared" si="55"/>
        <v>0</v>
      </c>
    </row>
    <row r="353" spans="1:19">
      <c r="A353" s="142"/>
      <c r="B353" s="52"/>
      <c r="C353" s="21">
        <f t="shared" si="56"/>
        <v>1</v>
      </c>
      <c r="D353" s="634"/>
      <c r="E353" s="21">
        <f t="shared" si="57"/>
        <v>0</v>
      </c>
      <c r="F353" s="634"/>
      <c r="G353" s="21">
        <f t="shared" si="58"/>
        <v>0.05</v>
      </c>
      <c r="H353" s="634"/>
      <c r="I353" s="21">
        <f t="shared" si="59"/>
        <v>0.05</v>
      </c>
      <c r="J353" s="634"/>
      <c r="K353" s="21">
        <f t="shared" si="60"/>
        <v>1</v>
      </c>
      <c r="L353" s="634"/>
      <c r="M353" s="21">
        <f t="shared" si="61"/>
        <v>1</v>
      </c>
      <c r="N353" s="634"/>
      <c r="O353" s="21">
        <f t="shared" si="62"/>
        <v>1</v>
      </c>
      <c r="P353" s="634"/>
      <c r="Q353" s="21">
        <f t="shared" si="63"/>
        <v>1</v>
      </c>
      <c r="R353" s="21">
        <f t="shared" si="64"/>
        <v>0</v>
      </c>
      <c r="S353" s="308">
        <f t="shared" si="55"/>
        <v>0</v>
      </c>
    </row>
    <row r="354" spans="1:19">
      <c r="A354" s="142"/>
      <c r="B354" s="52"/>
      <c r="C354" s="21">
        <f t="shared" si="56"/>
        <v>1</v>
      </c>
      <c r="D354" s="634"/>
      <c r="E354" s="21">
        <f t="shared" si="57"/>
        <v>0</v>
      </c>
      <c r="F354" s="634"/>
      <c r="G354" s="21">
        <f t="shared" si="58"/>
        <v>0.05</v>
      </c>
      <c r="H354" s="634"/>
      <c r="I354" s="21">
        <f t="shared" si="59"/>
        <v>0.05</v>
      </c>
      <c r="J354" s="634"/>
      <c r="K354" s="21">
        <f t="shared" si="60"/>
        <v>1</v>
      </c>
      <c r="L354" s="634"/>
      <c r="M354" s="21">
        <f t="shared" si="61"/>
        <v>1</v>
      </c>
      <c r="N354" s="634"/>
      <c r="O354" s="21">
        <f t="shared" si="62"/>
        <v>1</v>
      </c>
      <c r="P354" s="634"/>
      <c r="Q354" s="21">
        <f t="shared" si="63"/>
        <v>1</v>
      </c>
      <c r="R354" s="21">
        <f t="shared" si="64"/>
        <v>0</v>
      </c>
      <c r="S354" s="308">
        <f t="shared" si="55"/>
        <v>0</v>
      </c>
    </row>
    <row r="355" spans="1:19">
      <c r="A355" s="142"/>
      <c r="B355" s="52"/>
      <c r="C355" s="21">
        <f t="shared" si="56"/>
        <v>1</v>
      </c>
      <c r="D355" s="634"/>
      <c r="E355" s="21">
        <f t="shared" si="57"/>
        <v>0</v>
      </c>
      <c r="F355" s="634"/>
      <c r="G355" s="21">
        <f t="shared" si="58"/>
        <v>0.05</v>
      </c>
      <c r="H355" s="634"/>
      <c r="I355" s="21">
        <f t="shared" si="59"/>
        <v>0.05</v>
      </c>
      <c r="J355" s="634"/>
      <c r="K355" s="21">
        <f t="shared" si="60"/>
        <v>1</v>
      </c>
      <c r="L355" s="634"/>
      <c r="M355" s="21">
        <f t="shared" si="61"/>
        <v>1</v>
      </c>
      <c r="N355" s="634"/>
      <c r="O355" s="21">
        <f t="shared" si="62"/>
        <v>1</v>
      </c>
      <c r="P355" s="634"/>
      <c r="Q355" s="21">
        <f t="shared" si="63"/>
        <v>1</v>
      </c>
      <c r="R355" s="21">
        <f t="shared" si="64"/>
        <v>0</v>
      </c>
      <c r="S355" s="308">
        <f t="shared" si="55"/>
        <v>0</v>
      </c>
    </row>
    <row r="356" spans="1:19">
      <c r="A356" s="142"/>
      <c r="B356" s="52"/>
      <c r="C356" s="21">
        <f t="shared" si="56"/>
        <v>1</v>
      </c>
      <c r="D356" s="634"/>
      <c r="E356" s="21">
        <f t="shared" si="57"/>
        <v>0</v>
      </c>
      <c r="F356" s="634"/>
      <c r="G356" s="21">
        <f t="shared" si="58"/>
        <v>0.05</v>
      </c>
      <c r="H356" s="634"/>
      <c r="I356" s="21">
        <f t="shared" si="59"/>
        <v>0.05</v>
      </c>
      <c r="J356" s="634"/>
      <c r="K356" s="21">
        <f t="shared" si="60"/>
        <v>1</v>
      </c>
      <c r="L356" s="634"/>
      <c r="M356" s="21">
        <f t="shared" si="61"/>
        <v>1</v>
      </c>
      <c r="N356" s="634"/>
      <c r="O356" s="21">
        <f t="shared" si="62"/>
        <v>1</v>
      </c>
      <c r="P356" s="634"/>
      <c r="Q356" s="21">
        <f t="shared" si="63"/>
        <v>1</v>
      </c>
      <c r="R356" s="21">
        <f t="shared" si="64"/>
        <v>0</v>
      </c>
      <c r="S356" s="308">
        <f t="shared" si="55"/>
        <v>0</v>
      </c>
    </row>
    <row r="357" spans="1:19">
      <c r="A357" s="142"/>
      <c r="B357" s="52"/>
      <c r="C357" s="21">
        <f t="shared" si="56"/>
        <v>1</v>
      </c>
      <c r="D357" s="634"/>
      <c r="E357" s="21">
        <f t="shared" si="57"/>
        <v>0</v>
      </c>
      <c r="F357" s="634"/>
      <c r="G357" s="21">
        <f t="shared" si="58"/>
        <v>0.05</v>
      </c>
      <c r="H357" s="634"/>
      <c r="I357" s="21">
        <f t="shared" si="59"/>
        <v>0.05</v>
      </c>
      <c r="J357" s="634"/>
      <c r="K357" s="21">
        <f t="shared" si="60"/>
        <v>1</v>
      </c>
      <c r="L357" s="634"/>
      <c r="M357" s="21">
        <f t="shared" si="61"/>
        <v>1</v>
      </c>
      <c r="N357" s="634"/>
      <c r="O357" s="21">
        <f t="shared" si="62"/>
        <v>1</v>
      </c>
      <c r="P357" s="634"/>
      <c r="Q357" s="21">
        <f t="shared" si="63"/>
        <v>1</v>
      </c>
      <c r="R357" s="21">
        <f t="shared" si="64"/>
        <v>0</v>
      </c>
      <c r="S357" s="308">
        <f t="shared" si="55"/>
        <v>0</v>
      </c>
    </row>
    <row r="358" spans="1:19">
      <c r="A358" s="142"/>
      <c r="B358" s="52"/>
      <c r="C358" s="21">
        <f t="shared" si="56"/>
        <v>1</v>
      </c>
      <c r="D358" s="634"/>
      <c r="E358" s="21">
        <f t="shared" si="57"/>
        <v>0</v>
      </c>
      <c r="F358" s="634"/>
      <c r="G358" s="21">
        <f t="shared" si="58"/>
        <v>0.05</v>
      </c>
      <c r="H358" s="634"/>
      <c r="I358" s="21">
        <f t="shared" si="59"/>
        <v>0.05</v>
      </c>
      <c r="J358" s="634"/>
      <c r="K358" s="21">
        <f t="shared" si="60"/>
        <v>1</v>
      </c>
      <c r="L358" s="634"/>
      <c r="M358" s="21">
        <f t="shared" si="61"/>
        <v>1</v>
      </c>
      <c r="N358" s="634"/>
      <c r="O358" s="21">
        <f t="shared" si="62"/>
        <v>1</v>
      </c>
      <c r="P358" s="634"/>
      <c r="Q358" s="21">
        <f t="shared" si="63"/>
        <v>1</v>
      </c>
      <c r="R358" s="21">
        <f t="shared" si="64"/>
        <v>0</v>
      </c>
      <c r="S358" s="308">
        <f t="shared" si="55"/>
        <v>0</v>
      </c>
    </row>
    <row r="359" spans="1:19">
      <c r="A359" s="142"/>
      <c r="B359" s="52"/>
      <c r="C359" s="21">
        <f t="shared" si="56"/>
        <v>1</v>
      </c>
      <c r="D359" s="634"/>
      <c r="E359" s="21">
        <f t="shared" si="57"/>
        <v>0</v>
      </c>
      <c r="F359" s="634"/>
      <c r="G359" s="21">
        <f t="shared" si="58"/>
        <v>0.05</v>
      </c>
      <c r="H359" s="634"/>
      <c r="I359" s="21">
        <f t="shared" si="59"/>
        <v>0.05</v>
      </c>
      <c r="J359" s="634"/>
      <c r="K359" s="21">
        <f t="shared" si="60"/>
        <v>1</v>
      </c>
      <c r="L359" s="634"/>
      <c r="M359" s="21">
        <f t="shared" si="61"/>
        <v>1</v>
      </c>
      <c r="N359" s="634"/>
      <c r="O359" s="21">
        <f t="shared" si="62"/>
        <v>1</v>
      </c>
      <c r="P359" s="634"/>
      <c r="Q359" s="21">
        <f t="shared" si="63"/>
        <v>1</v>
      </c>
      <c r="R359" s="21">
        <f t="shared" si="64"/>
        <v>0</v>
      </c>
      <c r="S359" s="308">
        <f t="shared" si="55"/>
        <v>0</v>
      </c>
    </row>
    <row r="360" spans="1:19">
      <c r="A360" s="142"/>
      <c r="B360" s="52"/>
      <c r="C360" s="21">
        <f t="shared" si="56"/>
        <v>1</v>
      </c>
      <c r="D360" s="634"/>
      <c r="E360" s="21">
        <f t="shared" si="57"/>
        <v>0</v>
      </c>
      <c r="F360" s="634"/>
      <c r="G360" s="21">
        <f t="shared" si="58"/>
        <v>0.05</v>
      </c>
      <c r="H360" s="634"/>
      <c r="I360" s="21">
        <f t="shared" si="59"/>
        <v>0.05</v>
      </c>
      <c r="J360" s="634"/>
      <c r="K360" s="21">
        <f t="shared" si="60"/>
        <v>1</v>
      </c>
      <c r="L360" s="634"/>
      <c r="M360" s="21">
        <f t="shared" si="61"/>
        <v>1</v>
      </c>
      <c r="N360" s="634"/>
      <c r="O360" s="21">
        <f t="shared" si="62"/>
        <v>1</v>
      </c>
      <c r="P360" s="634"/>
      <c r="Q360" s="21">
        <f t="shared" si="63"/>
        <v>1</v>
      </c>
      <c r="R360" s="21">
        <f t="shared" si="64"/>
        <v>0</v>
      </c>
      <c r="S360" s="308">
        <f t="shared" si="55"/>
        <v>0</v>
      </c>
    </row>
    <row r="361" spans="1:19">
      <c r="A361" s="142"/>
      <c r="B361" s="52"/>
      <c r="C361" s="21">
        <f t="shared" si="56"/>
        <v>1</v>
      </c>
      <c r="D361" s="634"/>
      <c r="E361" s="21">
        <f t="shared" si="57"/>
        <v>0</v>
      </c>
      <c r="F361" s="634"/>
      <c r="G361" s="21">
        <f t="shared" si="58"/>
        <v>0.05</v>
      </c>
      <c r="H361" s="634"/>
      <c r="I361" s="21">
        <f t="shared" si="59"/>
        <v>0.05</v>
      </c>
      <c r="J361" s="634"/>
      <c r="K361" s="21">
        <f t="shared" si="60"/>
        <v>1</v>
      </c>
      <c r="L361" s="634"/>
      <c r="M361" s="21">
        <f t="shared" si="61"/>
        <v>1</v>
      </c>
      <c r="N361" s="634"/>
      <c r="O361" s="21">
        <f t="shared" si="62"/>
        <v>1</v>
      </c>
      <c r="P361" s="634"/>
      <c r="Q361" s="21">
        <f t="shared" si="63"/>
        <v>1</v>
      </c>
      <c r="R361" s="21">
        <f t="shared" si="64"/>
        <v>0</v>
      </c>
      <c r="S361" s="308">
        <f t="shared" si="55"/>
        <v>0</v>
      </c>
    </row>
    <row r="362" spans="1:19">
      <c r="A362" s="142"/>
      <c r="B362" s="52"/>
      <c r="C362" s="21">
        <f t="shared" si="56"/>
        <v>1</v>
      </c>
      <c r="D362" s="634"/>
      <c r="E362" s="21">
        <f t="shared" si="57"/>
        <v>0</v>
      </c>
      <c r="F362" s="634"/>
      <c r="G362" s="21">
        <f t="shared" si="58"/>
        <v>0.05</v>
      </c>
      <c r="H362" s="634"/>
      <c r="I362" s="21">
        <f t="shared" si="59"/>
        <v>0.05</v>
      </c>
      <c r="J362" s="634"/>
      <c r="K362" s="21">
        <f t="shared" si="60"/>
        <v>1</v>
      </c>
      <c r="L362" s="634"/>
      <c r="M362" s="21">
        <f t="shared" si="61"/>
        <v>1</v>
      </c>
      <c r="N362" s="634"/>
      <c r="O362" s="21">
        <f t="shared" si="62"/>
        <v>1</v>
      </c>
      <c r="P362" s="634"/>
      <c r="Q362" s="21">
        <f t="shared" si="63"/>
        <v>1</v>
      </c>
      <c r="R362" s="21">
        <f t="shared" si="64"/>
        <v>0</v>
      </c>
      <c r="S362" s="308">
        <f t="shared" si="55"/>
        <v>0</v>
      </c>
    </row>
    <row r="363" spans="1:19">
      <c r="A363" s="142"/>
      <c r="B363" s="52"/>
      <c r="C363" s="21">
        <f t="shared" si="56"/>
        <v>1</v>
      </c>
      <c r="D363" s="634"/>
      <c r="E363" s="21">
        <f t="shared" si="57"/>
        <v>0</v>
      </c>
      <c r="F363" s="634"/>
      <c r="G363" s="21">
        <f t="shared" si="58"/>
        <v>0.05</v>
      </c>
      <c r="H363" s="634"/>
      <c r="I363" s="21">
        <f t="shared" si="59"/>
        <v>0.05</v>
      </c>
      <c r="J363" s="634"/>
      <c r="K363" s="21">
        <f t="shared" si="60"/>
        <v>1</v>
      </c>
      <c r="L363" s="634"/>
      <c r="M363" s="21">
        <f t="shared" si="61"/>
        <v>1</v>
      </c>
      <c r="N363" s="634"/>
      <c r="O363" s="21">
        <f t="shared" si="62"/>
        <v>1</v>
      </c>
      <c r="P363" s="634"/>
      <c r="Q363" s="21">
        <f t="shared" si="63"/>
        <v>1</v>
      </c>
      <c r="R363" s="21">
        <f t="shared" si="64"/>
        <v>0</v>
      </c>
      <c r="S363" s="308">
        <f t="shared" si="55"/>
        <v>0</v>
      </c>
    </row>
    <row r="364" spans="1:19">
      <c r="A364" s="142"/>
      <c r="B364" s="52"/>
      <c r="C364" s="21">
        <f t="shared" si="56"/>
        <v>1</v>
      </c>
      <c r="D364" s="634"/>
      <c r="E364" s="21">
        <f t="shared" si="57"/>
        <v>0</v>
      </c>
      <c r="F364" s="634"/>
      <c r="G364" s="21">
        <f t="shared" si="58"/>
        <v>0.05</v>
      </c>
      <c r="H364" s="634"/>
      <c r="I364" s="21">
        <f t="shared" si="59"/>
        <v>0.05</v>
      </c>
      <c r="J364" s="634"/>
      <c r="K364" s="21">
        <f t="shared" si="60"/>
        <v>1</v>
      </c>
      <c r="L364" s="634"/>
      <c r="M364" s="21">
        <f t="shared" si="61"/>
        <v>1</v>
      </c>
      <c r="N364" s="634"/>
      <c r="O364" s="21">
        <f t="shared" si="62"/>
        <v>1</v>
      </c>
      <c r="P364" s="634"/>
      <c r="Q364" s="21">
        <f t="shared" si="63"/>
        <v>1</v>
      </c>
      <c r="R364" s="21">
        <f t="shared" si="64"/>
        <v>0</v>
      </c>
      <c r="S364" s="308">
        <f t="shared" si="55"/>
        <v>0</v>
      </c>
    </row>
    <row r="365" spans="1:19">
      <c r="A365" s="142"/>
      <c r="B365" s="52"/>
      <c r="C365" s="21">
        <f t="shared" si="56"/>
        <v>1</v>
      </c>
      <c r="D365" s="634"/>
      <c r="E365" s="21">
        <f t="shared" si="57"/>
        <v>0</v>
      </c>
      <c r="F365" s="634"/>
      <c r="G365" s="21">
        <f t="shared" si="58"/>
        <v>0.05</v>
      </c>
      <c r="H365" s="634"/>
      <c r="I365" s="21">
        <f t="shared" si="59"/>
        <v>0.05</v>
      </c>
      <c r="J365" s="634"/>
      <c r="K365" s="21">
        <f t="shared" si="60"/>
        <v>1</v>
      </c>
      <c r="L365" s="634"/>
      <c r="M365" s="21">
        <f t="shared" si="61"/>
        <v>1</v>
      </c>
      <c r="N365" s="634"/>
      <c r="O365" s="21">
        <f t="shared" si="62"/>
        <v>1</v>
      </c>
      <c r="P365" s="634"/>
      <c r="Q365" s="21">
        <f t="shared" si="63"/>
        <v>1</v>
      </c>
      <c r="R365" s="21">
        <f t="shared" si="64"/>
        <v>0</v>
      </c>
      <c r="S365" s="308">
        <f t="shared" si="55"/>
        <v>0</v>
      </c>
    </row>
    <row r="366" spans="1:19">
      <c r="A366" s="142"/>
      <c r="B366" s="52"/>
      <c r="C366" s="21">
        <f t="shared" si="56"/>
        <v>1</v>
      </c>
      <c r="D366" s="634"/>
      <c r="E366" s="21">
        <f t="shared" si="57"/>
        <v>0</v>
      </c>
      <c r="F366" s="634"/>
      <c r="G366" s="21">
        <f t="shared" si="58"/>
        <v>0.05</v>
      </c>
      <c r="H366" s="634"/>
      <c r="I366" s="21">
        <f t="shared" si="59"/>
        <v>0.05</v>
      </c>
      <c r="J366" s="634"/>
      <c r="K366" s="21">
        <f t="shared" si="60"/>
        <v>1</v>
      </c>
      <c r="L366" s="634"/>
      <c r="M366" s="21">
        <f t="shared" si="61"/>
        <v>1</v>
      </c>
      <c r="N366" s="634"/>
      <c r="O366" s="21">
        <f t="shared" si="62"/>
        <v>1</v>
      </c>
      <c r="P366" s="634"/>
      <c r="Q366" s="21">
        <f t="shared" si="63"/>
        <v>1</v>
      </c>
      <c r="R366" s="21">
        <f t="shared" si="64"/>
        <v>0</v>
      </c>
      <c r="S366" s="308">
        <f t="shared" si="55"/>
        <v>0</v>
      </c>
    </row>
    <row r="367" spans="1:19">
      <c r="A367" s="142"/>
      <c r="B367" s="52"/>
      <c r="C367" s="21">
        <f t="shared" si="56"/>
        <v>1</v>
      </c>
      <c r="D367" s="634"/>
      <c r="E367" s="21">
        <f t="shared" si="57"/>
        <v>0</v>
      </c>
      <c r="F367" s="634"/>
      <c r="G367" s="21">
        <f t="shared" si="58"/>
        <v>0.05</v>
      </c>
      <c r="H367" s="634"/>
      <c r="I367" s="21">
        <f t="shared" si="59"/>
        <v>0.05</v>
      </c>
      <c r="J367" s="634"/>
      <c r="K367" s="21">
        <f t="shared" si="60"/>
        <v>1</v>
      </c>
      <c r="L367" s="634"/>
      <c r="M367" s="21">
        <f t="shared" si="61"/>
        <v>1</v>
      </c>
      <c r="N367" s="634"/>
      <c r="O367" s="21">
        <f t="shared" si="62"/>
        <v>1</v>
      </c>
      <c r="P367" s="634"/>
      <c r="Q367" s="21">
        <f t="shared" si="63"/>
        <v>1</v>
      </c>
      <c r="R367" s="21">
        <f t="shared" si="64"/>
        <v>0</v>
      </c>
      <c r="S367" s="308">
        <f t="shared" si="55"/>
        <v>0</v>
      </c>
    </row>
    <row r="368" spans="1:19">
      <c r="A368" s="142"/>
      <c r="B368" s="52"/>
      <c r="C368" s="21">
        <f t="shared" si="56"/>
        <v>1</v>
      </c>
      <c r="D368" s="634"/>
      <c r="E368" s="21">
        <f t="shared" si="57"/>
        <v>0</v>
      </c>
      <c r="F368" s="634"/>
      <c r="G368" s="21">
        <f t="shared" si="58"/>
        <v>0.05</v>
      </c>
      <c r="H368" s="634"/>
      <c r="I368" s="21">
        <f t="shared" si="59"/>
        <v>0.05</v>
      </c>
      <c r="J368" s="634"/>
      <c r="K368" s="21">
        <f t="shared" si="60"/>
        <v>1</v>
      </c>
      <c r="L368" s="634"/>
      <c r="M368" s="21">
        <f t="shared" si="61"/>
        <v>1</v>
      </c>
      <c r="N368" s="634"/>
      <c r="O368" s="21">
        <f t="shared" si="62"/>
        <v>1</v>
      </c>
      <c r="P368" s="634"/>
      <c r="Q368" s="21">
        <f t="shared" si="63"/>
        <v>1</v>
      </c>
      <c r="R368" s="21">
        <f t="shared" si="64"/>
        <v>0</v>
      </c>
      <c r="S368" s="308">
        <f t="shared" si="55"/>
        <v>0</v>
      </c>
    </row>
    <row r="369" spans="1:19">
      <c r="A369" s="142"/>
      <c r="B369" s="52"/>
      <c r="C369" s="21">
        <f t="shared" si="56"/>
        <v>1</v>
      </c>
      <c r="D369" s="634"/>
      <c r="E369" s="21">
        <f t="shared" si="57"/>
        <v>0</v>
      </c>
      <c r="F369" s="634"/>
      <c r="G369" s="21">
        <f t="shared" si="58"/>
        <v>0.05</v>
      </c>
      <c r="H369" s="634"/>
      <c r="I369" s="21">
        <f t="shared" si="59"/>
        <v>0.05</v>
      </c>
      <c r="J369" s="634"/>
      <c r="K369" s="21">
        <f t="shared" si="60"/>
        <v>1</v>
      </c>
      <c r="L369" s="634"/>
      <c r="M369" s="21">
        <f t="shared" si="61"/>
        <v>1</v>
      </c>
      <c r="N369" s="634"/>
      <c r="O369" s="21">
        <f t="shared" si="62"/>
        <v>1</v>
      </c>
      <c r="P369" s="634"/>
      <c r="Q369" s="21">
        <f t="shared" si="63"/>
        <v>1</v>
      </c>
      <c r="R369" s="21">
        <f t="shared" si="64"/>
        <v>0</v>
      </c>
      <c r="S369" s="308">
        <f t="shared" si="55"/>
        <v>0</v>
      </c>
    </row>
    <row r="370" spans="1:19">
      <c r="A370" s="142"/>
      <c r="B370" s="52"/>
      <c r="C370" s="21">
        <f t="shared" si="56"/>
        <v>1</v>
      </c>
      <c r="D370" s="634"/>
      <c r="E370" s="21">
        <f t="shared" si="57"/>
        <v>0</v>
      </c>
      <c r="F370" s="634"/>
      <c r="G370" s="21">
        <f t="shared" si="58"/>
        <v>0.05</v>
      </c>
      <c r="H370" s="634"/>
      <c r="I370" s="21">
        <f t="shared" si="59"/>
        <v>0.05</v>
      </c>
      <c r="J370" s="634"/>
      <c r="K370" s="21">
        <f t="shared" si="60"/>
        <v>1</v>
      </c>
      <c r="L370" s="634"/>
      <c r="M370" s="21">
        <f t="shared" si="61"/>
        <v>1</v>
      </c>
      <c r="N370" s="634"/>
      <c r="O370" s="21">
        <f t="shared" si="62"/>
        <v>1</v>
      </c>
      <c r="P370" s="634"/>
      <c r="Q370" s="21">
        <f t="shared" si="63"/>
        <v>1</v>
      </c>
      <c r="R370" s="21">
        <f t="shared" si="64"/>
        <v>0</v>
      </c>
      <c r="S370" s="308">
        <f t="shared" si="55"/>
        <v>0</v>
      </c>
    </row>
    <row r="371" spans="1:19">
      <c r="A371" s="142"/>
      <c r="B371" s="52"/>
      <c r="C371" s="21">
        <f t="shared" si="56"/>
        <v>1</v>
      </c>
      <c r="D371" s="634"/>
      <c r="E371" s="21">
        <f t="shared" si="57"/>
        <v>0</v>
      </c>
      <c r="F371" s="634"/>
      <c r="G371" s="21">
        <f t="shared" si="58"/>
        <v>0.05</v>
      </c>
      <c r="H371" s="634"/>
      <c r="I371" s="21">
        <f t="shared" si="59"/>
        <v>0.05</v>
      </c>
      <c r="J371" s="634"/>
      <c r="K371" s="21">
        <f t="shared" si="60"/>
        <v>1</v>
      </c>
      <c r="L371" s="634"/>
      <c r="M371" s="21">
        <f t="shared" si="61"/>
        <v>1</v>
      </c>
      <c r="N371" s="634"/>
      <c r="O371" s="21">
        <f t="shared" si="62"/>
        <v>1</v>
      </c>
      <c r="P371" s="634"/>
      <c r="Q371" s="21">
        <f t="shared" si="63"/>
        <v>1</v>
      </c>
      <c r="R371" s="21">
        <f t="shared" si="64"/>
        <v>0</v>
      </c>
      <c r="S371" s="308">
        <f t="shared" si="55"/>
        <v>0</v>
      </c>
    </row>
    <row r="372" spans="1:19">
      <c r="A372" s="142"/>
      <c r="B372" s="52"/>
      <c r="C372" s="21">
        <f t="shared" si="56"/>
        <v>1</v>
      </c>
      <c r="D372" s="634"/>
      <c r="E372" s="21">
        <f t="shared" si="57"/>
        <v>0</v>
      </c>
      <c r="F372" s="634"/>
      <c r="G372" s="21">
        <f t="shared" si="58"/>
        <v>0.05</v>
      </c>
      <c r="H372" s="634"/>
      <c r="I372" s="21">
        <f t="shared" si="59"/>
        <v>0.05</v>
      </c>
      <c r="J372" s="634"/>
      <c r="K372" s="21">
        <f t="shared" si="60"/>
        <v>1</v>
      </c>
      <c r="L372" s="634"/>
      <c r="M372" s="21">
        <f t="shared" si="61"/>
        <v>1</v>
      </c>
      <c r="N372" s="634"/>
      <c r="O372" s="21">
        <f t="shared" si="62"/>
        <v>1</v>
      </c>
      <c r="P372" s="634"/>
      <c r="Q372" s="21">
        <f t="shared" si="63"/>
        <v>1</v>
      </c>
      <c r="R372" s="21">
        <f t="shared" si="64"/>
        <v>0</v>
      </c>
      <c r="S372" s="308">
        <f t="shared" si="55"/>
        <v>0</v>
      </c>
    </row>
    <row r="373" spans="1:19">
      <c r="A373" s="142"/>
      <c r="B373" s="52"/>
      <c r="C373" s="21">
        <f t="shared" si="56"/>
        <v>1</v>
      </c>
      <c r="D373" s="634"/>
      <c r="E373" s="21">
        <f t="shared" si="57"/>
        <v>0</v>
      </c>
      <c r="F373" s="634"/>
      <c r="G373" s="21">
        <f t="shared" si="58"/>
        <v>0.05</v>
      </c>
      <c r="H373" s="634"/>
      <c r="I373" s="21">
        <f t="shared" si="59"/>
        <v>0.05</v>
      </c>
      <c r="J373" s="634"/>
      <c r="K373" s="21">
        <f t="shared" si="60"/>
        <v>1</v>
      </c>
      <c r="L373" s="634"/>
      <c r="M373" s="21">
        <f t="shared" si="61"/>
        <v>1</v>
      </c>
      <c r="N373" s="634"/>
      <c r="O373" s="21">
        <f t="shared" si="62"/>
        <v>1</v>
      </c>
      <c r="P373" s="634"/>
      <c r="Q373" s="21">
        <f t="shared" si="63"/>
        <v>1</v>
      </c>
      <c r="R373" s="21">
        <f t="shared" si="64"/>
        <v>0</v>
      </c>
      <c r="S373" s="308">
        <f t="shared" si="55"/>
        <v>0</v>
      </c>
    </row>
    <row r="374" spans="1:19">
      <c r="A374" s="142"/>
      <c r="B374" s="52"/>
      <c r="C374" s="21">
        <f t="shared" si="56"/>
        <v>1</v>
      </c>
      <c r="D374" s="634"/>
      <c r="E374" s="21">
        <f t="shared" si="57"/>
        <v>0</v>
      </c>
      <c r="F374" s="634"/>
      <c r="G374" s="21">
        <f t="shared" si="58"/>
        <v>0.05</v>
      </c>
      <c r="H374" s="634"/>
      <c r="I374" s="21">
        <f t="shared" si="59"/>
        <v>0.05</v>
      </c>
      <c r="J374" s="634"/>
      <c r="K374" s="21">
        <f t="shared" si="60"/>
        <v>1</v>
      </c>
      <c r="L374" s="634"/>
      <c r="M374" s="21">
        <f t="shared" si="61"/>
        <v>1</v>
      </c>
      <c r="N374" s="634"/>
      <c r="O374" s="21">
        <f t="shared" si="62"/>
        <v>1</v>
      </c>
      <c r="P374" s="634"/>
      <c r="Q374" s="21">
        <f t="shared" si="63"/>
        <v>1</v>
      </c>
      <c r="R374" s="21">
        <f t="shared" si="64"/>
        <v>0</v>
      </c>
      <c r="S374" s="308">
        <f t="shared" si="55"/>
        <v>0</v>
      </c>
    </row>
    <row r="375" spans="1:19">
      <c r="A375" s="142"/>
      <c r="B375" s="52"/>
      <c r="C375" s="21">
        <f t="shared" si="56"/>
        <v>1</v>
      </c>
      <c r="D375" s="634"/>
      <c r="E375" s="21">
        <f t="shared" si="57"/>
        <v>0</v>
      </c>
      <c r="F375" s="634"/>
      <c r="G375" s="21">
        <f t="shared" si="58"/>
        <v>0.05</v>
      </c>
      <c r="H375" s="634"/>
      <c r="I375" s="21">
        <f t="shared" si="59"/>
        <v>0.05</v>
      </c>
      <c r="J375" s="634"/>
      <c r="K375" s="21">
        <f t="shared" si="60"/>
        <v>1</v>
      </c>
      <c r="L375" s="634"/>
      <c r="M375" s="21">
        <f t="shared" si="61"/>
        <v>1</v>
      </c>
      <c r="N375" s="634"/>
      <c r="O375" s="21">
        <f t="shared" si="62"/>
        <v>1</v>
      </c>
      <c r="P375" s="634"/>
      <c r="Q375" s="21">
        <f t="shared" si="63"/>
        <v>1</v>
      </c>
      <c r="R375" s="21">
        <f t="shared" si="64"/>
        <v>0</v>
      </c>
      <c r="S375" s="308">
        <f t="shared" si="55"/>
        <v>0</v>
      </c>
    </row>
    <row r="376" spans="1:19">
      <c r="A376" s="142"/>
      <c r="B376" s="52"/>
      <c r="C376" s="21">
        <f t="shared" si="56"/>
        <v>1</v>
      </c>
      <c r="D376" s="634"/>
      <c r="E376" s="21">
        <f t="shared" si="57"/>
        <v>0</v>
      </c>
      <c r="F376" s="634"/>
      <c r="G376" s="21">
        <f t="shared" si="58"/>
        <v>0.05</v>
      </c>
      <c r="H376" s="634"/>
      <c r="I376" s="21">
        <f t="shared" si="59"/>
        <v>0.05</v>
      </c>
      <c r="J376" s="634"/>
      <c r="K376" s="21">
        <f t="shared" si="60"/>
        <v>1</v>
      </c>
      <c r="L376" s="634"/>
      <c r="M376" s="21">
        <f t="shared" si="61"/>
        <v>1</v>
      </c>
      <c r="N376" s="634"/>
      <c r="O376" s="21">
        <f t="shared" si="62"/>
        <v>1</v>
      </c>
      <c r="P376" s="634"/>
      <c r="Q376" s="21">
        <f t="shared" si="63"/>
        <v>1</v>
      </c>
      <c r="R376" s="21">
        <f t="shared" si="64"/>
        <v>0</v>
      </c>
      <c r="S376" s="308">
        <f t="shared" si="55"/>
        <v>0</v>
      </c>
    </row>
    <row r="377" spans="1:19">
      <c r="A377" s="142"/>
      <c r="B377" s="52"/>
      <c r="C377" s="21">
        <f t="shared" si="56"/>
        <v>1</v>
      </c>
      <c r="D377" s="634"/>
      <c r="E377" s="21">
        <f t="shared" si="57"/>
        <v>0</v>
      </c>
      <c r="F377" s="634"/>
      <c r="G377" s="21">
        <f t="shared" si="58"/>
        <v>0.05</v>
      </c>
      <c r="H377" s="634"/>
      <c r="I377" s="21">
        <f t="shared" si="59"/>
        <v>0.05</v>
      </c>
      <c r="J377" s="634"/>
      <c r="K377" s="21">
        <f t="shared" si="60"/>
        <v>1</v>
      </c>
      <c r="L377" s="634"/>
      <c r="M377" s="21">
        <f t="shared" si="61"/>
        <v>1</v>
      </c>
      <c r="N377" s="634"/>
      <c r="O377" s="21">
        <f t="shared" si="62"/>
        <v>1</v>
      </c>
      <c r="P377" s="634"/>
      <c r="Q377" s="21">
        <f t="shared" si="63"/>
        <v>1</v>
      </c>
      <c r="R377" s="21">
        <f t="shared" si="64"/>
        <v>0</v>
      </c>
      <c r="S377" s="308">
        <f t="shared" si="55"/>
        <v>0</v>
      </c>
    </row>
    <row r="378" spans="1:19">
      <c r="A378" s="142"/>
      <c r="B378" s="52"/>
      <c r="C378" s="21">
        <f t="shared" si="56"/>
        <v>1</v>
      </c>
      <c r="D378" s="634"/>
      <c r="E378" s="21">
        <f t="shared" si="57"/>
        <v>0</v>
      </c>
      <c r="F378" s="634"/>
      <c r="G378" s="21">
        <f t="shared" si="58"/>
        <v>0.05</v>
      </c>
      <c r="H378" s="634"/>
      <c r="I378" s="21">
        <f t="shared" si="59"/>
        <v>0.05</v>
      </c>
      <c r="J378" s="634"/>
      <c r="K378" s="21">
        <f t="shared" si="60"/>
        <v>1</v>
      </c>
      <c r="L378" s="634"/>
      <c r="M378" s="21">
        <f t="shared" si="61"/>
        <v>1</v>
      </c>
      <c r="N378" s="634"/>
      <c r="O378" s="21">
        <f t="shared" si="62"/>
        <v>1</v>
      </c>
      <c r="P378" s="634"/>
      <c r="Q378" s="21">
        <f t="shared" si="63"/>
        <v>1</v>
      </c>
      <c r="R378" s="21">
        <f t="shared" si="64"/>
        <v>0</v>
      </c>
      <c r="S378" s="308">
        <f t="shared" si="55"/>
        <v>0</v>
      </c>
    </row>
    <row r="379" spans="1:19">
      <c r="A379" s="142"/>
      <c r="B379" s="52"/>
      <c r="C379" s="21">
        <f t="shared" si="56"/>
        <v>1</v>
      </c>
      <c r="D379" s="634"/>
      <c r="E379" s="21">
        <f t="shared" si="57"/>
        <v>0</v>
      </c>
      <c r="F379" s="634"/>
      <c r="G379" s="21">
        <f t="shared" si="58"/>
        <v>0.05</v>
      </c>
      <c r="H379" s="634"/>
      <c r="I379" s="21">
        <f t="shared" si="59"/>
        <v>0.05</v>
      </c>
      <c r="J379" s="634"/>
      <c r="K379" s="21">
        <f t="shared" si="60"/>
        <v>1</v>
      </c>
      <c r="L379" s="634"/>
      <c r="M379" s="21">
        <f t="shared" si="61"/>
        <v>1</v>
      </c>
      <c r="N379" s="634"/>
      <c r="O379" s="21">
        <f t="shared" si="62"/>
        <v>1</v>
      </c>
      <c r="P379" s="634"/>
      <c r="Q379" s="21">
        <f t="shared" si="63"/>
        <v>1</v>
      </c>
      <c r="R379" s="21">
        <f t="shared" si="64"/>
        <v>0</v>
      </c>
      <c r="S379" s="308">
        <f t="shared" si="55"/>
        <v>0</v>
      </c>
    </row>
    <row r="380" spans="1:19">
      <c r="A380" s="142"/>
      <c r="B380" s="52"/>
      <c r="C380" s="21">
        <f t="shared" si="56"/>
        <v>1</v>
      </c>
      <c r="D380" s="634"/>
      <c r="E380" s="21">
        <f t="shared" si="57"/>
        <v>0</v>
      </c>
      <c r="F380" s="634"/>
      <c r="G380" s="21">
        <f t="shared" si="58"/>
        <v>0.05</v>
      </c>
      <c r="H380" s="634"/>
      <c r="I380" s="21">
        <f t="shared" si="59"/>
        <v>0.05</v>
      </c>
      <c r="J380" s="634"/>
      <c r="K380" s="21">
        <f t="shared" si="60"/>
        <v>1</v>
      </c>
      <c r="L380" s="634"/>
      <c r="M380" s="21">
        <f t="shared" si="61"/>
        <v>1</v>
      </c>
      <c r="N380" s="634"/>
      <c r="O380" s="21">
        <f t="shared" si="62"/>
        <v>1</v>
      </c>
      <c r="P380" s="634"/>
      <c r="Q380" s="21">
        <f t="shared" si="63"/>
        <v>1</v>
      </c>
      <c r="R380" s="21">
        <f t="shared" si="64"/>
        <v>0</v>
      </c>
      <c r="S380" s="308">
        <f t="shared" si="55"/>
        <v>0</v>
      </c>
    </row>
    <row r="381" spans="1:19">
      <c r="A381" s="142"/>
      <c r="B381" s="52"/>
      <c r="C381" s="21">
        <f t="shared" si="56"/>
        <v>1</v>
      </c>
      <c r="D381" s="634"/>
      <c r="E381" s="21">
        <f t="shared" si="57"/>
        <v>0</v>
      </c>
      <c r="F381" s="634"/>
      <c r="G381" s="21">
        <f t="shared" si="58"/>
        <v>0.05</v>
      </c>
      <c r="H381" s="634"/>
      <c r="I381" s="21">
        <f t="shared" si="59"/>
        <v>0.05</v>
      </c>
      <c r="J381" s="634"/>
      <c r="K381" s="21">
        <f t="shared" si="60"/>
        <v>1</v>
      </c>
      <c r="L381" s="634"/>
      <c r="M381" s="21">
        <f t="shared" si="61"/>
        <v>1</v>
      </c>
      <c r="N381" s="634"/>
      <c r="O381" s="21">
        <f t="shared" si="62"/>
        <v>1</v>
      </c>
      <c r="P381" s="634"/>
      <c r="Q381" s="21">
        <f t="shared" si="63"/>
        <v>1</v>
      </c>
      <c r="R381" s="21">
        <f t="shared" si="64"/>
        <v>0</v>
      </c>
      <c r="S381" s="308">
        <f t="shared" si="55"/>
        <v>0</v>
      </c>
    </row>
    <row r="382" spans="1:19">
      <c r="A382" s="142"/>
      <c r="B382" s="52"/>
      <c r="C382" s="21">
        <f t="shared" si="56"/>
        <v>1</v>
      </c>
      <c r="D382" s="634"/>
      <c r="E382" s="21">
        <f t="shared" si="57"/>
        <v>0</v>
      </c>
      <c r="F382" s="634"/>
      <c r="G382" s="21">
        <f t="shared" si="58"/>
        <v>0.05</v>
      </c>
      <c r="H382" s="634"/>
      <c r="I382" s="21">
        <f t="shared" si="59"/>
        <v>0.05</v>
      </c>
      <c r="J382" s="634"/>
      <c r="K382" s="21">
        <f t="shared" si="60"/>
        <v>1</v>
      </c>
      <c r="L382" s="634"/>
      <c r="M382" s="21">
        <f t="shared" si="61"/>
        <v>1</v>
      </c>
      <c r="N382" s="634"/>
      <c r="O382" s="21">
        <f t="shared" si="62"/>
        <v>1</v>
      </c>
      <c r="P382" s="634"/>
      <c r="Q382" s="21">
        <f t="shared" si="63"/>
        <v>1</v>
      </c>
      <c r="R382" s="21">
        <f t="shared" si="64"/>
        <v>0</v>
      </c>
      <c r="S382" s="308">
        <f t="shared" si="55"/>
        <v>0</v>
      </c>
    </row>
    <row r="383" spans="1:19">
      <c r="A383" s="142"/>
      <c r="B383" s="52"/>
      <c r="C383" s="21">
        <f t="shared" si="56"/>
        <v>1</v>
      </c>
      <c r="D383" s="634"/>
      <c r="E383" s="21">
        <f t="shared" si="57"/>
        <v>0</v>
      </c>
      <c r="F383" s="634"/>
      <c r="G383" s="21">
        <f t="shared" si="58"/>
        <v>0.05</v>
      </c>
      <c r="H383" s="634"/>
      <c r="I383" s="21">
        <f t="shared" si="59"/>
        <v>0.05</v>
      </c>
      <c r="J383" s="634"/>
      <c r="K383" s="21">
        <f t="shared" si="60"/>
        <v>1</v>
      </c>
      <c r="L383" s="634"/>
      <c r="M383" s="21">
        <f t="shared" si="61"/>
        <v>1</v>
      </c>
      <c r="N383" s="634"/>
      <c r="O383" s="21">
        <f t="shared" si="62"/>
        <v>1</v>
      </c>
      <c r="P383" s="634"/>
      <c r="Q383" s="21">
        <f t="shared" si="63"/>
        <v>1</v>
      </c>
      <c r="R383" s="21">
        <f t="shared" si="64"/>
        <v>0</v>
      </c>
      <c r="S383" s="308">
        <f t="shared" si="55"/>
        <v>0</v>
      </c>
    </row>
    <row r="384" spans="1:19">
      <c r="A384" s="142"/>
      <c r="B384" s="52"/>
      <c r="C384" s="21">
        <f t="shared" si="56"/>
        <v>1</v>
      </c>
      <c r="D384" s="634"/>
      <c r="E384" s="21">
        <f t="shared" si="57"/>
        <v>0</v>
      </c>
      <c r="F384" s="634"/>
      <c r="G384" s="21">
        <f t="shared" si="58"/>
        <v>0.05</v>
      </c>
      <c r="H384" s="634"/>
      <c r="I384" s="21">
        <f t="shared" si="59"/>
        <v>0.05</v>
      </c>
      <c r="J384" s="634"/>
      <c r="K384" s="21">
        <f t="shared" si="60"/>
        <v>1</v>
      </c>
      <c r="L384" s="634"/>
      <c r="M384" s="21">
        <f t="shared" si="61"/>
        <v>1</v>
      </c>
      <c r="N384" s="634"/>
      <c r="O384" s="21">
        <f t="shared" si="62"/>
        <v>1</v>
      </c>
      <c r="P384" s="634"/>
      <c r="Q384" s="21">
        <f t="shared" si="63"/>
        <v>1</v>
      </c>
      <c r="R384" s="21">
        <f t="shared" si="64"/>
        <v>0</v>
      </c>
      <c r="S384" s="308">
        <f t="shared" si="55"/>
        <v>0</v>
      </c>
    </row>
    <row r="385" spans="1:19">
      <c r="A385" s="142"/>
      <c r="B385" s="52"/>
      <c r="C385" s="21">
        <f t="shared" si="56"/>
        <v>1</v>
      </c>
      <c r="D385" s="634"/>
      <c r="E385" s="21">
        <f t="shared" si="57"/>
        <v>0</v>
      </c>
      <c r="F385" s="634"/>
      <c r="G385" s="21">
        <f t="shared" si="58"/>
        <v>0.05</v>
      </c>
      <c r="H385" s="634"/>
      <c r="I385" s="21">
        <f t="shared" si="59"/>
        <v>0.05</v>
      </c>
      <c r="J385" s="634"/>
      <c r="K385" s="21">
        <f t="shared" si="60"/>
        <v>1</v>
      </c>
      <c r="L385" s="634"/>
      <c r="M385" s="21">
        <f t="shared" si="61"/>
        <v>1</v>
      </c>
      <c r="N385" s="634"/>
      <c r="O385" s="21">
        <f t="shared" si="62"/>
        <v>1</v>
      </c>
      <c r="P385" s="634"/>
      <c r="Q385" s="21">
        <f t="shared" si="63"/>
        <v>1</v>
      </c>
      <c r="R385" s="21">
        <f t="shared" si="64"/>
        <v>0</v>
      </c>
      <c r="S385" s="308">
        <f t="shared" si="55"/>
        <v>0</v>
      </c>
    </row>
    <row r="386" spans="1:19">
      <c r="A386" s="142"/>
      <c r="B386" s="52"/>
      <c r="C386" s="21">
        <f t="shared" si="56"/>
        <v>1</v>
      </c>
      <c r="D386" s="634"/>
      <c r="E386" s="21">
        <f t="shared" si="57"/>
        <v>0</v>
      </c>
      <c r="F386" s="634"/>
      <c r="G386" s="21">
        <f t="shared" si="58"/>
        <v>0.05</v>
      </c>
      <c r="H386" s="634"/>
      <c r="I386" s="21">
        <f t="shared" si="59"/>
        <v>0.05</v>
      </c>
      <c r="J386" s="634"/>
      <c r="K386" s="21">
        <f t="shared" si="60"/>
        <v>1</v>
      </c>
      <c r="L386" s="634"/>
      <c r="M386" s="21">
        <f t="shared" si="61"/>
        <v>1</v>
      </c>
      <c r="N386" s="634"/>
      <c r="O386" s="21">
        <f t="shared" si="62"/>
        <v>1</v>
      </c>
      <c r="P386" s="634"/>
      <c r="Q386" s="21">
        <f t="shared" si="63"/>
        <v>1</v>
      </c>
      <c r="R386" s="21">
        <f t="shared" si="64"/>
        <v>0</v>
      </c>
      <c r="S386" s="308">
        <f t="shared" si="55"/>
        <v>0</v>
      </c>
    </row>
    <row r="387" spans="1:19">
      <c r="A387" s="142"/>
      <c r="B387" s="52"/>
      <c r="C387" s="21">
        <f t="shared" si="56"/>
        <v>1</v>
      </c>
      <c r="D387" s="634"/>
      <c r="E387" s="21">
        <f t="shared" si="57"/>
        <v>0</v>
      </c>
      <c r="F387" s="634"/>
      <c r="G387" s="21">
        <f t="shared" si="58"/>
        <v>0.05</v>
      </c>
      <c r="H387" s="634"/>
      <c r="I387" s="21">
        <f t="shared" si="59"/>
        <v>0.05</v>
      </c>
      <c r="J387" s="634"/>
      <c r="K387" s="21">
        <f t="shared" si="60"/>
        <v>1</v>
      </c>
      <c r="L387" s="634"/>
      <c r="M387" s="21">
        <f t="shared" si="61"/>
        <v>1</v>
      </c>
      <c r="N387" s="634"/>
      <c r="O387" s="21">
        <f t="shared" si="62"/>
        <v>1</v>
      </c>
      <c r="P387" s="634"/>
      <c r="Q387" s="21">
        <f t="shared" si="63"/>
        <v>1</v>
      </c>
      <c r="R387" s="21">
        <f t="shared" si="64"/>
        <v>0</v>
      </c>
      <c r="S387" s="308">
        <f t="shared" si="55"/>
        <v>0</v>
      </c>
    </row>
    <row r="388" spans="1:19">
      <c r="A388" s="142"/>
      <c r="B388" s="52"/>
      <c r="C388" s="21">
        <f t="shared" si="56"/>
        <v>1</v>
      </c>
      <c r="D388" s="634"/>
      <c r="E388" s="21">
        <f t="shared" si="57"/>
        <v>0</v>
      </c>
      <c r="F388" s="634"/>
      <c r="G388" s="21">
        <f t="shared" si="58"/>
        <v>0.05</v>
      </c>
      <c r="H388" s="634"/>
      <c r="I388" s="21">
        <f t="shared" si="59"/>
        <v>0.05</v>
      </c>
      <c r="J388" s="634"/>
      <c r="K388" s="21">
        <f t="shared" si="60"/>
        <v>1</v>
      </c>
      <c r="L388" s="634"/>
      <c r="M388" s="21">
        <f t="shared" si="61"/>
        <v>1</v>
      </c>
      <c r="N388" s="634"/>
      <c r="O388" s="21">
        <f t="shared" si="62"/>
        <v>1</v>
      </c>
      <c r="P388" s="634"/>
      <c r="Q388" s="21">
        <f t="shared" si="63"/>
        <v>1</v>
      </c>
      <c r="R388" s="21">
        <f t="shared" si="64"/>
        <v>0</v>
      </c>
      <c r="S388" s="308">
        <f t="shared" si="55"/>
        <v>0</v>
      </c>
    </row>
    <row r="389" spans="1:19">
      <c r="A389" s="142"/>
      <c r="B389" s="52"/>
      <c r="C389" s="21">
        <f t="shared" si="56"/>
        <v>1</v>
      </c>
      <c r="D389" s="634"/>
      <c r="E389" s="21">
        <f t="shared" si="57"/>
        <v>0</v>
      </c>
      <c r="F389" s="634"/>
      <c r="G389" s="21">
        <f t="shared" si="58"/>
        <v>0.05</v>
      </c>
      <c r="H389" s="634"/>
      <c r="I389" s="21">
        <f t="shared" si="59"/>
        <v>0.05</v>
      </c>
      <c r="J389" s="634"/>
      <c r="K389" s="21">
        <f t="shared" si="60"/>
        <v>1</v>
      </c>
      <c r="L389" s="634"/>
      <c r="M389" s="21">
        <f t="shared" si="61"/>
        <v>1</v>
      </c>
      <c r="N389" s="634"/>
      <c r="O389" s="21">
        <f t="shared" si="62"/>
        <v>1</v>
      </c>
      <c r="P389" s="634"/>
      <c r="Q389" s="21">
        <f t="shared" si="63"/>
        <v>1</v>
      </c>
      <c r="R389" s="21">
        <f t="shared" si="64"/>
        <v>0</v>
      </c>
      <c r="S389" s="308">
        <f t="shared" si="55"/>
        <v>0</v>
      </c>
    </row>
    <row r="390" spans="1:19">
      <c r="A390" s="142"/>
      <c r="B390" s="52"/>
      <c r="C390" s="21">
        <f t="shared" si="56"/>
        <v>1</v>
      </c>
      <c r="D390" s="634"/>
      <c r="E390" s="21">
        <f t="shared" si="57"/>
        <v>0</v>
      </c>
      <c r="F390" s="634"/>
      <c r="G390" s="21">
        <f t="shared" si="58"/>
        <v>0.05</v>
      </c>
      <c r="H390" s="634"/>
      <c r="I390" s="21">
        <f t="shared" si="59"/>
        <v>0.05</v>
      </c>
      <c r="J390" s="634"/>
      <c r="K390" s="21">
        <f t="shared" si="60"/>
        <v>1</v>
      </c>
      <c r="L390" s="634"/>
      <c r="M390" s="21">
        <f t="shared" si="61"/>
        <v>1</v>
      </c>
      <c r="N390" s="634"/>
      <c r="O390" s="21">
        <f t="shared" si="62"/>
        <v>1</v>
      </c>
      <c r="P390" s="634"/>
      <c r="Q390" s="21">
        <f t="shared" si="63"/>
        <v>1</v>
      </c>
      <c r="R390" s="21">
        <f t="shared" si="64"/>
        <v>0</v>
      </c>
      <c r="S390" s="308">
        <f t="shared" si="55"/>
        <v>0</v>
      </c>
    </row>
    <row r="391" spans="1:19">
      <c r="A391" s="142"/>
      <c r="B391" s="52"/>
      <c r="C391" s="21">
        <f t="shared" si="56"/>
        <v>1</v>
      </c>
      <c r="D391" s="634"/>
      <c r="E391" s="21">
        <f t="shared" si="57"/>
        <v>0</v>
      </c>
      <c r="F391" s="634"/>
      <c r="G391" s="21">
        <f t="shared" si="58"/>
        <v>0.05</v>
      </c>
      <c r="H391" s="634"/>
      <c r="I391" s="21">
        <f t="shared" si="59"/>
        <v>0.05</v>
      </c>
      <c r="J391" s="634"/>
      <c r="K391" s="21">
        <f t="shared" si="60"/>
        <v>1</v>
      </c>
      <c r="L391" s="634"/>
      <c r="M391" s="21">
        <f t="shared" si="61"/>
        <v>1</v>
      </c>
      <c r="N391" s="634"/>
      <c r="O391" s="21">
        <f t="shared" si="62"/>
        <v>1</v>
      </c>
      <c r="P391" s="634"/>
      <c r="Q391" s="21">
        <f t="shared" si="63"/>
        <v>1</v>
      </c>
      <c r="R391" s="21">
        <f t="shared" si="64"/>
        <v>0</v>
      </c>
      <c r="S391" s="308">
        <f t="shared" si="55"/>
        <v>0</v>
      </c>
    </row>
    <row r="392" spans="1:19">
      <c r="A392" s="142"/>
      <c r="B392" s="52"/>
      <c r="C392" s="21">
        <f t="shared" si="56"/>
        <v>1</v>
      </c>
      <c r="D392" s="634"/>
      <c r="E392" s="21">
        <f t="shared" si="57"/>
        <v>0</v>
      </c>
      <c r="F392" s="634"/>
      <c r="G392" s="21">
        <f t="shared" si="58"/>
        <v>0.05</v>
      </c>
      <c r="H392" s="634"/>
      <c r="I392" s="21">
        <f t="shared" si="59"/>
        <v>0.05</v>
      </c>
      <c r="J392" s="634"/>
      <c r="K392" s="21">
        <f t="shared" si="60"/>
        <v>1</v>
      </c>
      <c r="L392" s="634"/>
      <c r="M392" s="21">
        <f t="shared" si="61"/>
        <v>1</v>
      </c>
      <c r="N392" s="634"/>
      <c r="O392" s="21">
        <f t="shared" si="62"/>
        <v>1</v>
      </c>
      <c r="P392" s="634"/>
      <c r="Q392" s="21">
        <f t="shared" si="63"/>
        <v>1</v>
      </c>
      <c r="R392" s="21">
        <f t="shared" si="64"/>
        <v>0</v>
      </c>
      <c r="S392" s="308">
        <f t="shared" si="55"/>
        <v>0</v>
      </c>
    </row>
    <row r="393" spans="1:19">
      <c r="A393" s="142"/>
      <c r="B393" s="52"/>
      <c r="C393" s="21">
        <f t="shared" si="56"/>
        <v>1</v>
      </c>
      <c r="D393" s="634"/>
      <c r="E393" s="21">
        <f t="shared" si="57"/>
        <v>0</v>
      </c>
      <c r="F393" s="634"/>
      <c r="G393" s="21">
        <f t="shared" si="58"/>
        <v>0.05</v>
      </c>
      <c r="H393" s="634"/>
      <c r="I393" s="21">
        <f t="shared" si="59"/>
        <v>0.05</v>
      </c>
      <c r="J393" s="634"/>
      <c r="K393" s="21">
        <f t="shared" si="60"/>
        <v>1</v>
      </c>
      <c r="L393" s="634"/>
      <c r="M393" s="21">
        <f t="shared" si="61"/>
        <v>1</v>
      </c>
      <c r="N393" s="634"/>
      <c r="O393" s="21">
        <f t="shared" si="62"/>
        <v>1</v>
      </c>
      <c r="P393" s="634"/>
      <c r="Q393" s="21">
        <f t="shared" si="63"/>
        <v>1</v>
      </c>
      <c r="R393" s="21">
        <f t="shared" si="64"/>
        <v>0</v>
      </c>
      <c r="S393" s="308">
        <f t="shared" si="55"/>
        <v>0</v>
      </c>
    </row>
    <row r="394" spans="1:19">
      <c r="A394" s="142"/>
      <c r="B394" s="52"/>
      <c r="C394" s="21">
        <f t="shared" si="56"/>
        <v>1</v>
      </c>
      <c r="D394" s="634"/>
      <c r="E394" s="21">
        <f t="shared" si="57"/>
        <v>0</v>
      </c>
      <c r="F394" s="634"/>
      <c r="G394" s="21">
        <f t="shared" si="58"/>
        <v>0.05</v>
      </c>
      <c r="H394" s="634"/>
      <c r="I394" s="21">
        <f t="shared" si="59"/>
        <v>0.05</v>
      </c>
      <c r="J394" s="634"/>
      <c r="K394" s="21">
        <f t="shared" si="60"/>
        <v>1</v>
      </c>
      <c r="L394" s="634"/>
      <c r="M394" s="21">
        <f t="shared" si="61"/>
        <v>1</v>
      </c>
      <c r="N394" s="634"/>
      <c r="O394" s="21">
        <f t="shared" si="62"/>
        <v>1</v>
      </c>
      <c r="P394" s="634"/>
      <c r="Q394" s="21">
        <f t="shared" si="63"/>
        <v>1</v>
      </c>
      <c r="R394" s="21">
        <f t="shared" si="64"/>
        <v>0</v>
      </c>
      <c r="S394" s="308">
        <f t="shared" si="55"/>
        <v>0</v>
      </c>
    </row>
    <row r="395" spans="1:19">
      <c r="A395" s="142"/>
      <c r="B395" s="52"/>
      <c r="C395" s="21">
        <f t="shared" si="56"/>
        <v>1</v>
      </c>
      <c r="D395" s="634"/>
      <c r="E395" s="21">
        <f t="shared" si="57"/>
        <v>0</v>
      </c>
      <c r="F395" s="634"/>
      <c r="G395" s="21">
        <f t="shared" si="58"/>
        <v>0.05</v>
      </c>
      <c r="H395" s="634"/>
      <c r="I395" s="21">
        <f t="shared" si="59"/>
        <v>0.05</v>
      </c>
      <c r="J395" s="634"/>
      <c r="K395" s="21">
        <f t="shared" si="60"/>
        <v>1</v>
      </c>
      <c r="L395" s="634"/>
      <c r="M395" s="21">
        <f t="shared" si="61"/>
        <v>1</v>
      </c>
      <c r="N395" s="634"/>
      <c r="O395" s="21">
        <f t="shared" si="62"/>
        <v>1</v>
      </c>
      <c r="P395" s="634"/>
      <c r="Q395" s="21">
        <f t="shared" si="63"/>
        <v>1</v>
      </c>
      <c r="R395" s="21">
        <f t="shared" si="64"/>
        <v>0</v>
      </c>
      <c r="S395" s="308">
        <f t="shared" si="55"/>
        <v>0</v>
      </c>
    </row>
    <row r="396" spans="1:19">
      <c r="A396" s="142"/>
      <c r="B396" s="52"/>
      <c r="C396" s="21">
        <f t="shared" si="56"/>
        <v>1</v>
      </c>
      <c r="D396" s="634"/>
      <c r="E396" s="21">
        <f t="shared" si="57"/>
        <v>0</v>
      </c>
      <c r="F396" s="634"/>
      <c r="G396" s="21">
        <f t="shared" si="58"/>
        <v>0.05</v>
      </c>
      <c r="H396" s="634"/>
      <c r="I396" s="21">
        <f t="shared" si="59"/>
        <v>0.05</v>
      </c>
      <c r="J396" s="634"/>
      <c r="K396" s="21">
        <f t="shared" si="60"/>
        <v>1</v>
      </c>
      <c r="L396" s="634"/>
      <c r="M396" s="21">
        <f t="shared" si="61"/>
        <v>1</v>
      </c>
      <c r="N396" s="634"/>
      <c r="O396" s="21">
        <f t="shared" si="62"/>
        <v>1</v>
      </c>
      <c r="P396" s="634"/>
      <c r="Q396" s="21">
        <f t="shared" si="63"/>
        <v>1</v>
      </c>
      <c r="R396" s="21">
        <f t="shared" si="64"/>
        <v>0</v>
      </c>
      <c r="S396" s="308">
        <f t="shared" si="55"/>
        <v>0</v>
      </c>
    </row>
    <row r="397" spans="1:19">
      <c r="A397" s="142"/>
      <c r="B397" s="52"/>
      <c r="C397" s="21">
        <f t="shared" si="56"/>
        <v>1</v>
      </c>
      <c r="D397" s="634"/>
      <c r="E397" s="21">
        <f t="shared" si="57"/>
        <v>0</v>
      </c>
      <c r="F397" s="634"/>
      <c r="G397" s="21">
        <f t="shared" si="58"/>
        <v>0.05</v>
      </c>
      <c r="H397" s="634"/>
      <c r="I397" s="21">
        <f t="shared" si="59"/>
        <v>0.05</v>
      </c>
      <c r="J397" s="634"/>
      <c r="K397" s="21">
        <f t="shared" si="60"/>
        <v>1</v>
      </c>
      <c r="L397" s="634"/>
      <c r="M397" s="21">
        <f t="shared" si="61"/>
        <v>1</v>
      </c>
      <c r="N397" s="634"/>
      <c r="O397" s="21">
        <f t="shared" si="62"/>
        <v>1</v>
      </c>
      <c r="P397" s="634"/>
      <c r="Q397" s="21">
        <f t="shared" si="63"/>
        <v>1</v>
      </c>
      <c r="R397" s="21">
        <f t="shared" si="64"/>
        <v>0</v>
      </c>
      <c r="S397" s="308">
        <f t="shared" si="55"/>
        <v>0</v>
      </c>
    </row>
    <row r="398" spans="1:19">
      <c r="A398" s="142"/>
      <c r="B398" s="52"/>
      <c r="C398" s="21">
        <f t="shared" si="56"/>
        <v>1</v>
      </c>
      <c r="D398" s="634"/>
      <c r="E398" s="21">
        <f t="shared" si="57"/>
        <v>0</v>
      </c>
      <c r="F398" s="634"/>
      <c r="G398" s="21">
        <f t="shared" si="58"/>
        <v>0.05</v>
      </c>
      <c r="H398" s="634"/>
      <c r="I398" s="21">
        <f t="shared" si="59"/>
        <v>0.05</v>
      </c>
      <c r="J398" s="634"/>
      <c r="K398" s="21">
        <f t="shared" si="60"/>
        <v>1</v>
      </c>
      <c r="L398" s="634"/>
      <c r="M398" s="21">
        <f t="shared" si="61"/>
        <v>1</v>
      </c>
      <c r="N398" s="634"/>
      <c r="O398" s="21">
        <f t="shared" si="62"/>
        <v>1</v>
      </c>
      <c r="P398" s="634"/>
      <c r="Q398" s="21">
        <f t="shared" si="63"/>
        <v>1</v>
      </c>
      <c r="R398" s="21">
        <f t="shared" si="64"/>
        <v>0</v>
      </c>
      <c r="S398" s="308">
        <f t="shared" si="55"/>
        <v>0</v>
      </c>
    </row>
    <row r="399" spans="1:19">
      <c r="A399" s="142"/>
      <c r="B399" s="52"/>
      <c r="C399" s="21">
        <f t="shared" si="56"/>
        <v>1</v>
      </c>
      <c r="D399" s="634"/>
      <c r="E399" s="21">
        <f t="shared" si="57"/>
        <v>0</v>
      </c>
      <c r="F399" s="634"/>
      <c r="G399" s="21">
        <f t="shared" si="58"/>
        <v>0.05</v>
      </c>
      <c r="H399" s="634"/>
      <c r="I399" s="21">
        <f t="shared" si="59"/>
        <v>0.05</v>
      </c>
      <c r="J399" s="634"/>
      <c r="K399" s="21">
        <f t="shared" si="60"/>
        <v>1</v>
      </c>
      <c r="L399" s="634"/>
      <c r="M399" s="21">
        <f t="shared" si="61"/>
        <v>1</v>
      </c>
      <c r="N399" s="634"/>
      <c r="O399" s="21">
        <f t="shared" si="62"/>
        <v>1</v>
      </c>
      <c r="P399" s="634"/>
      <c r="Q399" s="21">
        <f t="shared" si="63"/>
        <v>1</v>
      </c>
      <c r="R399" s="21">
        <f t="shared" si="64"/>
        <v>0</v>
      </c>
      <c r="S399" s="308">
        <f t="shared" si="55"/>
        <v>0</v>
      </c>
    </row>
    <row r="400" spans="1:19">
      <c r="A400" s="142"/>
      <c r="B400" s="52"/>
      <c r="C400" s="21">
        <f t="shared" si="56"/>
        <v>1</v>
      </c>
      <c r="D400" s="634"/>
      <c r="E400" s="21">
        <f t="shared" si="57"/>
        <v>0</v>
      </c>
      <c r="F400" s="634"/>
      <c r="G400" s="21">
        <f t="shared" si="58"/>
        <v>0.05</v>
      </c>
      <c r="H400" s="634"/>
      <c r="I400" s="21">
        <f t="shared" si="59"/>
        <v>0.05</v>
      </c>
      <c r="J400" s="634"/>
      <c r="K400" s="21">
        <f t="shared" si="60"/>
        <v>1</v>
      </c>
      <c r="L400" s="634"/>
      <c r="M400" s="21">
        <f t="shared" si="61"/>
        <v>1</v>
      </c>
      <c r="N400" s="634"/>
      <c r="O400" s="21">
        <f t="shared" si="62"/>
        <v>1</v>
      </c>
      <c r="P400" s="634"/>
      <c r="Q400" s="21">
        <f t="shared" si="63"/>
        <v>1</v>
      </c>
      <c r="R400" s="21">
        <f t="shared" si="64"/>
        <v>0</v>
      </c>
      <c r="S400" s="308">
        <f t="shared" si="55"/>
        <v>0</v>
      </c>
    </row>
    <row r="401" spans="1:19">
      <c r="A401" s="142"/>
      <c r="B401" s="52"/>
      <c r="C401" s="21">
        <f t="shared" si="56"/>
        <v>1</v>
      </c>
      <c r="D401" s="634"/>
      <c r="E401" s="21">
        <f t="shared" si="57"/>
        <v>0</v>
      </c>
      <c r="F401" s="634"/>
      <c r="G401" s="21">
        <f t="shared" si="58"/>
        <v>0.05</v>
      </c>
      <c r="H401" s="634"/>
      <c r="I401" s="21">
        <f t="shared" si="59"/>
        <v>0.05</v>
      </c>
      <c r="J401" s="634"/>
      <c r="K401" s="21">
        <f t="shared" si="60"/>
        <v>1</v>
      </c>
      <c r="L401" s="634"/>
      <c r="M401" s="21">
        <f t="shared" si="61"/>
        <v>1</v>
      </c>
      <c r="N401" s="634"/>
      <c r="O401" s="21">
        <f t="shared" si="62"/>
        <v>1</v>
      </c>
      <c r="P401" s="634"/>
      <c r="Q401" s="21">
        <f t="shared" si="63"/>
        <v>1</v>
      </c>
      <c r="R401" s="21">
        <f t="shared" si="64"/>
        <v>0</v>
      </c>
      <c r="S401" s="308">
        <f t="shared" si="55"/>
        <v>0</v>
      </c>
    </row>
    <row r="402" spans="1:19">
      <c r="A402" s="142"/>
      <c r="B402" s="52"/>
      <c r="C402" s="21">
        <f t="shared" si="56"/>
        <v>1</v>
      </c>
      <c r="D402" s="634"/>
      <c r="E402" s="21">
        <f t="shared" si="57"/>
        <v>0</v>
      </c>
      <c r="F402" s="634"/>
      <c r="G402" s="21">
        <f t="shared" si="58"/>
        <v>0.05</v>
      </c>
      <c r="H402" s="634"/>
      <c r="I402" s="21">
        <f t="shared" si="59"/>
        <v>0.05</v>
      </c>
      <c r="J402" s="634"/>
      <c r="K402" s="21">
        <f t="shared" si="60"/>
        <v>1</v>
      </c>
      <c r="L402" s="634"/>
      <c r="M402" s="21">
        <f t="shared" si="61"/>
        <v>1</v>
      </c>
      <c r="N402" s="634"/>
      <c r="O402" s="21">
        <f t="shared" si="62"/>
        <v>1</v>
      </c>
      <c r="P402" s="634"/>
      <c r="Q402" s="21">
        <f t="shared" si="63"/>
        <v>1</v>
      </c>
      <c r="R402" s="21">
        <f t="shared" si="64"/>
        <v>0</v>
      </c>
      <c r="S402" s="308">
        <f t="shared" si="55"/>
        <v>0</v>
      </c>
    </row>
    <row r="403" spans="1:19">
      <c r="A403" s="142"/>
      <c r="B403" s="52"/>
      <c r="C403" s="21">
        <f t="shared" si="56"/>
        <v>1</v>
      </c>
      <c r="D403" s="634"/>
      <c r="E403" s="21">
        <f t="shared" si="57"/>
        <v>0</v>
      </c>
      <c r="F403" s="634"/>
      <c r="G403" s="21">
        <f t="shared" si="58"/>
        <v>0.05</v>
      </c>
      <c r="H403" s="634"/>
      <c r="I403" s="21">
        <f t="shared" si="59"/>
        <v>0.05</v>
      </c>
      <c r="J403" s="634"/>
      <c r="K403" s="21">
        <f t="shared" si="60"/>
        <v>1</v>
      </c>
      <c r="L403" s="634"/>
      <c r="M403" s="21">
        <f t="shared" si="61"/>
        <v>1</v>
      </c>
      <c r="N403" s="634"/>
      <c r="O403" s="21">
        <f t="shared" si="62"/>
        <v>1</v>
      </c>
      <c r="P403" s="634"/>
      <c r="Q403" s="21">
        <f t="shared" si="63"/>
        <v>1</v>
      </c>
      <c r="R403" s="21">
        <f t="shared" si="64"/>
        <v>0</v>
      </c>
      <c r="S403" s="308">
        <f t="shared" si="55"/>
        <v>0</v>
      </c>
    </row>
    <row r="404" spans="1:19">
      <c r="A404" s="142"/>
      <c r="B404" s="52"/>
      <c r="C404" s="21">
        <f t="shared" si="56"/>
        <v>1</v>
      </c>
      <c r="D404" s="634"/>
      <c r="E404" s="21">
        <f t="shared" si="57"/>
        <v>0</v>
      </c>
      <c r="F404" s="634"/>
      <c r="G404" s="21">
        <f t="shared" si="58"/>
        <v>0.05</v>
      </c>
      <c r="H404" s="634"/>
      <c r="I404" s="21">
        <f t="shared" si="59"/>
        <v>0.05</v>
      </c>
      <c r="J404" s="634"/>
      <c r="K404" s="21">
        <f t="shared" si="60"/>
        <v>1</v>
      </c>
      <c r="L404" s="634"/>
      <c r="M404" s="21">
        <f t="shared" si="61"/>
        <v>1</v>
      </c>
      <c r="N404" s="634"/>
      <c r="O404" s="21">
        <f t="shared" si="62"/>
        <v>1</v>
      </c>
      <c r="P404" s="634"/>
      <c r="Q404" s="21">
        <f t="shared" si="63"/>
        <v>1</v>
      </c>
      <c r="R404" s="21">
        <f t="shared" si="64"/>
        <v>0</v>
      </c>
      <c r="S404" s="308">
        <f t="shared" si="55"/>
        <v>0</v>
      </c>
    </row>
    <row r="405" spans="1:19">
      <c r="A405" s="142"/>
      <c r="B405" s="52"/>
      <c r="C405" s="21">
        <f t="shared" si="56"/>
        <v>1</v>
      </c>
      <c r="D405" s="634"/>
      <c r="E405" s="21">
        <f t="shared" si="57"/>
        <v>0</v>
      </c>
      <c r="F405" s="634"/>
      <c r="G405" s="21">
        <f t="shared" si="58"/>
        <v>0.05</v>
      </c>
      <c r="H405" s="634"/>
      <c r="I405" s="21">
        <f t="shared" si="59"/>
        <v>0.05</v>
      </c>
      <c r="J405" s="634"/>
      <c r="K405" s="21">
        <f t="shared" si="60"/>
        <v>1</v>
      </c>
      <c r="L405" s="634"/>
      <c r="M405" s="21">
        <f t="shared" si="61"/>
        <v>1</v>
      </c>
      <c r="N405" s="634"/>
      <c r="O405" s="21">
        <f t="shared" si="62"/>
        <v>1</v>
      </c>
      <c r="P405" s="634"/>
      <c r="Q405" s="21">
        <f t="shared" si="63"/>
        <v>1</v>
      </c>
      <c r="R405" s="21">
        <f t="shared" si="64"/>
        <v>0</v>
      </c>
      <c r="S405" s="308">
        <f t="shared" si="55"/>
        <v>0</v>
      </c>
    </row>
    <row r="406" spans="1:19">
      <c r="A406" s="142"/>
      <c r="B406" s="52"/>
      <c r="C406" s="21">
        <f t="shared" si="56"/>
        <v>1</v>
      </c>
      <c r="D406" s="634"/>
      <c r="E406" s="21">
        <f t="shared" si="57"/>
        <v>0</v>
      </c>
      <c r="F406" s="634"/>
      <c r="G406" s="21">
        <f t="shared" si="58"/>
        <v>0.05</v>
      </c>
      <c r="H406" s="634"/>
      <c r="I406" s="21">
        <f t="shared" si="59"/>
        <v>0.05</v>
      </c>
      <c r="J406" s="634"/>
      <c r="K406" s="21">
        <f t="shared" si="60"/>
        <v>1</v>
      </c>
      <c r="L406" s="634"/>
      <c r="M406" s="21">
        <f t="shared" si="61"/>
        <v>1</v>
      </c>
      <c r="N406" s="634"/>
      <c r="O406" s="21">
        <f t="shared" si="62"/>
        <v>1</v>
      </c>
      <c r="P406" s="634"/>
      <c r="Q406" s="21">
        <f t="shared" si="63"/>
        <v>1</v>
      </c>
      <c r="R406" s="21">
        <f t="shared" si="64"/>
        <v>0</v>
      </c>
      <c r="S406" s="308">
        <f t="shared" si="55"/>
        <v>0</v>
      </c>
    </row>
    <row r="407" spans="1:19">
      <c r="A407" s="142"/>
      <c r="B407" s="52"/>
      <c r="C407" s="21">
        <f t="shared" si="56"/>
        <v>1</v>
      </c>
      <c r="D407" s="634"/>
      <c r="E407" s="21">
        <f t="shared" si="57"/>
        <v>0</v>
      </c>
      <c r="F407" s="634"/>
      <c r="G407" s="21">
        <f t="shared" si="58"/>
        <v>0.05</v>
      </c>
      <c r="H407" s="634"/>
      <c r="I407" s="21">
        <f t="shared" si="59"/>
        <v>0.05</v>
      </c>
      <c r="J407" s="634"/>
      <c r="K407" s="21">
        <f t="shared" si="60"/>
        <v>1</v>
      </c>
      <c r="L407" s="634"/>
      <c r="M407" s="21">
        <f t="shared" si="61"/>
        <v>1</v>
      </c>
      <c r="N407" s="634"/>
      <c r="O407" s="21">
        <f t="shared" si="62"/>
        <v>1</v>
      </c>
      <c r="P407" s="634"/>
      <c r="Q407" s="21">
        <f t="shared" si="63"/>
        <v>1</v>
      </c>
      <c r="R407" s="21">
        <f t="shared" si="64"/>
        <v>0</v>
      </c>
      <c r="S407" s="308">
        <f t="shared" si="55"/>
        <v>0</v>
      </c>
    </row>
    <row r="408" spans="1:19">
      <c r="A408" s="142"/>
      <c r="B408" s="52"/>
      <c r="C408" s="21">
        <f t="shared" si="56"/>
        <v>1</v>
      </c>
      <c r="D408" s="634"/>
      <c r="E408" s="21">
        <f t="shared" si="57"/>
        <v>0</v>
      </c>
      <c r="F408" s="634"/>
      <c r="G408" s="21">
        <f t="shared" si="58"/>
        <v>0.05</v>
      </c>
      <c r="H408" s="634"/>
      <c r="I408" s="21">
        <f t="shared" si="59"/>
        <v>0.05</v>
      </c>
      <c r="J408" s="634"/>
      <c r="K408" s="21">
        <f t="shared" si="60"/>
        <v>1</v>
      </c>
      <c r="L408" s="634"/>
      <c r="M408" s="21">
        <f t="shared" si="61"/>
        <v>1</v>
      </c>
      <c r="N408" s="634"/>
      <c r="O408" s="21">
        <f t="shared" si="62"/>
        <v>1</v>
      </c>
      <c r="P408" s="634"/>
      <c r="Q408" s="21">
        <f t="shared" si="63"/>
        <v>1</v>
      </c>
      <c r="R408" s="21">
        <f t="shared" si="64"/>
        <v>0</v>
      </c>
      <c r="S408" s="308">
        <f t="shared" ref="S408:S471" si="65">ROUND(R408*B408/10000,0)</f>
        <v>0</v>
      </c>
    </row>
    <row r="409" spans="1:19">
      <c r="A409" s="142"/>
      <c r="B409" s="52"/>
      <c r="C409" s="21">
        <f t="shared" si="56"/>
        <v>1</v>
      </c>
      <c r="D409" s="634"/>
      <c r="E409" s="21">
        <f t="shared" si="57"/>
        <v>0</v>
      </c>
      <c r="F409" s="634"/>
      <c r="G409" s="21">
        <f t="shared" si="58"/>
        <v>0.05</v>
      </c>
      <c r="H409" s="634"/>
      <c r="I409" s="21">
        <f t="shared" si="59"/>
        <v>0.05</v>
      </c>
      <c r="J409" s="634"/>
      <c r="K409" s="21">
        <f t="shared" si="60"/>
        <v>1</v>
      </c>
      <c r="L409" s="634"/>
      <c r="M409" s="21">
        <f t="shared" si="61"/>
        <v>1</v>
      </c>
      <c r="N409" s="634"/>
      <c r="O409" s="21">
        <f t="shared" si="62"/>
        <v>1</v>
      </c>
      <c r="P409" s="634"/>
      <c r="Q409" s="21">
        <f t="shared" si="63"/>
        <v>1</v>
      </c>
      <c r="R409" s="21">
        <f t="shared" si="64"/>
        <v>0</v>
      </c>
      <c r="S409" s="308">
        <f t="shared" si="65"/>
        <v>0</v>
      </c>
    </row>
    <row r="410" spans="1:19">
      <c r="A410" s="142"/>
      <c r="B410" s="52"/>
      <c r="C410" s="21">
        <f t="shared" ref="C410:C473" si="66">IF(B410="",1,(LOOKUP(B410,$3:$3,$4:$4)-LOOKUP($B$24,$3:$3,$4:$4)+100)/100)</f>
        <v>1</v>
      </c>
      <c r="D410" s="634"/>
      <c r="E410" s="21">
        <f t="shared" ref="E410:E473" si="67">(SUMIF($5:$5,D410,$6:$6)-SUMIF($5:$5,$D$24,$6:$6)+100)/100</f>
        <v>0</v>
      </c>
      <c r="F410" s="634"/>
      <c r="G410" s="21">
        <f t="shared" ref="G410:G473" si="68">(SUMIF($7:$7,F410,$8:$8)-SUMIF($7:$7,$F$24,$8:$8)+100)/100</f>
        <v>0.05</v>
      </c>
      <c r="H410" s="634"/>
      <c r="I410" s="21">
        <f t="shared" ref="I410:I473" si="69">(SUMIF($9:$9,H410,$10:$10)-SUMIF($9:$9,$H$24,$10:$10)+100)/100</f>
        <v>0.05</v>
      </c>
      <c r="J410" s="634"/>
      <c r="K410" s="21">
        <f t="shared" ref="K410:K473" si="70">(SUMIF($11:$11,J410,$12:$12)-SUMIF($11:$11,$J$24,$12:$12)+100)/100</f>
        <v>1</v>
      </c>
      <c r="L410" s="634"/>
      <c r="M410" s="21">
        <f t="shared" ref="M410:M473" si="71">(SUMIF($13:$13,L410,$14:$14)-SUMIF($13:$13,$L$24,$14:$14)+100)/100</f>
        <v>1</v>
      </c>
      <c r="N410" s="634"/>
      <c r="O410" s="21">
        <f t="shared" ref="O410:O473" si="72">(SUMIF($15:$15,N410,$16:$16)-SUMIF($15:$15,$N$24,$16:$16)+100)/100</f>
        <v>1</v>
      </c>
      <c r="P410" s="634"/>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4"/>
      <c r="E411" s="21">
        <f t="shared" si="67"/>
        <v>0</v>
      </c>
      <c r="F411" s="634"/>
      <c r="G411" s="21">
        <f t="shared" si="68"/>
        <v>0.05</v>
      </c>
      <c r="H411" s="634"/>
      <c r="I411" s="21">
        <f t="shared" si="69"/>
        <v>0.05</v>
      </c>
      <c r="J411" s="634"/>
      <c r="K411" s="21">
        <f t="shared" si="70"/>
        <v>1</v>
      </c>
      <c r="L411" s="634"/>
      <c r="M411" s="21">
        <f t="shared" si="71"/>
        <v>1</v>
      </c>
      <c r="N411" s="634"/>
      <c r="O411" s="21">
        <f t="shared" si="72"/>
        <v>1</v>
      </c>
      <c r="P411" s="634"/>
      <c r="Q411" s="21">
        <f t="shared" si="73"/>
        <v>1</v>
      </c>
      <c r="R411" s="21">
        <f t="shared" si="74"/>
        <v>0</v>
      </c>
      <c r="S411" s="308">
        <f t="shared" si="65"/>
        <v>0</v>
      </c>
    </row>
    <row r="412" spans="1:19">
      <c r="A412" s="142"/>
      <c r="B412" s="52"/>
      <c r="C412" s="21">
        <f t="shared" si="66"/>
        <v>1</v>
      </c>
      <c r="D412" s="634"/>
      <c r="E412" s="21">
        <f t="shared" si="67"/>
        <v>0</v>
      </c>
      <c r="F412" s="634"/>
      <c r="G412" s="21">
        <f t="shared" si="68"/>
        <v>0.05</v>
      </c>
      <c r="H412" s="634"/>
      <c r="I412" s="21">
        <f t="shared" si="69"/>
        <v>0.05</v>
      </c>
      <c r="J412" s="634"/>
      <c r="K412" s="21">
        <f t="shared" si="70"/>
        <v>1</v>
      </c>
      <c r="L412" s="634"/>
      <c r="M412" s="21">
        <f t="shared" si="71"/>
        <v>1</v>
      </c>
      <c r="N412" s="634"/>
      <c r="O412" s="21">
        <f t="shared" si="72"/>
        <v>1</v>
      </c>
      <c r="P412" s="634"/>
      <c r="Q412" s="21">
        <f t="shared" si="73"/>
        <v>1</v>
      </c>
      <c r="R412" s="21">
        <f t="shared" si="74"/>
        <v>0</v>
      </c>
      <c r="S412" s="308">
        <f t="shared" si="65"/>
        <v>0</v>
      </c>
    </row>
    <row r="413" spans="1:19">
      <c r="A413" s="142"/>
      <c r="B413" s="52"/>
      <c r="C413" s="21">
        <f t="shared" si="66"/>
        <v>1</v>
      </c>
      <c r="D413" s="634"/>
      <c r="E413" s="21">
        <f t="shared" si="67"/>
        <v>0</v>
      </c>
      <c r="F413" s="634"/>
      <c r="G413" s="21">
        <f t="shared" si="68"/>
        <v>0.05</v>
      </c>
      <c r="H413" s="634"/>
      <c r="I413" s="21">
        <f t="shared" si="69"/>
        <v>0.05</v>
      </c>
      <c r="J413" s="634"/>
      <c r="K413" s="21">
        <f t="shared" si="70"/>
        <v>1</v>
      </c>
      <c r="L413" s="634"/>
      <c r="M413" s="21">
        <f t="shared" si="71"/>
        <v>1</v>
      </c>
      <c r="N413" s="634"/>
      <c r="O413" s="21">
        <f t="shared" si="72"/>
        <v>1</v>
      </c>
      <c r="P413" s="634"/>
      <c r="Q413" s="21">
        <f t="shared" si="73"/>
        <v>1</v>
      </c>
      <c r="R413" s="21">
        <f t="shared" si="74"/>
        <v>0</v>
      </c>
      <c r="S413" s="308">
        <f t="shared" si="65"/>
        <v>0</v>
      </c>
    </row>
    <row r="414" spans="1:19">
      <c r="A414" s="142"/>
      <c r="B414" s="52"/>
      <c r="C414" s="21">
        <f t="shared" si="66"/>
        <v>1</v>
      </c>
      <c r="D414" s="634"/>
      <c r="E414" s="21">
        <f t="shared" si="67"/>
        <v>0</v>
      </c>
      <c r="F414" s="634"/>
      <c r="G414" s="21">
        <f t="shared" si="68"/>
        <v>0.05</v>
      </c>
      <c r="H414" s="634"/>
      <c r="I414" s="21">
        <f t="shared" si="69"/>
        <v>0.05</v>
      </c>
      <c r="J414" s="634"/>
      <c r="K414" s="21">
        <f t="shared" si="70"/>
        <v>1</v>
      </c>
      <c r="L414" s="634"/>
      <c r="M414" s="21">
        <f t="shared" si="71"/>
        <v>1</v>
      </c>
      <c r="N414" s="634"/>
      <c r="O414" s="21">
        <f t="shared" si="72"/>
        <v>1</v>
      </c>
      <c r="P414" s="634"/>
      <c r="Q414" s="21">
        <f t="shared" si="73"/>
        <v>1</v>
      </c>
      <c r="R414" s="21">
        <f t="shared" si="74"/>
        <v>0</v>
      </c>
      <c r="S414" s="308">
        <f t="shared" si="65"/>
        <v>0</v>
      </c>
    </row>
    <row r="415" spans="1:19">
      <c r="A415" s="142"/>
      <c r="B415" s="52"/>
      <c r="C415" s="21">
        <f t="shared" si="66"/>
        <v>1</v>
      </c>
      <c r="D415" s="634"/>
      <c r="E415" s="21">
        <f t="shared" si="67"/>
        <v>0</v>
      </c>
      <c r="F415" s="634"/>
      <c r="G415" s="21">
        <f t="shared" si="68"/>
        <v>0.05</v>
      </c>
      <c r="H415" s="634"/>
      <c r="I415" s="21">
        <f t="shared" si="69"/>
        <v>0.05</v>
      </c>
      <c r="J415" s="634"/>
      <c r="K415" s="21">
        <f t="shared" si="70"/>
        <v>1</v>
      </c>
      <c r="L415" s="634"/>
      <c r="M415" s="21">
        <f t="shared" si="71"/>
        <v>1</v>
      </c>
      <c r="N415" s="634"/>
      <c r="O415" s="21">
        <f t="shared" si="72"/>
        <v>1</v>
      </c>
      <c r="P415" s="634"/>
      <c r="Q415" s="21">
        <f t="shared" si="73"/>
        <v>1</v>
      </c>
      <c r="R415" s="21">
        <f t="shared" si="74"/>
        <v>0</v>
      </c>
      <c r="S415" s="308">
        <f t="shared" si="65"/>
        <v>0</v>
      </c>
    </row>
    <row r="416" spans="1:19">
      <c r="A416" s="142"/>
      <c r="B416" s="52"/>
      <c r="C416" s="21">
        <f t="shared" si="66"/>
        <v>1</v>
      </c>
      <c r="D416" s="634"/>
      <c r="E416" s="21">
        <f t="shared" si="67"/>
        <v>0</v>
      </c>
      <c r="F416" s="634"/>
      <c r="G416" s="21">
        <f t="shared" si="68"/>
        <v>0.05</v>
      </c>
      <c r="H416" s="634"/>
      <c r="I416" s="21">
        <f t="shared" si="69"/>
        <v>0.05</v>
      </c>
      <c r="J416" s="634"/>
      <c r="K416" s="21">
        <f t="shared" si="70"/>
        <v>1</v>
      </c>
      <c r="L416" s="634"/>
      <c r="M416" s="21">
        <f t="shared" si="71"/>
        <v>1</v>
      </c>
      <c r="N416" s="634"/>
      <c r="O416" s="21">
        <f t="shared" si="72"/>
        <v>1</v>
      </c>
      <c r="P416" s="634"/>
      <c r="Q416" s="21">
        <f t="shared" si="73"/>
        <v>1</v>
      </c>
      <c r="R416" s="21">
        <f t="shared" si="74"/>
        <v>0</v>
      </c>
      <c r="S416" s="308">
        <f t="shared" si="65"/>
        <v>0</v>
      </c>
    </row>
    <row r="417" spans="1:19">
      <c r="A417" s="142"/>
      <c r="B417" s="52"/>
      <c r="C417" s="21">
        <f t="shared" si="66"/>
        <v>1</v>
      </c>
      <c r="D417" s="634"/>
      <c r="E417" s="21">
        <f t="shared" si="67"/>
        <v>0</v>
      </c>
      <c r="F417" s="634"/>
      <c r="G417" s="21">
        <f t="shared" si="68"/>
        <v>0.05</v>
      </c>
      <c r="H417" s="634"/>
      <c r="I417" s="21">
        <f t="shared" si="69"/>
        <v>0.05</v>
      </c>
      <c r="J417" s="634"/>
      <c r="K417" s="21">
        <f t="shared" si="70"/>
        <v>1</v>
      </c>
      <c r="L417" s="634"/>
      <c r="M417" s="21">
        <f t="shared" si="71"/>
        <v>1</v>
      </c>
      <c r="N417" s="634"/>
      <c r="O417" s="21">
        <f t="shared" si="72"/>
        <v>1</v>
      </c>
      <c r="P417" s="634"/>
      <c r="Q417" s="21">
        <f t="shared" si="73"/>
        <v>1</v>
      </c>
      <c r="R417" s="21">
        <f t="shared" si="74"/>
        <v>0</v>
      </c>
      <c r="S417" s="308">
        <f t="shared" si="65"/>
        <v>0</v>
      </c>
    </row>
    <row r="418" spans="1:19">
      <c r="A418" s="142"/>
      <c r="B418" s="52"/>
      <c r="C418" s="21">
        <f t="shared" si="66"/>
        <v>1</v>
      </c>
      <c r="D418" s="634"/>
      <c r="E418" s="21">
        <f t="shared" si="67"/>
        <v>0</v>
      </c>
      <c r="F418" s="634"/>
      <c r="G418" s="21">
        <f t="shared" si="68"/>
        <v>0.05</v>
      </c>
      <c r="H418" s="634"/>
      <c r="I418" s="21">
        <f t="shared" si="69"/>
        <v>0.05</v>
      </c>
      <c r="J418" s="634"/>
      <c r="K418" s="21">
        <f t="shared" si="70"/>
        <v>1</v>
      </c>
      <c r="L418" s="634"/>
      <c r="M418" s="21">
        <f t="shared" si="71"/>
        <v>1</v>
      </c>
      <c r="N418" s="634"/>
      <c r="O418" s="21">
        <f t="shared" si="72"/>
        <v>1</v>
      </c>
      <c r="P418" s="634"/>
      <c r="Q418" s="21">
        <f t="shared" si="73"/>
        <v>1</v>
      </c>
      <c r="R418" s="21">
        <f t="shared" si="74"/>
        <v>0</v>
      </c>
      <c r="S418" s="308">
        <f t="shared" si="65"/>
        <v>0</v>
      </c>
    </row>
    <row r="419" spans="1:19">
      <c r="A419" s="142"/>
      <c r="B419" s="52"/>
      <c r="C419" s="21">
        <f t="shared" si="66"/>
        <v>1</v>
      </c>
      <c r="D419" s="634"/>
      <c r="E419" s="21">
        <f t="shared" si="67"/>
        <v>0</v>
      </c>
      <c r="F419" s="634"/>
      <c r="G419" s="21">
        <f t="shared" si="68"/>
        <v>0.05</v>
      </c>
      <c r="H419" s="634"/>
      <c r="I419" s="21">
        <f t="shared" si="69"/>
        <v>0.05</v>
      </c>
      <c r="J419" s="634"/>
      <c r="K419" s="21">
        <f t="shared" si="70"/>
        <v>1</v>
      </c>
      <c r="L419" s="634"/>
      <c r="M419" s="21">
        <f t="shared" si="71"/>
        <v>1</v>
      </c>
      <c r="N419" s="634"/>
      <c r="O419" s="21">
        <f t="shared" si="72"/>
        <v>1</v>
      </c>
      <c r="P419" s="634"/>
      <c r="Q419" s="21">
        <f t="shared" si="73"/>
        <v>1</v>
      </c>
      <c r="R419" s="21">
        <f t="shared" si="74"/>
        <v>0</v>
      </c>
      <c r="S419" s="308">
        <f t="shared" si="65"/>
        <v>0</v>
      </c>
    </row>
    <row r="420" spans="1:19">
      <c r="A420" s="142"/>
      <c r="B420" s="52"/>
      <c r="C420" s="21">
        <f t="shared" si="66"/>
        <v>1</v>
      </c>
      <c r="D420" s="634"/>
      <c r="E420" s="21">
        <f t="shared" si="67"/>
        <v>0</v>
      </c>
      <c r="F420" s="634"/>
      <c r="G420" s="21">
        <f t="shared" si="68"/>
        <v>0.05</v>
      </c>
      <c r="H420" s="634"/>
      <c r="I420" s="21">
        <f t="shared" si="69"/>
        <v>0.05</v>
      </c>
      <c r="J420" s="634"/>
      <c r="K420" s="21">
        <f t="shared" si="70"/>
        <v>1</v>
      </c>
      <c r="L420" s="634"/>
      <c r="M420" s="21">
        <f t="shared" si="71"/>
        <v>1</v>
      </c>
      <c r="N420" s="634"/>
      <c r="O420" s="21">
        <f t="shared" si="72"/>
        <v>1</v>
      </c>
      <c r="P420" s="634"/>
      <c r="Q420" s="21">
        <f t="shared" si="73"/>
        <v>1</v>
      </c>
      <c r="R420" s="21">
        <f t="shared" si="74"/>
        <v>0</v>
      </c>
      <c r="S420" s="308">
        <f t="shared" si="65"/>
        <v>0</v>
      </c>
    </row>
    <row r="421" spans="1:19">
      <c r="A421" s="142"/>
      <c r="B421" s="52"/>
      <c r="C421" s="21">
        <f t="shared" si="66"/>
        <v>1</v>
      </c>
      <c r="D421" s="634"/>
      <c r="E421" s="21">
        <f t="shared" si="67"/>
        <v>0</v>
      </c>
      <c r="F421" s="634"/>
      <c r="G421" s="21">
        <f t="shared" si="68"/>
        <v>0.05</v>
      </c>
      <c r="H421" s="634"/>
      <c r="I421" s="21">
        <f t="shared" si="69"/>
        <v>0.05</v>
      </c>
      <c r="J421" s="634"/>
      <c r="K421" s="21">
        <f t="shared" si="70"/>
        <v>1</v>
      </c>
      <c r="L421" s="634"/>
      <c r="M421" s="21">
        <f t="shared" si="71"/>
        <v>1</v>
      </c>
      <c r="N421" s="634"/>
      <c r="O421" s="21">
        <f t="shared" si="72"/>
        <v>1</v>
      </c>
      <c r="P421" s="634"/>
      <c r="Q421" s="21">
        <f t="shared" si="73"/>
        <v>1</v>
      </c>
      <c r="R421" s="21">
        <f t="shared" si="74"/>
        <v>0</v>
      </c>
      <c r="S421" s="308">
        <f t="shared" si="65"/>
        <v>0</v>
      </c>
    </row>
    <row r="422" spans="1:19">
      <c r="A422" s="142"/>
      <c r="B422" s="52"/>
      <c r="C422" s="21">
        <f t="shared" si="66"/>
        <v>1</v>
      </c>
      <c r="D422" s="634"/>
      <c r="E422" s="21">
        <f t="shared" si="67"/>
        <v>0</v>
      </c>
      <c r="F422" s="634"/>
      <c r="G422" s="21">
        <f t="shared" si="68"/>
        <v>0.05</v>
      </c>
      <c r="H422" s="634"/>
      <c r="I422" s="21">
        <f t="shared" si="69"/>
        <v>0.05</v>
      </c>
      <c r="J422" s="634"/>
      <c r="K422" s="21">
        <f t="shared" si="70"/>
        <v>1</v>
      </c>
      <c r="L422" s="634"/>
      <c r="M422" s="21">
        <f t="shared" si="71"/>
        <v>1</v>
      </c>
      <c r="N422" s="634"/>
      <c r="O422" s="21">
        <f t="shared" si="72"/>
        <v>1</v>
      </c>
      <c r="P422" s="634"/>
      <c r="Q422" s="21">
        <f t="shared" si="73"/>
        <v>1</v>
      </c>
      <c r="R422" s="21">
        <f t="shared" si="74"/>
        <v>0</v>
      </c>
      <c r="S422" s="308">
        <f t="shared" si="65"/>
        <v>0</v>
      </c>
    </row>
    <row r="423" spans="1:19">
      <c r="A423" s="142"/>
      <c r="B423" s="52"/>
      <c r="C423" s="21">
        <f t="shared" si="66"/>
        <v>1</v>
      </c>
      <c r="D423" s="634"/>
      <c r="E423" s="21">
        <f t="shared" si="67"/>
        <v>0</v>
      </c>
      <c r="F423" s="634"/>
      <c r="G423" s="21">
        <f t="shared" si="68"/>
        <v>0.05</v>
      </c>
      <c r="H423" s="634"/>
      <c r="I423" s="21">
        <f t="shared" si="69"/>
        <v>0.05</v>
      </c>
      <c r="J423" s="634"/>
      <c r="K423" s="21">
        <f t="shared" si="70"/>
        <v>1</v>
      </c>
      <c r="L423" s="634"/>
      <c r="M423" s="21">
        <f t="shared" si="71"/>
        <v>1</v>
      </c>
      <c r="N423" s="634"/>
      <c r="O423" s="21">
        <f t="shared" si="72"/>
        <v>1</v>
      </c>
      <c r="P423" s="634"/>
      <c r="Q423" s="21">
        <f t="shared" si="73"/>
        <v>1</v>
      </c>
      <c r="R423" s="21">
        <f t="shared" si="74"/>
        <v>0</v>
      </c>
      <c r="S423" s="308">
        <f t="shared" si="65"/>
        <v>0</v>
      </c>
    </row>
    <row r="424" spans="1:19">
      <c r="A424" s="142"/>
      <c r="B424" s="52"/>
      <c r="C424" s="21">
        <f t="shared" si="66"/>
        <v>1</v>
      </c>
      <c r="D424" s="634"/>
      <c r="E424" s="21">
        <f t="shared" si="67"/>
        <v>0</v>
      </c>
      <c r="F424" s="634"/>
      <c r="G424" s="21">
        <f t="shared" si="68"/>
        <v>0.05</v>
      </c>
      <c r="H424" s="634"/>
      <c r="I424" s="21">
        <f t="shared" si="69"/>
        <v>0.05</v>
      </c>
      <c r="J424" s="634"/>
      <c r="K424" s="21">
        <f t="shared" si="70"/>
        <v>1</v>
      </c>
      <c r="L424" s="634"/>
      <c r="M424" s="21">
        <f t="shared" si="71"/>
        <v>1</v>
      </c>
      <c r="N424" s="634"/>
      <c r="O424" s="21">
        <f t="shared" si="72"/>
        <v>1</v>
      </c>
      <c r="P424" s="634"/>
      <c r="Q424" s="21">
        <f t="shared" si="73"/>
        <v>1</v>
      </c>
      <c r="R424" s="21">
        <f t="shared" si="74"/>
        <v>0</v>
      </c>
      <c r="S424" s="308">
        <f t="shared" si="65"/>
        <v>0</v>
      </c>
    </row>
    <row r="425" spans="1:19">
      <c r="A425" s="142"/>
      <c r="B425" s="52"/>
      <c r="C425" s="21">
        <f t="shared" si="66"/>
        <v>1</v>
      </c>
      <c r="D425" s="634"/>
      <c r="E425" s="21">
        <f t="shared" si="67"/>
        <v>0</v>
      </c>
      <c r="F425" s="634"/>
      <c r="G425" s="21">
        <f t="shared" si="68"/>
        <v>0.05</v>
      </c>
      <c r="H425" s="634"/>
      <c r="I425" s="21">
        <f t="shared" si="69"/>
        <v>0.05</v>
      </c>
      <c r="J425" s="634"/>
      <c r="K425" s="21">
        <f t="shared" si="70"/>
        <v>1</v>
      </c>
      <c r="L425" s="634"/>
      <c r="M425" s="21">
        <f t="shared" si="71"/>
        <v>1</v>
      </c>
      <c r="N425" s="634"/>
      <c r="O425" s="21">
        <f t="shared" si="72"/>
        <v>1</v>
      </c>
      <c r="P425" s="634"/>
      <c r="Q425" s="21">
        <f t="shared" si="73"/>
        <v>1</v>
      </c>
      <c r="R425" s="21">
        <f t="shared" si="74"/>
        <v>0</v>
      </c>
      <c r="S425" s="308">
        <f t="shared" si="65"/>
        <v>0</v>
      </c>
    </row>
    <row r="426" spans="1:19">
      <c r="A426" s="142"/>
      <c r="B426" s="52"/>
      <c r="C426" s="21">
        <f t="shared" si="66"/>
        <v>1</v>
      </c>
      <c r="D426" s="634"/>
      <c r="E426" s="21">
        <f t="shared" si="67"/>
        <v>0</v>
      </c>
      <c r="F426" s="634"/>
      <c r="G426" s="21">
        <f t="shared" si="68"/>
        <v>0.05</v>
      </c>
      <c r="H426" s="634"/>
      <c r="I426" s="21">
        <f t="shared" si="69"/>
        <v>0.05</v>
      </c>
      <c r="J426" s="634"/>
      <c r="K426" s="21">
        <f t="shared" si="70"/>
        <v>1</v>
      </c>
      <c r="L426" s="634"/>
      <c r="M426" s="21">
        <f t="shared" si="71"/>
        <v>1</v>
      </c>
      <c r="N426" s="634"/>
      <c r="O426" s="21">
        <f t="shared" si="72"/>
        <v>1</v>
      </c>
      <c r="P426" s="634"/>
      <c r="Q426" s="21">
        <f t="shared" si="73"/>
        <v>1</v>
      </c>
      <c r="R426" s="21">
        <f t="shared" si="74"/>
        <v>0</v>
      </c>
      <c r="S426" s="308">
        <f t="shared" si="65"/>
        <v>0</v>
      </c>
    </row>
    <row r="427" spans="1:19">
      <c r="A427" s="142"/>
      <c r="B427" s="52"/>
      <c r="C427" s="21">
        <f t="shared" si="66"/>
        <v>1</v>
      </c>
      <c r="D427" s="634"/>
      <c r="E427" s="21">
        <f t="shared" si="67"/>
        <v>0</v>
      </c>
      <c r="F427" s="634"/>
      <c r="G427" s="21">
        <f t="shared" si="68"/>
        <v>0.05</v>
      </c>
      <c r="H427" s="634"/>
      <c r="I427" s="21">
        <f t="shared" si="69"/>
        <v>0.05</v>
      </c>
      <c r="J427" s="634"/>
      <c r="K427" s="21">
        <f t="shared" si="70"/>
        <v>1</v>
      </c>
      <c r="L427" s="634"/>
      <c r="M427" s="21">
        <f t="shared" si="71"/>
        <v>1</v>
      </c>
      <c r="N427" s="634"/>
      <c r="O427" s="21">
        <f t="shared" si="72"/>
        <v>1</v>
      </c>
      <c r="P427" s="634"/>
      <c r="Q427" s="21">
        <f t="shared" si="73"/>
        <v>1</v>
      </c>
      <c r="R427" s="21">
        <f t="shared" si="74"/>
        <v>0</v>
      </c>
      <c r="S427" s="308">
        <f t="shared" si="65"/>
        <v>0</v>
      </c>
    </row>
    <row r="428" spans="1:19">
      <c r="A428" s="142"/>
      <c r="B428" s="52"/>
      <c r="C428" s="21">
        <f t="shared" si="66"/>
        <v>1</v>
      </c>
      <c r="D428" s="634"/>
      <c r="E428" s="21">
        <f t="shared" si="67"/>
        <v>0</v>
      </c>
      <c r="F428" s="634"/>
      <c r="G428" s="21">
        <f t="shared" si="68"/>
        <v>0.05</v>
      </c>
      <c r="H428" s="634"/>
      <c r="I428" s="21">
        <f t="shared" si="69"/>
        <v>0.05</v>
      </c>
      <c r="J428" s="634"/>
      <c r="K428" s="21">
        <f t="shared" si="70"/>
        <v>1</v>
      </c>
      <c r="L428" s="634"/>
      <c r="M428" s="21">
        <f t="shared" si="71"/>
        <v>1</v>
      </c>
      <c r="N428" s="634"/>
      <c r="O428" s="21">
        <f t="shared" si="72"/>
        <v>1</v>
      </c>
      <c r="P428" s="634"/>
      <c r="Q428" s="21">
        <f t="shared" si="73"/>
        <v>1</v>
      </c>
      <c r="R428" s="21">
        <f t="shared" si="74"/>
        <v>0</v>
      </c>
      <c r="S428" s="308">
        <f t="shared" si="65"/>
        <v>0</v>
      </c>
    </row>
    <row r="429" spans="1:19">
      <c r="A429" s="142"/>
      <c r="B429" s="52"/>
      <c r="C429" s="21">
        <f t="shared" si="66"/>
        <v>1</v>
      </c>
      <c r="D429" s="634"/>
      <c r="E429" s="21">
        <f t="shared" si="67"/>
        <v>0</v>
      </c>
      <c r="F429" s="634"/>
      <c r="G429" s="21">
        <f t="shared" si="68"/>
        <v>0.05</v>
      </c>
      <c r="H429" s="634"/>
      <c r="I429" s="21">
        <f t="shared" si="69"/>
        <v>0.05</v>
      </c>
      <c r="J429" s="634"/>
      <c r="K429" s="21">
        <f t="shared" si="70"/>
        <v>1</v>
      </c>
      <c r="L429" s="634"/>
      <c r="M429" s="21">
        <f t="shared" si="71"/>
        <v>1</v>
      </c>
      <c r="N429" s="634"/>
      <c r="O429" s="21">
        <f t="shared" si="72"/>
        <v>1</v>
      </c>
      <c r="P429" s="634"/>
      <c r="Q429" s="21">
        <f t="shared" si="73"/>
        <v>1</v>
      </c>
      <c r="R429" s="21">
        <f t="shared" si="74"/>
        <v>0</v>
      </c>
      <c r="S429" s="308">
        <f t="shared" si="65"/>
        <v>0</v>
      </c>
    </row>
    <row r="430" spans="1:19">
      <c r="A430" s="142"/>
      <c r="B430" s="52"/>
      <c r="C430" s="21">
        <f t="shared" si="66"/>
        <v>1</v>
      </c>
      <c r="D430" s="634"/>
      <c r="E430" s="21">
        <f t="shared" si="67"/>
        <v>0</v>
      </c>
      <c r="F430" s="634"/>
      <c r="G430" s="21">
        <f t="shared" si="68"/>
        <v>0.05</v>
      </c>
      <c r="H430" s="634"/>
      <c r="I430" s="21">
        <f t="shared" si="69"/>
        <v>0.05</v>
      </c>
      <c r="J430" s="634"/>
      <c r="K430" s="21">
        <f t="shared" si="70"/>
        <v>1</v>
      </c>
      <c r="L430" s="634"/>
      <c r="M430" s="21">
        <f t="shared" si="71"/>
        <v>1</v>
      </c>
      <c r="N430" s="634"/>
      <c r="O430" s="21">
        <f t="shared" si="72"/>
        <v>1</v>
      </c>
      <c r="P430" s="634"/>
      <c r="Q430" s="21">
        <f t="shared" si="73"/>
        <v>1</v>
      </c>
      <c r="R430" s="21">
        <f t="shared" si="74"/>
        <v>0</v>
      </c>
      <c r="S430" s="308">
        <f t="shared" si="65"/>
        <v>0</v>
      </c>
    </row>
    <row r="431" spans="1:19">
      <c r="A431" s="142"/>
      <c r="B431" s="52"/>
      <c r="C431" s="21">
        <f t="shared" si="66"/>
        <v>1</v>
      </c>
      <c r="D431" s="634"/>
      <c r="E431" s="21">
        <f t="shared" si="67"/>
        <v>0</v>
      </c>
      <c r="F431" s="634"/>
      <c r="G431" s="21">
        <f t="shared" si="68"/>
        <v>0.05</v>
      </c>
      <c r="H431" s="634"/>
      <c r="I431" s="21">
        <f t="shared" si="69"/>
        <v>0.05</v>
      </c>
      <c r="J431" s="634"/>
      <c r="K431" s="21">
        <f t="shared" si="70"/>
        <v>1</v>
      </c>
      <c r="L431" s="634"/>
      <c r="M431" s="21">
        <f t="shared" si="71"/>
        <v>1</v>
      </c>
      <c r="N431" s="634"/>
      <c r="O431" s="21">
        <f t="shared" si="72"/>
        <v>1</v>
      </c>
      <c r="P431" s="634"/>
      <c r="Q431" s="21">
        <f t="shared" si="73"/>
        <v>1</v>
      </c>
      <c r="R431" s="21">
        <f t="shared" si="74"/>
        <v>0</v>
      </c>
      <c r="S431" s="308">
        <f t="shared" si="65"/>
        <v>0</v>
      </c>
    </row>
    <row r="432" spans="1:19">
      <c r="A432" s="142"/>
      <c r="B432" s="52"/>
      <c r="C432" s="21">
        <f t="shared" si="66"/>
        <v>1</v>
      </c>
      <c r="D432" s="634"/>
      <c r="E432" s="21">
        <f t="shared" si="67"/>
        <v>0</v>
      </c>
      <c r="F432" s="634"/>
      <c r="G432" s="21">
        <f t="shared" si="68"/>
        <v>0.05</v>
      </c>
      <c r="H432" s="634"/>
      <c r="I432" s="21">
        <f t="shared" si="69"/>
        <v>0.05</v>
      </c>
      <c r="J432" s="634"/>
      <c r="K432" s="21">
        <f t="shared" si="70"/>
        <v>1</v>
      </c>
      <c r="L432" s="634"/>
      <c r="M432" s="21">
        <f t="shared" si="71"/>
        <v>1</v>
      </c>
      <c r="N432" s="634"/>
      <c r="O432" s="21">
        <f t="shared" si="72"/>
        <v>1</v>
      </c>
      <c r="P432" s="634"/>
      <c r="Q432" s="21">
        <f t="shared" si="73"/>
        <v>1</v>
      </c>
      <c r="R432" s="21">
        <f t="shared" si="74"/>
        <v>0</v>
      </c>
      <c r="S432" s="308">
        <f t="shared" si="65"/>
        <v>0</v>
      </c>
    </row>
    <row r="433" spans="1:19">
      <c r="A433" s="142"/>
      <c r="B433" s="52"/>
      <c r="C433" s="21">
        <f t="shared" si="66"/>
        <v>1</v>
      </c>
      <c r="D433" s="634"/>
      <c r="E433" s="21">
        <f t="shared" si="67"/>
        <v>0</v>
      </c>
      <c r="F433" s="634"/>
      <c r="G433" s="21">
        <f t="shared" si="68"/>
        <v>0.05</v>
      </c>
      <c r="H433" s="634"/>
      <c r="I433" s="21">
        <f t="shared" si="69"/>
        <v>0.05</v>
      </c>
      <c r="J433" s="634"/>
      <c r="K433" s="21">
        <f t="shared" si="70"/>
        <v>1</v>
      </c>
      <c r="L433" s="634"/>
      <c r="M433" s="21">
        <f t="shared" si="71"/>
        <v>1</v>
      </c>
      <c r="N433" s="634"/>
      <c r="O433" s="21">
        <f t="shared" si="72"/>
        <v>1</v>
      </c>
      <c r="P433" s="634"/>
      <c r="Q433" s="21">
        <f t="shared" si="73"/>
        <v>1</v>
      </c>
      <c r="R433" s="21">
        <f t="shared" si="74"/>
        <v>0</v>
      </c>
      <c r="S433" s="308">
        <f t="shared" si="65"/>
        <v>0</v>
      </c>
    </row>
    <row r="434" spans="1:19">
      <c r="A434" s="142"/>
      <c r="B434" s="52"/>
      <c r="C434" s="21">
        <f t="shared" si="66"/>
        <v>1</v>
      </c>
      <c r="D434" s="634"/>
      <c r="E434" s="21">
        <f t="shared" si="67"/>
        <v>0</v>
      </c>
      <c r="F434" s="634"/>
      <c r="G434" s="21">
        <f t="shared" si="68"/>
        <v>0.05</v>
      </c>
      <c r="H434" s="634"/>
      <c r="I434" s="21">
        <f t="shared" si="69"/>
        <v>0.05</v>
      </c>
      <c r="J434" s="634"/>
      <c r="K434" s="21">
        <f t="shared" si="70"/>
        <v>1</v>
      </c>
      <c r="L434" s="634"/>
      <c r="M434" s="21">
        <f t="shared" si="71"/>
        <v>1</v>
      </c>
      <c r="N434" s="634"/>
      <c r="O434" s="21">
        <f t="shared" si="72"/>
        <v>1</v>
      </c>
      <c r="P434" s="634"/>
      <c r="Q434" s="21">
        <f t="shared" si="73"/>
        <v>1</v>
      </c>
      <c r="R434" s="21">
        <f t="shared" si="74"/>
        <v>0</v>
      </c>
      <c r="S434" s="308">
        <f t="shared" si="65"/>
        <v>0</v>
      </c>
    </row>
    <row r="435" spans="1:19">
      <c r="A435" s="142"/>
      <c r="B435" s="52"/>
      <c r="C435" s="21">
        <f t="shared" si="66"/>
        <v>1</v>
      </c>
      <c r="D435" s="634"/>
      <c r="E435" s="21">
        <f t="shared" si="67"/>
        <v>0</v>
      </c>
      <c r="F435" s="634"/>
      <c r="G435" s="21">
        <f t="shared" si="68"/>
        <v>0.05</v>
      </c>
      <c r="H435" s="634"/>
      <c r="I435" s="21">
        <f t="shared" si="69"/>
        <v>0.05</v>
      </c>
      <c r="J435" s="634"/>
      <c r="K435" s="21">
        <f t="shared" si="70"/>
        <v>1</v>
      </c>
      <c r="L435" s="634"/>
      <c r="M435" s="21">
        <f t="shared" si="71"/>
        <v>1</v>
      </c>
      <c r="N435" s="634"/>
      <c r="O435" s="21">
        <f t="shared" si="72"/>
        <v>1</v>
      </c>
      <c r="P435" s="634"/>
      <c r="Q435" s="21">
        <f t="shared" si="73"/>
        <v>1</v>
      </c>
      <c r="R435" s="21">
        <f t="shared" si="74"/>
        <v>0</v>
      </c>
      <c r="S435" s="308">
        <f t="shared" si="65"/>
        <v>0</v>
      </c>
    </row>
    <row r="436" spans="1:19">
      <c r="A436" s="142"/>
      <c r="B436" s="52"/>
      <c r="C436" s="21">
        <f t="shared" si="66"/>
        <v>1</v>
      </c>
      <c r="D436" s="634"/>
      <c r="E436" s="21">
        <f t="shared" si="67"/>
        <v>0</v>
      </c>
      <c r="F436" s="634"/>
      <c r="G436" s="21">
        <f t="shared" si="68"/>
        <v>0.05</v>
      </c>
      <c r="H436" s="634"/>
      <c r="I436" s="21">
        <f t="shared" si="69"/>
        <v>0.05</v>
      </c>
      <c r="J436" s="634"/>
      <c r="K436" s="21">
        <f t="shared" si="70"/>
        <v>1</v>
      </c>
      <c r="L436" s="634"/>
      <c r="M436" s="21">
        <f t="shared" si="71"/>
        <v>1</v>
      </c>
      <c r="N436" s="634"/>
      <c r="O436" s="21">
        <f t="shared" si="72"/>
        <v>1</v>
      </c>
      <c r="P436" s="634"/>
      <c r="Q436" s="21">
        <f t="shared" si="73"/>
        <v>1</v>
      </c>
      <c r="R436" s="21">
        <f t="shared" si="74"/>
        <v>0</v>
      </c>
      <c r="S436" s="308">
        <f t="shared" si="65"/>
        <v>0</v>
      </c>
    </row>
    <row r="437" spans="1:19">
      <c r="A437" s="142"/>
      <c r="B437" s="52"/>
      <c r="C437" s="21">
        <f t="shared" si="66"/>
        <v>1</v>
      </c>
      <c r="D437" s="634"/>
      <c r="E437" s="21">
        <f t="shared" si="67"/>
        <v>0</v>
      </c>
      <c r="F437" s="634"/>
      <c r="G437" s="21">
        <f t="shared" si="68"/>
        <v>0.05</v>
      </c>
      <c r="H437" s="634"/>
      <c r="I437" s="21">
        <f t="shared" si="69"/>
        <v>0.05</v>
      </c>
      <c r="J437" s="634"/>
      <c r="K437" s="21">
        <f t="shared" si="70"/>
        <v>1</v>
      </c>
      <c r="L437" s="634"/>
      <c r="M437" s="21">
        <f t="shared" si="71"/>
        <v>1</v>
      </c>
      <c r="N437" s="634"/>
      <c r="O437" s="21">
        <f t="shared" si="72"/>
        <v>1</v>
      </c>
      <c r="P437" s="634"/>
      <c r="Q437" s="21">
        <f t="shared" si="73"/>
        <v>1</v>
      </c>
      <c r="R437" s="21">
        <f t="shared" si="74"/>
        <v>0</v>
      </c>
      <c r="S437" s="308">
        <f t="shared" si="65"/>
        <v>0</v>
      </c>
    </row>
    <row r="438" spans="1:19">
      <c r="A438" s="142"/>
      <c r="B438" s="52"/>
      <c r="C438" s="21">
        <f t="shared" si="66"/>
        <v>1</v>
      </c>
      <c r="D438" s="634"/>
      <c r="E438" s="21">
        <f t="shared" si="67"/>
        <v>0</v>
      </c>
      <c r="F438" s="634"/>
      <c r="G438" s="21">
        <f t="shared" si="68"/>
        <v>0.05</v>
      </c>
      <c r="H438" s="634"/>
      <c r="I438" s="21">
        <f t="shared" si="69"/>
        <v>0.05</v>
      </c>
      <c r="J438" s="634"/>
      <c r="K438" s="21">
        <f t="shared" si="70"/>
        <v>1</v>
      </c>
      <c r="L438" s="634"/>
      <c r="M438" s="21">
        <f t="shared" si="71"/>
        <v>1</v>
      </c>
      <c r="N438" s="634"/>
      <c r="O438" s="21">
        <f t="shared" si="72"/>
        <v>1</v>
      </c>
      <c r="P438" s="634"/>
      <c r="Q438" s="21">
        <f t="shared" si="73"/>
        <v>1</v>
      </c>
      <c r="R438" s="21">
        <f t="shared" si="74"/>
        <v>0</v>
      </c>
      <c r="S438" s="308">
        <f t="shared" si="65"/>
        <v>0</v>
      </c>
    </row>
    <row r="439" spans="1:19">
      <c r="A439" s="142"/>
      <c r="B439" s="52"/>
      <c r="C439" s="21">
        <f t="shared" si="66"/>
        <v>1</v>
      </c>
      <c r="D439" s="634"/>
      <c r="E439" s="21">
        <f t="shared" si="67"/>
        <v>0</v>
      </c>
      <c r="F439" s="634"/>
      <c r="G439" s="21">
        <f t="shared" si="68"/>
        <v>0.05</v>
      </c>
      <c r="H439" s="634"/>
      <c r="I439" s="21">
        <f t="shared" si="69"/>
        <v>0.05</v>
      </c>
      <c r="J439" s="634"/>
      <c r="K439" s="21">
        <f t="shared" si="70"/>
        <v>1</v>
      </c>
      <c r="L439" s="634"/>
      <c r="M439" s="21">
        <f t="shared" si="71"/>
        <v>1</v>
      </c>
      <c r="N439" s="634"/>
      <c r="O439" s="21">
        <f t="shared" si="72"/>
        <v>1</v>
      </c>
      <c r="P439" s="634"/>
      <c r="Q439" s="21">
        <f t="shared" si="73"/>
        <v>1</v>
      </c>
      <c r="R439" s="21">
        <f t="shared" si="74"/>
        <v>0</v>
      </c>
      <c r="S439" s="308">
        <f t="shared" si="65"/>
        <v>0</v>
      </c>
    </row>
    <row r="440" spans="1:19">
      <c r="A440" s="142"/>
      <c r="B440" s="52"/>
      <c r="C440" s="21">
        <f t="shared" si="66"/>
        <v>1</v>
      </c>
      <c r="D440" s="634"/>
      <c r="E440" s="21">
        <f t="shared" si="67"/>
        <v>0</v>
      </c>
      <c r="F440" s="634"/>
      <c r="G440" s="21">
        <f t="shared" si="68"/>
        <v>0.05</v>
      </c>
      <c r="H440" s="634"/>
      <c r="I440" s="21">
        <f t="shared" si="69"/>
        <v>0.05</v>
      </c>
      <c r="J440" s="634"/>
      <c r="K440" s="21">
        <f t="shared" si="70"/>
        <v>1</v>
      </c>
      <c r="L440" s="634"/>
      <c r="M440" s="21">
        <f t="shared" si="71"/>
        <v>1</v>
      </c>
      <c r="N440" s="634"/>
      <c r="O440" s="21">
        <f t="shared" si="72"/>
        <v>1</v>
      </c>
      <c r="P440" s="634"/>
      <c r="Q440" s="21">
        <f t="shared" si="73"/>
        <v>1</v>
      </c>
      <c r="R440" s="21">
        <f t="shared" si="74"/>
        <v>0</v>
      </c>
      <c r="S440" s="308">
        <f t="shared" si="65"/>
        <v>0</v>
      </c>
    </row>
    <row r="441" spans="1:19">
      <c r="A441" s="142"/>
      <c r="B441" s="52"/>
      <c r="C441" s="21">
        <f t="shared" si="66"/>
        <v>1</v>
      </c>
      <c r="D441" s="634"/>
      <c r="E441" s="21">
        <f t="shared" si="67"/>
        <v>0</v>
      </c>
      <c r="F441" s="634"/>
      <c r="G441" s="21">
        <f t="shared" si="68"/>
        <v>0.05</v>
      </c>
      <c r="H441" s="634"/>
      <c r="I441" s="21">
        <f t="shared" si="69"/>
        <v>0.05</v>
      </c>
      <c r="J441" s="634"/>
      <c r="K441" s="21">
        <f t="shared" si="70"/>
        <v>1</v>
      </c>
      <c r="L441" s="634"/>
      <c r="M441" s="21">
        <f t="shared" si="71"/>
        <v>1</v>
      </c>
      <c r="N441" s="634"/>
      <c r="O441" s="21">
        <f t="shared" si="72"/>
        <v>1</v>
      </c>
      <c r="P441" s="634"/>
      <c r="Q441" s="21">
        <f t="shared" si="73"/>
        <v>1</v>
      </c>
      <c r="R441" s="21">
        <f t="shared" si="74"/>
        <v>0</v>
      </c>
      <c r="S441" s="308">
        <f t="shared" si="65"/>
        <v>0</v>
      </c>
    </row>
    <row r="442" spans="1:19">
      <c r="A442" s="142"/>
      <c r="B442" s="52"/>
      <c r="C442" s="21">
        <f t="shared" si="66"/>
        <v>1</v>
      </c>
      <c r="D442" s="634"/>
      <c r="E442" s="21">
        <f t="shared" si="67"/>
        <v>0</v>
      </c>
      <c r="F442" s="634"/>
      <c r="G442" s="21">
        <f t="shared" si="68"/>
        <v>0.05</v>
      </c>
      <c r="H442" s="634"/>
      <c r="I442" s="21">
        <f t="shared" si="69"/>
        <v>0.05</v>
      </c>
      <c r="J442" s="634"/>
      <c r="K442" s="21">
        <f t="shared" si="70"/>
        <v>1</v>
      </c>
      <c r="L442" s="634"/>
      <c r="M442" s="21">
        <f t="shared" si="71"/>
        <v>1</v>
      </c>
      <c r="N442" s="634"/>
      <c r="O442" s="21">
        <f t="shared" si="72"/>
        <v>1</v>
      </c>
      <c r="P442" s="634"/>
      <c r="Q442" s="21">
        <f t="shared" si="73"/>
        <v>1</v>
      </c>
      <c r="R442" s="21">
        <f t="shared" si="74"/>
        <v>0</v>
      </c>
      <c r="S442" s="308">
        <f t="shared" si="65"/>
        <v>0</v>
      </c>
    </row>
    <row r="443" spans="1:19">
      <c r="A443" s="142"/>
      <c r="B443" s="52"/>
      <c r="C443" s="21">
        <f t="shared" si="66"/>
        <v>1</v>
      </c>
      <c r="D443" s="634"/>
      <c r="E443" s="21">
        <f t="shared" si="67"/>
        <v>0</v>
      </c>
      <c r="F443" s="634"/>
      <c r="G443" s="21">
        <f t="shared" si="68"/>
        <v>0.05</v>
      </c>
      <c r="H443" s="634"/>
      <c r="I443" s="21">
        <f t="shared" si="69"/>
        <v>0.05</v>
      </c>
      <c r="J443" s="634"/>
      <c r="K443" s="21">
        <f t="shared" si="70"/>
        <v>1</v>
      </c>
      <c r="L443" s="634"/>
      <c r="M443" s="21">
        <f t="shared" si="71"/>
        <v>1</v>
      </c>
      <c r="N443" s="634"/>
      <c r="O443" s="21">
        <f t="shared" si="72"/>
        <v>1</v>
      </c>
      <c r="P443" s="634"/>
      <c r="Q443" s="21">
        <f t="shared" si="73"/>
        <v>1</v>
      </c>
      <c r="R443" s="21">
        <f t="shared" si="74"/>
        <v>0</v>
      </c>
      <c r="S443" s="308">
        <f t="shared" si="65"/>
        <v>0</v>
      </c>
    </row>
    <row r="444" spans="1:19">
      <c r="A444" s="142"/>
      <c r="B444" s="52"/>
      <c r="C444" s="21">
        <f t="shared" si="66"/>
        <v>1</v>
      </c>
      <c r="D444" s="634"/>
      <c r="E444" s="21">
        <f t="shared" si="67"/>
        <v>0</v>
      </c>
      <c r="F444" s="634"/>
      <c r="G444" s="21">
        <f t="shared" si="68"/>
        <v>0.05</v>
      </c>
      <c r="H444" s="634"/>
      <c r="I444" s="21">
        <f t="shared" si="69"/>
        <v>0.05</v>
      </c>
      <c r="J444" s="634"/>
      <c r="K444" s="21">
        <f t="shared" si="70"/>
        <v>1</v>
      </c>
      <c r="L444" s="634"/>
      <c r="M444" s="21">
        <f t="shared" si="71"/>
        <v>1</v>
      </c>
      <c r="N444" s="634"/>
      <c r="O444" s="21">
        <f t="shared" si="72"/>
        <v>1</v>
      </c>
      <c r="P444" s="634"/>
      <c r="Q444" s="21">
        <f t="shared" si="73"/>
        <v>1</v>
      </c>
      <c r="R444" s="21">
        <f t="shared" si="74"/>
        <v>0</v>
      </c>
      <c r="S444" s="308">
        <f t="shared" si="65"/>
        <v>0</v>
      </c>
    </row>
    <row r="445" spans="1:19">
      <c r="A445" s="142"/>
      <c r="B445" s="52"/>
      <c r="C445" s="21">
        <f t="shared" si="66"/>
        <v>1</v>
      </c>
      <c r="D445" s="634"/>
      <c r="E445" s="21">
        <f t="shared" si="67"/>
        <v>0</v>
      </c>
      <c r="F445" s="634"/>
      <c r="G445" s="21">
        <f t="shared" si="68"/>
        <v>0.05</v>
      </c>
      <c r="H445" s="634"/>
      <c r="I445" s="21">
        <f t="shared" si="69"/>
        <v>0.05</v>
      </c>
      <c r="J445" s="634"/>
      <c r="K445" s="21">
        <f t="shared" si="70"/>
        <v>1</v>
      </c>
      <c r="L445" s="634"/>
      <c r="M445" s="21">
        <f t="shared" si="71"/>
        <v>1</v>
      </c>
      <c r="N445" s="634"/>
      <c r="O445" s="21">
        <f t="shared" si="72"/>
        <v>1</v>
      </c>
      <c r="P445" s="634"/>
      <c r="Q445" s="21">
        <f t="shared" si="73"/>
        <v>1</v>
      </c>
      <c r="R445" s="21">
        <f t="shared" si="74"/>
        <v>0</v>
      </c>
      <c r="S445" s="308">
        <f t="shared" si="65"/>
        <v>0</v>
      </c>
    </row>
    <row r="446" spans="1:19">
      <c r="A446" s="142"/>
      <c r="B446" s="52"/>
      <c r="C446" s="21">
        <f t="shared" si="66"/>
        <v>1</v>
      </c>
      <c r="D446" s="634"/>
      <c r="E446" s="21">
        <f t="shared" si="67"/>
        <v>0</v>
      </c>
      <c r="F446" s="634"/>
      <c r="G446" s="21">
        <f t="shared" si="68"/>
        <v>0.05</v>
      </c>
      <c r="H446" s="634"/>
      <c r="I446" s="21">
        <f t="shared" si="69"/>
        <v>0.05</v>
      </c>
      <c r="J446" s="634"/>
      <c r="K446" s="21">
        <f t="shared" si="70"/>
        <v>1</v>
      </c>
      <c r="L446" s="634"/>
      <c r="M446" s="21">
        <f t="shared" si="71"/>
        <v>1</v>
      </c>
      <c r="N446" s="634"/>
      <c r="O446" s="21">
        <f t="shared" si="72"/>
        <v>1</v>
      </c>
      <c r="P446" s="634"/>
      <c r="Q446" s="21">
        <f t="shared" si="73"/>
        <v>1</v>
      </c>
      <c r="R446" s="21">
        <f t="shared" si="74"/>
        <v>0</v>
      </c>
      <c r="S446" s="308">
        <f t="shared" si="65"/>
        <v>0</v>
      </c>
    </row>
    <row r="447" spans="1:19">
      <c r="A447" s="142"/>
      <c r="B447" s="52"/>
      <c r="C447" s="21">
        <f t="shared" si="66"/>
        <v>1</v>
      </c>
      <c r="D447" s="634"/>
      <c r="E447" s="21">
        <f t="shared" si="67"/>
        <v>0</v>
      </c>
      <c r="F447" s="634"/>
      <c r="G447" s="21">
        <f t="shared" si="68"/>
        <v>0.05</v>
      </c>
      <c r="H447" s="634"/>
      <c r="I447" s="21">
        <f t="shared" si="69"/>
        <v>0.05</v>
      </c>
      <c r="J447" s="634"/>
      <c r="K447" s="21">
        <f t="shared" si="70"/>
        <v>1</v>
      </c>
      <c r="L447" s="634"/>
      <c r="M447" s="21">
        <f t="shared" si="71"/>
        <v>1</v>
      </c>
      <c r="N447" s="634"/>
      <c r="O447" s="21">
        <f t="shared" si="72"/>
        <v>1</v>
      </c>
      <c r="P447" s="634"/>
      <c r="Q447" s="21">
        <f t="shared" si="73"/>
        <v>1</v>
      </c>
      <c r="R447" s="21">
        <f t="shared" si="74"/>
        <v>0</v>
      </c>
      <c r="S447" s="308">
        <f t="shared" si="65"/>
        <v>0</v>
      </c>
    </row>
    <row r="448" spans="1:19">
      <c r="A448" s="142"/>
      <c r="B448" s="52"/>
      <c r="C448" s="21">
        <f t="shared" si="66"/>
        <v>1</v>
      </c>
      <c r="D448" s="634"/>
      <c r="E448" s="21">
        <f t="shared" si="67"/>
        <v>0</v>
      </c>
      <c r="F448" s="634"/>
      <c r="G448" s="21">
        <f t="shared" si="68"/>
        <v>0.05</v>
      </c>
      <c r="H448" s="634"/>
      <c r="I448" s="21">
        <f t="shared" si="69"/>
        <v>0.05</v>
      </c>
      <c r="J448" s="634"/>
      <c r="K448" s="21">
        <f t="shared" si="70"/>
        <v>1</v>
      </c>
      <c r="L448" s="634"/>
      <c r="M448" s="21">
        <f t="shared" si="71"/>
        <v>1</v>
      </c>
      <c r="N448" s="634"/>
      <c r="O448" s="21">
        <f t="shared" si="72"/>
        <v>1</v>
      </c>
      <c r="P448" s="634"/>
      <c r="Q448" s="21">
        <f t="shared" si="73"/>
        <v>1</v>
      </c>
      <c r="R448" s="21">
        <f t="shared" si="74"/>
        <v>0</v>
      </c>
      <c r="S448" s="308">
        <f t="shared" si="65"/>
        <v>0</v>
      </c>
    </row>
    <row r="449" spans="1:19">
      <c r="A449" s="142"/>
      <c r="B449" s="52"/>
      <c r="C449" s="21">
        <f t="shared" si="66"/>
        <v>1</v>
      </c>
      <c r="D449" s="634"/>
      <c r="E449" s="21">
        <f t="shared" si="67"/>
        <v>0</v>
      </c>
      <c r="F449" s="634"/>
      <c r="G449" s="21">
        <f t="shared" si="68"/>
        <v>0.05</v>
      </c>
      <c r="H449" s="634"/>
      <c r="I449" s="21">
        <f t="shared" si="69"/>
        <v>0.05</v>
      </c>
      <c r="J449" s="634"/>
      <c r="K449" s="21">
        <f t="shared" si="70"/>
        <v>1</v>
      </c>
      <c r="L449" s="634"/>
      <c r="M449" s="21">
        <f t="shared" si="71"/>
        <v>1</v>
      </c>
      <c r="N449" s="634"/>
      <c r="O449" s="21">
        <f t="shared" si="72"/>
        <v>1</v>
      </c>
      <c r="P449" s="634"/>
      <c r="Q449" s="21">
        <f t="shared" si="73"/>
        <v>1</v>
      </c>
      <c r="R449" s="21">
        <f t="shared" si="74"/>
        <v>0</v>
      </c>
      <c r="S449" s="308">
        <f t="shared" si="65"/>
        <v>0</v>
      </c>
    </row>
    <row r="450" spans="1:19">
      <c r="A450" s="142"/>
      <c r="B450" s="52"/>
      <c r="C450" s="21">
        <f t="shared" si="66"/>
        <v>1</v>
      </c>
      <c r="D450" s="634"/>
      <c r="E450" s="21">
        <f t="shared" si="67"/>
        <v>0</v>
      </c>
      <c r="F450" s="634"/>
      <c r="G450" s="21">
        <f t="shared" si="68"/>
        <v>0.05</v>
      </c>
      <c r="H450" s="634"/>
      <c r="I450" s="21">
        <f t="shared" si="69"/>
        <v>0.05</v>
      </c>
      <c r="J450" s="634"/>
      <c r="K450" s="21">
        <f t="shared" si="70"/>
        <v>1</v>
      </c>
      <c r="L450" s="634"/>
      <c r="M450" s="21">
        <f t="shared" si="71"/>
        <v>1</v>
      </c>
      <c r="N450" s="634"/>
      <c r="O450" s="21">
        <f t="shared" si="72"/>
        <v>1</v>
      </c>
      <c r="P450" s="634"/>
      <c r="Q450" s="21">
        <f t="shared" si="73"/>
        <v>1</v>
      </c>
      <c r="R450" s="21">
        <f t="shared" si="74"/>
        <v>0</v>
      </c>
      <c r="S450" s="308">
        <f t="shared" si="65"/>
        <v>0</v>
      </c>
    </row>
    <row r="451" spans="1:19">
      <c r="A451" s="142"/>
      <c r="B451" s="52"/>
      <c r="C451" s="21">
        <f t="shared" si="66"/>
        <v>1</v>
      </c>
      <c r="D451" s="634"/>
      <c r="E451" s="21">
        <f t="shared" si="67"/>
        <v>0</v>
      </c>
      <c r="F451" s="634"/>
      <c r="G451" s="21">
        <f t="shared" si="68"/>
        <v>0.05</v>
      </c>
      <c r="H451" s="634"/>
      <c r="I451" s="21">
        <f t="shared" si="69"/>
        <v>0.05</v>
      </c>
      <c r="J451" s="634"/>
      <c r="K451" s="21">
        <f t="shared" si="70"/>
        <v>1</v>
      </c>
      <c r="L451" s="634"/>
      <c r="M451" s="21">
        <f t="shared" si="71"/>
        <v>1</v>
      </c>
      <c r="N451" s="634"/>
      <c r="O451" s="21">
        <f t="shared" si="72"/>
        <v>1</v>
      </c>
      <c r="P451" s="634"/>
      <c r="Q451" s="21">
        <f t="shared" si="73"/>
        <v>1</v>
      </c>
      <c r="R451" s="21">
        <f t="shared" si="74"/>
        <v>0</v>
      </c>
      <c r="S451" s="308">
        <f t="shared" si="65"/>
        <v>0</v>
      </c>
    </row>
    <row r="452" spans="1:19">
      <c r="A452" s="142"/>
      <c r="B452" s="52"/>
      <c r="C452" s="21">
        <f t="shared" si="66"/>
        <v>1</v>
      </c>
      <c r="D452" s="634"/>
      <c r="E452" s="21">
        <f t="shared" si="67"/>
        <v>0</v>
      </c>
      <c r="F452" s="634"/>
      <c r="G452" s="21">
        <f t="shared" si="68"/>
        <v>0.05</v>
      </c>
      <c r="H452" s="634"/>
      <c r="I452" s="21">
        <f t="shared" si="69"/>
        <v>0.05</v>
      </c>
      <c r="J452" s="634"/>
      <c r="K452" s="21">
        <f t="shared" si="70"/>
        <v>1</v>
      </c>
      <c r="L452" s="634"/>
      <c r="M452" s="21">
        <f t="shared" si="71"/>
        <v>1</v>
      </c>
      <c r="N452" s="634"/>
      <c r="O452" s="21">
        <f t="shared" si="72"/>
        <v>1</v>
      </c>
      <c r="P452" s="634"/>
      <c r="Q452" s="21">
        <f t="shared" si="73"/>
        <v>1</v>
      </c>
      <c r="R452" s="21">
        <f t="shared" si="74"/>
        <v>0</v>
      </c>
      <c r="S452" s="308">
        <f t="shared" si="65"/>
        <v>0</v>
      </c>
    </row>
    <row r="453" spans="1:19">
      <c r="A453" s="142"/>
      <c r="B453" s="52"/>
      <c r="C453" s="21">
        <f t="shared" si="66"/>
        <v>1</v>
      </c>
      <c r="D453" s="634"/>
      <c r="E453" s="21">
        <f t="shared" si="67"/>
        <v>0</v>
      </c>
      <c r="F453" s="634"/>
      <c r="G453" s="21">
        <f t="shared" si="68"/>
        <v>0.05</v>
      </c>
      <c r="H453" s="634"/>
      <c r="I453" s="21">
        <f t="shared" si="69"/>
        <v>0.05</v>
      </c>
      <c r="J453" s="634"/>
      <c r="K453" s="21">
        <f t="shared" si="70"/>
        <v>1</v>
      </c>
      <c r="L453" s="634"/>
      <c r="M453" s="21">
        <f t="shared" si="71"/>
        <v>1</v>
      </c>
      <c r="N453" s="634"/>
      <c r="O453" s="21">
        <f t="shared" si="72"/>
        <v>1</v>
      </c>
      <c r="P453" s="634"/>
      <c r="Q453" s="21">
        <f t="shared" si="73"/>
        <v>1</v>
      </c>
      <c r="R453" s="21">
        <f t="shared" si="74"/>
        <v>0</v>
      </c>
      <c r="S453" s="308">
        <f t="shared" si="65"/>
        <v>0</v>
      </c>
    </row>
    <row r="454" spans="1:19">
      <c r="A454" s="142"/>
      <c r="B454" s="52"/>
      <c r="C454" s="21">
        <f t="shared" si="66"/>
        <v>1</v>
      </c>
      <c r="D454" s="634"/>
      <c r="E454" s="21">
        <f t="shared" si="67"/>
        <v>0</v>
      </c>
      <c r="F454" s="634"/>
      <c r="G454" s="21">
        <f t="shared" si="68"/>
        <v>0.05</v>
      </c>
      <c r="H454" s="634"/>
      <c r="I454" s="21">
        <f t="shared" si="69"/>
        <v>0.05</v>
      </c>
      <c r="J454" s="634"/>
      <c r="K454" s="21">
        <f t="shared" si="70"/>
        <v>1</v>
      </c>
      <c r="L454" s="634"/>
      <c r="M454" s="21">
        <f t="shared" si="71"/>
        <v>1</v>
      </c>
      <c r="N454" s="634"/>
      <c r="O454" s="21">
        <f t="shared" si="72"/>
        <v>1</v>
      </c>
      <c r="P454" s="634"/>
      <c r="Q454" s="21">
        <f t="shared" si="73"/>
        <v>1</v>
      </c>
      <c r="R454" s="21">
        <f t="shared" si="74"/>
        <v>0</v>
      </c>
      <c r="S454" s="308">
        <f t="shared" si="65"/>
        <v>0</v>
      </c>
    </row>
    <row r="455" spans="1:19">
      <c r="A455" s="142"/>
      <c r="B455" s="52"/>
      <c r="C455" s="21">
        <f t="shared" si="66"/>
        <v>1</v>
      </c>
      <c r="D455" s="634"/>
      <c r="E455" s="21">
        <f t="shared" si="67"/>
        <v>0</v>
      </c>
      <c r="F455" s="634"/>
      <c r="G455" s="21">
        <f t="shared" si="68"/>
        <v>0.05</v>
      </c>
      <c r="H455" s="634"/>
      <c r="I455" s="21">
        <f t="shared" si="69"/>
        <v>0.05</v>
      </c>
      <c r="J455" s="634"/>
      <c r="K455" s="21">
        <f t="shared" si="70"/>
        <v>1</v>
      </c>
      <c r="L455" s="634"/>
      <c r="M455" s="21">
        <f t="shared" si="71"/>
        <v>1</v>
      </c>
      <c r="N455" s="634"/>
      <c r="O455" s="21">
        <f t="shared" si="72"/>
        <v>1</v>
      </c>
      <c r="P455" s="634"/>
      <c r="Q455" s="21">
        <f t="shared" si="73"/>
        <v>1</v>
      </c>
      <c r="R455" s="21">
        <f t="shared" si="74"/>
        <v>0</v>
      </c>
      <c r="S455" s="308">
        <f t="shared" si="65"/>
        <v>0</v>
      </c>
    </row>
    <row r="456" spans="1:19">
      <c r="A456" s="142"/>
      <c r="B456" s="52"/>
      <c r="C456" s="21">
        <f t="shared" si="66"/>
        <v>1</v>
      </c>
      <c r="D456" s="634"/>
      <c r="E456" s="21">
        <f t="shared" si="67"/>
        <v>0</v>
      </c>
      <c r="F456" s="634"/>
      <c r="G456" s="21">
        <f t="shared" si="68"/>
        <v>0.05</v>
      </c>
      <c r="H456" s="634"/>
      <c r="I456" s="21">
        <f t="shared" si="69"/>
        <v>0.05</v>
      </c>
      <c r="J456" s="634"/>
      <c r="K456" s="21">
        <f t="shared" si="70"/>
        <v>1</v>
      </c>
      <c r="L456" s="634"/>
      <c r="M456" s="21">
        <f t="shared" si="71"/>
        <v>1</v>
      </c>
      <c r="N456" s="634"/>
      <c r="O456" s="21">
        <f t="shared" si="72"/>
        <v>1</v>
      </c>
      <c r="P456" s="634"/>
      <c r="Q456" s="21">
        <f t="shared" si="73"/>
        <v>1</v>
      </c>
      <c r="R456" s="21">
        <f t="shared" si="74"/>
        <v>0</v>
      </c>
      <c r="S456" s="308">
        <f t="shared" si="65"/>
        <v>0</v>
      </c>
    </row>
    <row r="457" spans="1:19">
      <c r="A457" s="142"/>
      <c r="B457" s="52"/>
      <c r="C457" s="21">
        <f t="shared" si="66"/>
        <v>1</v>
      </c>
      <c r="D457" s="634"/>
      <c r="E457" s="21">
        <f t="shared" si="67"/>
        <v>0</v>
      </c>
      <c r="F457" s="634"/>
      <c r="G457" s="21">
        <f t="shared" si="68"/>
        <v>0.05</v>
      </c>
      <c r="H457" s="634"/>
      <c r="I457" s="21">
        <f t="shared" si="69"/>
        <v>0.05</v>
      </c>
      <c r="J457" s="634"/>
      <c r="K457" s="21">
        <f t="shared" si="70"/>
        <v>1</v>
      </c>
      <c r="L457" s="634"/>
      <c r="M457" s="21">
        <f t="shared" si="71"/>
        <v>1</v>
      </c>
      <c r="N457" s="634"/>
      <c r="O457" s="21">
        <f t="shared" si="72"/>
        <v>1</v>
      </c>
      <c r="P457" s="634"/>
      <c r="Q457" s="21">
        <f t="shared" si="73"/>
        <v>1</v>
      </c>
      <c r="R457" s="21">
        <f t="shared" si="74"/>
        <v>0</v>
      </c>
      <c r="S457" s="308">
        <f t="shared" si="65"/>
        <v>0</v>
      </c>
    </row>
    <row r="458" spans="1:19">
      <c r="A458" s="142"/>
      <c r="B458" s="52"/>
      <c r="C458" s="21">
        <f t="shared" si="66"/>
        <v>1</v>
      </c>
      <c r="D458" s="634"/>
      <c r="E458" s="21">
        <f t="shared" si="67"/>
        <v>0</v>
      </c>
      <c r="F458" s="634"/>
      <c r="G458" s="21">
        <f t="shared" si="68"/>
        <v>0.05</v>
      </c>
      <c r="H458" s="634"/>
      <c r="I458" s="21">
        <f t="shared" si="69"/>
        <v>0.05</v>
      </c>
      <c r="J458" s="634"/>
      <c r="K458" s="21">
        <f t="shared" si="70"/>
        <v>1</v>
      </c>
      <c r="L458" s="634"/>
      <c r="M458" s="21">
        <f t="shared" si="71"/>
        <v>1</v>
      </c>
      <c r="N458" s="634"/>
      <c r="O458" s="21">
        <f t="shared" si="72"/>
        <v>1</v>
      </c>
      <c r="P458" s="634"/>
      <c r="Q458" s="21">
        <f t="shared" si="73"/>
        <v>1</v>
      </c>
      <c r="R458" s="21">
        <f t="shared" si="74"/>
        <v>0</v>
      </c>
      <c r="S458" s="308">
        <f t="shared" si="65"/>
        <v>0</v>
      </c>
    </row>
    <row r="459" spans="1:19">
      <c r="A459" s="142"/>
      <c r="B459" s="52"/>
      <c r="C459" s="21">
        <f t="shared" si="66"/>
        <v>1</v>
      </c>
      <c r="D459" s="634"/>
      <c r="E459" s="21">
        <f t="shared" si="67"/>
        <v>0</v>
      </c>
      <c r="F459" s="634"/>
      <c r="G459" s="21">
        <f t="shared" si="68"/>
        <v>0.05</v>
      </c>
      <c r="H459" s="634"/>
      <c r="I459" s="21">
        <f t="shared" si="69"/>
        <v>0.05</v>
      </c>
      <c r="J459" s="634"/>
      <c r="K459" s="21">
        <f t="shared" si="70"/>
        <v>1</v>
      </c>
      <c r="L459" s="634"/>
      <c r="M459" s="21">
        <f t="shared" si="71"/>
        <v>1</v>
      </c>
      <c r="N459" s="634"/>
      <c r="O459" s="21">
        <f t="shared" si="72"/>
        <v>1</v>
      </c>
      <c r="P459" s="634"/>
      <c r="Q459" s="21">
        <f t="shared" si="73"/>
        <v>1</v>
      </c>
      <c r="R459" s="21">
        <f t="shared" si="74"/>
        <v>0</v>
      </c>
      <c r="S459" s="308">
        <f t="shared" si="65"/>
        <v>0</v>
      </c>
    </row>
    <row r="460" spans="1:19">
      <c r="A460" s="142"/>
      <c r="B460" s="52"/>
      <c r="C460" s="21">
        <f t="shared" si="66"/>
        <v>1</v>
      </c>
      <c r="D460" s="634"/>
      <c r="E460" s="21">
        <f t="shared" si="67"/>
        <v>0</v>
      </c>
      <c r="F460" s="634"/>
      <c r="G460" s="21">
        <f t="shared" si="68"/>
        <v>0.05</v>
      </c>
      <c r="H460" s="634"/>
      <c r="I460" s="21">
        <f t="shared" si="69"/>
        <v>0.05</v>
      </c>
      <c r="J460" s="634"/>
      <c r="K460" s="21">
        <f t="shared" si="70"/>
        <v>1</v>
      </c>
      <c r="L460" s="634"/>
      <c r="M460" s="21">
        <f t="shared" si="71"/>
        <v>1</v>
      </c>
      <c r="N460" s="634"/>
      <c r="O460" s="21">
        <f t="shared" si="72"/>
        <v>1</v>
      </c>
      <c r="P460" s="634"/>
      <c r="Q460" s="21">
        <f t="shared" si="73"/>
        <v>1</v>
      </c>
      <c r="R460" s="21">
        <f t="shared" si="74"/>
        <v>0</v>
      </c>
      <c r="S460" s="308">
        <f t="shared" si="65"/>
        <v>0</v>
      </c>
    </row>
    <row r="461" spans="1:19">
      <c r="A461" s="142"/>
      <c r="B461" s="52"/>
      <c r="C461" s="21">
        <f t="shared" si="66"/>
        <v>1</v>
      </c>
      <c r="D461" s="634"/>
      <c r="E461" s="21">
        <f t="shared" si="67"/>
        <v>0</v>
      </c>
      <c r="F461" s="634"/>
      <c r="G461" s="21">
        <f t="shared" si="68"/>
        <v>0.05</v>
      </c>
      <c r="H461" s="634"/>
      <c r="I461" s="21">
        <f t="shared" si="69"/>
        <v>0.05</v>
      </c>
      <c r="J461" s="634"/>
      <c r="K461" s="21">
        <f t="shared" si="70"/>
        <v>1</v>
      </c>
      <c r="L461" s="634"/>
      <c r="M461" s="21">
        <f t="shared" si="71"/>
        <v>1</v>
      </c>
      <c r="N461" s="634"/>
      <c r="O461" s="21">
        <f t="shared" si="72"/>
        <v>1</v>
      </c>
      <c r="P461" s="634"/>
      <c r="Q461" s="21">
        <f t="shared" si="73"/>
        <v>1</v>
      </c>
      <c r="R461" s="21">
        <f t="shared" si="74"/>
        <v>0</v>
      </c>
      <c r="S461" s="308">
        <f t="shared" si="65"/>
        <v>0</v>
      </c>
    </row>
    <row r="462" spans="1:19">
      <c r="A462" s="142"/>
      <c r="B462" s="52"/>
      <c r="C462" s="21">
        <f t="shared" si="66"/>
        <v>1</v>
      </c>
      <c r="D462" s="634"/>
      <c r="E462" s="21">
        <f t="shared" si="67"/>
        <v>0</v>
      </c>
      <c r="F462" s="634"/>
      <c r="G462" s="21">
        <f t="shared" si="68"/>
        <v>0.05</v>
      </c>
      <c r="H462" s="634"/>
      <c r="I462" s="21">
        <f t="shared" si="69"/>
        <v>0.05</v>
      </c>
      <c r="J462" s="634"/>
      <c r="K462" s="21">
        <f t="shared" si="70"/>
        <v>1</v>
      </c>
      <c r="L462" s="634"/>
      <c r="M462" s="21">
        <f t="shared" si="71"/>
        <v>1</v>
      </c>
      <c r="N462" s="634"/>
      <c r="O462" s="21">
        <f t="shared" si="72"/>
        <v>1</v>
      </c>
      <c r="P462" s="634"/>
      <c r="Q462" s="21">
        <f t="shared" si="73"/>
        <v>1</v>
      </c>
      <c r="R462" s="21">
        <f t="shared" si="74"/>
        <v>0</v>
      </c>
      <c r="S462" s="308">
        <f t="shared" si="65"/>
        <v>0</v>
      </c>
    </row>
    <row r="463" spans="1:19">
      <c r="A463" s="142"/>
      <c r="B463" s="52"/>
      <c r="C463" s="21">
        <f t="shared" si="66"/>
        <v>1</v>
      </c>
      <c r="D463" s="634"/>
      <c r="E463" s="21">
        <f t="shared" si="67"/>
        <v>0</v>
      </c>
      <c r="F463" s="634"/>
      <c r="G463" s="21">
        <f t="shared" si="68"/>
        <v>0.05</v>
      </c>
      <c r="H463" s="634"/>
      <c r="I463" s="21">
        <f t="shared" si="69"/>
        <v>0.05</v>
      </c>
      <c r="J463" s="634"/>
      <c r="K463" s="21">
        <f t="shared" si="70"/>
        <v>1</v>
      </c>
      <c r="L463" s="634"/>
      <c r="M463" s="21">
        <f t="shared" si="71"/>
        <v>1</v>
      </c>
      <c r="N463" s="634"/>
      <c r="O463" s="21">
        <f t="shared" si="72"/>
        <v>1</v>
      </c>
      <c r="P463" s="634"/>
      <c r="Q463" s="21">
        <f t="shared" si="73"/>
        <v>1</v>
      </c>
      <c r="R463" s="21">
        <f t="shared" si="74"/>
        <v>0</v>
      </c>
      <c r="S463" s="308">
        <f t="shared" si="65"/>
        <v>0</v>
      </c>
    </row>
    <row r="464" spans="1:19">
      <c r="A464" s="142"/>
      <c r="B464" s="52"/>
      <c r="C464" s="21">
        <f t="shared" si="66"/>
        <v>1</v>
      </c>
      <c r="D464" s="634"/>
      <c r="E464" s="21">
        <f t="shared" si="67"/>
        <v>0</v>
      </c>
      <c r="F464" s="634"/>
      <c r="G464" s="21">
        <f t="shared" si="68"/>
        <v>0.05</v>
      </c>
      <c r="H464" s="634"/>
      <c r="I464" s="21">
        <f t="shared" si="69"/>
        <v>0.05</v>
      </c>
      <c r="J464" s="634"/>
      <c r="K464" s="21">
        <f t="shared" si="70"/>
        <v>1</v>
      </c>
      <c r="L464" s="634"/>
      <c r="M464" s="21">
        <f t="shared" si="71"/>
        <v>1</v>
      </c>
      <c r="N464" s="634"/>
      <c r="O464" s="21">
        <f t="shared" si="72"/>
        <v>1</v>
      </c>
      <c r="P464" s="634"/>
      <c r="Q464" s="21">
        <f t="shared" si="73"/>
        <v>1</v>
      </c>
      <c r="R464" s="21">
        <f t="shared" si="74"/>
        <v>0</v>
      </c>
      <c r="S464" s="308">
        <f t="shared" si="65"/>
        <v>0</v>
      </c>
    </row>
    <row r="465" spans="1:19">
      <c r="A465" s="142"/>
      <c r="B465" s="52"/>
      <c r="C465" s="21">
        <f t="shared" si="66"/>
        <v>1</v>
      </c>
      <c r="D465" s="634"/>
      <c r="E465" s="21">
        <f t="shared" si="67"/>
        <v>0</v>
      </c>
      <c r="F465" s="634"/>
      <c r="G465" s="21">
        <f t="shared" si="68"/>
        <v>0.05</v>
      </c>
      <c r="H465" s="634"/>
      <c r="I465" s="21">
        <f t="shared" si="69"/>
        <v>0.05</v>
      </c>
      <c r="J465" s="634"/>
      <c r="K465" s="21">
        <f t="shared" si="70"/>
        <v>1</v>
      </c>
      <c r="L465" s="634"/>
      <c r="M465" s="21">
        <f t="shared" si="71"/>
        <v>1</v>
      </c>
      <c r="N465" s="634"/>
      <c r="O465" s="21">
        <f t="shared" si="72"/>
        <v>1</v>
      </c>
      <c r="P465" s="634"/>
      <c r="Q465" s="21">
        <f t="shared" si="73"/>
        <v>1</v>
      </c>
      <c r="R465" s="21">
        <f t="shared" si="74"/>
        <v>0</v>
      </c>
      <c r="S465" s="308">
        <f t="shared" si="65"/>
        <v>0</v>
      </c>
    </row>
    <row r="466" spans="1:19">
      <c r="A466" s="142"/>
      <c r="B466" s="52"/>
      <c r="C466" s="21">
        <f t="shared" si="66"/>
        <v>1</v>
      </c>
      <c r="D466" s="634"/>
      <c r="E466" s="21">
        <f t="shared" si="67"/>
        <v>0</v>
      </c>
      <c r="F466" s="634"/>
      <c r="G466" s="21">
        <f t="shared" si="68"/>
        <v>0.05</v>
      </c>
      <c r="H466" s="634"/>
      <c r="I466" s="21">
        <f t="shared" si="69"/>
        <v>0.05</v>
      </c>
      <c r="J466" s="634"/>
      <c r="K466" s="21">
        <f t="shared" si="70"/>
        <v>1</v>
      </c>
      <c r="L466" s="634"/>
      <c r="M466" s="21">
        <f t="shared" si="71"/>
        <v>1</v>
      </c>
      <c r="N466" s="634"/>
      <c r="O466" s="21">
        <f t="shared" si="72"/>
        <v>1</v>
      </c>
      <c r="P466" s="634"/>
      <c r="Q466" s="21">
        <f t="shared" si="73"/>
        <v>1</v>
      </c>
      <c r="R466" s="21">
        <f t="shared" si="74"/>
        <v>0</v>
      </c>
      <c r="S466" s="308">
        <f t="shared" si="65"/>
        <v>0</v>
      </c>
    </row>
    <row r="467" spans="1:19">
      <c r="A467" s="142"/>
      <c r="B467" s="52"/>
      <c r="C467" s="21">
        <f t="shared" si="66"/>
        <v>1</v>
      </c>
      <c r="D467" s="634"/>
      <c r="E467" s="21">
        <f t="shared" si="67"/>
        <v>0</v>
      </c>
      <c r="F467" s="634"/>
      <c r="G467" s="21">
        <f t="shared" si="68"/>
        <v>0.05</v>
      </c>
      <c r="H467" s="634"/>
      <c r="I467" s="21">
        <f t="shared" si="69"/>
        <v>0.05</v>
      </c>
      <c r="J467" s="634"/>
      <c r="K467" s="21">
        <f t="shared" si="70"/>
        <v>1</v>
      </c>
      <c r="L467" s="634"/>
      <c r="M467" s="21">
        <f t="shared" si="71"/>
        <v>1</v>
      </c>
      <c r="N467" s="634"/>
      <c r="O467" s="21">
        <f t="shared" si="72"/>
        <v>1</v>
      </c>
      <c r="P467" s="634"/>
      <c r="Q467" s="21">
        <f t="shared" si="73"/>
        <v>1</v>
      </c>
      <c r="R467" s="21">
        <f t="shared" si="74"/>
        <v>0</v>
      </c>
      <c r="S467" s="308">
        <f t="shared" si="65"/>
        <v>0</v>
      </c>
    </row>
    <row r="468" spans="1:19">
      <c r="A468" s="142"/>
      <c r="B468" s="52"/>
      <c r="C468" s="21">
        <f t="shared" si="66"/>
        <v>1</v>
      </c>
      <c r="D468" s="634"/>
      <c r="E468" s="21">
        <f t="shared" si="67"/>
        <v>0</v>
      </c>
      <c r="F468" s="634"/>
      <c r="G468" s="21">
        <f t="shared" si="68"/>
        <v>0.05</v>
      </c>
      <c r="H468" s="634"/>
      <c r="I468" s="21">
        <f t="shared" si="69"/>
        <v>0.05</v>
      </c>
      <c r="J468" s="634"/>
      <c r="K468" s="21">
        <f t="shared" si="70"/>
        <v>1</v>
      </c>
      <c r="L468" s="634"/>
      <c r="M468" s="21">
        <f t="shared" si="71"/>
        <v>1</v>
      </c>
      <c r="N468" s="634"/>
      <c r="O468" s="21">
        <f t="shared" si="72"/>
        <v>1</v>
      </c>
      <c r="P468" s="634"/>
      <c r="Q468" s="21">
        <f t="shared" si="73"/>
        <v>1</v>
      </c>
      <c r="R468" s="21">
        <f t="shared" si="74"/>
        <v>0</v>
      </c>
      <c r="S468" s="308">
        <f t="shared" si="65"/>
        <v>0</v>
      </c>
    </row>
    <row r="469" spans="1:19">
      <c r="A469" s="142"/>
      <c r="B469" s="52"/>
      <c r="C469" s="21">
        <f t="shared" si="66"/>
        <v>1</v>
      </c>
      <c r="D469" s="634"/>
      <c r="E469" s="21">
        <f t="shared" si="67"/>
        <v>0</v>
      </c>
      <c r="F469" s="634"/>
      <c r="G469" s="21">
        <f t="shared" si="68"/>
        <v>0.05</v>
      </c>
      <c r="H469" s="634"/>
      <c r="I469" s="21">
        <f t="shared" si="69"/>
        <v>0.05</v>
      </c>
      <c r="J469" s="634"/>
      <c r="K469" s="21">
        <f t="shared" si="70"/>
        <v>1</v>
      </c>
      <c r="L469" s="634"/>
      <c r="M469" s="21">
        <f t="shared" si="71"/>
        <v>1</v>
      </c>
      <c r="N469" s="634"/>
      <c r="O469" s="21">
        <f t="shared" si="72"/>
        <v>1</v>
      </c>
      <c r="P469" s="634"/>
      <c r="Q469" s="21">
        <f t="shared" si="73"/>
        <v>1</v>
      </c>
      <c r="R469" s="21">
        <f t="shared" si="74"/>
        <v>0</v>
      </c>
      <c r="S469" s="308">
        <f t="shared" si="65"/>
        <v>0</v>
      </c>
    </row>
    <row r="470" spans="1:19">
      <c r="A470" s="142"/>
      <c r="B470" s="52"/>
      <c r="C470" s="21">
        <f t="shared" si="66"/>
        <v>1</v>
      </c>
      <c r="D470" s="634"/>
      <c r="E470" s="21">
        <f t="shared" si="67"/>
        <v>0</v>
      </c>
      <c r="F470" s="634"/>
      <c r="G470" s="21">
        <f t="shared" si="68"/>
        <v>0.05</v>
      </c>
      <c r="H470" s="634"/>
      <c r="I470" s="21">
        <f t="shared" si="69"/>
        <v>0.05</v>
      </c>
      <c r="J470" s="634"/>
      <c r="K470" s="21">
        <f t="shared" si="70"/>
        <v>1</v>
      </c>
      <c r="L470" s="634"/>
      <c r="M470" s="21">
        <f t="shared" si="71"/>
        <v>1</v>
      </c>
      <c r="N470" s="634"/>
      <c r="O470" s="21">
        <f t="shared" si="72"/>
        <v>1</v>
      </c>
      <c r="P470" s="634"/>
      <c r="Q470" s="21">
        <f t="shared" si="73"/>
        <v>1</v>
      </c>
      <c r="R470" s="21">
        <f t="shared" si="74"/>
        <v>0</v>
      </c>
      <c r="S470" s="308">
        <f t="shared" si="65"/>
        <v>0</v>
      </c>
    </row>
    <row r="471" spans="1:19">
      <c r="A471" s="142"/>
      <c r="B471" s="52"/>
      <c r="C471" s="21">
        <f t="shared" si="66"/>
        <v>1</v>
      </c>
      <c r="D471" s="634"/>
      <c r="E471" s="21">
        <f t="shared" si="67"/>
        <v>0</v>
      </c>
      <c r="F471" s="634"/>
      <c r="G471" s="21">
        <f t="shared" si="68"/>
        <v>0.05</v>
      </c>
      <c r="H471" s="634"/>
      <c r="I471" s="21">
        <f t="shared" si="69"/>
        <v>0.05</v>
      </c>
      <c r="J471" s="634"/>
      <c r="K471" s="21">
        <f t="shared" si="70"/>
        <v>1</v>
      </c>
      <c r="L471" s="634"/>
      <c r="M471" s="21">
        <f t="shared" si="71"/>
        <v>1</v>
      </c>
      <c r="N471" s="634"/>
      <c r="O471" s="21">
        <f t="shared" si="72"/>
        <v>1</v>
      </c>
      <c r="P471" s="634"/>
      <c r="Q471" s="21">
        <f t="shared" si="73"/>
        <v>1</v>
      </c>
      <c r="R471" s="21">
        <f t="shared" si="74"/>
        <v>0</v>
      </c>
      <c r="S471" s="308">
        <f t="shared" si="65"/>
        <v>0</v>
      </c>
    </row>
    <row r="472" spans="1:19">
      <c r="A472" s="142"/>
      <c r="B472" s="52"/>
      <c r="C472" s="21">
        <f t="shared" si="66"/>
        <v>1</v>
      </c>
      <c r="D472" s="634"/>
      <c r="E472" s="21">
        <f t="shared" si="67"/>
        <v>0</v>
      </c>
      <c r="F472" s="634"/>
      <c r="G472" s="21">
        <f t="shared" si="68"/>
        <v>0.05</v>
      </c>
      <c r="H472" s="634"/>
      <c r="I472" s="21">
        <f t="shared" si="69"/>
        <v>0.05</v>
      </c>
      <c r="J472" s="634"/>
      <c r="K472" s="21">
        <f t="shared" si="70"/>
        <v>1</v>
      </c>
      <c r="L472" s="634"/>
      <c r="M472" s="21">
        <f t="shared" si="71"/>
        <v>1</v>
      </c>
      <c r="N472" s="634"/>
      <c r="O472" s="21">
        <f t="shared" si="72"/>
        <v>1</v>
      </c>
      <c r="P472" s="634"/>
      <c r="Q472" s="21">
        <f t="shared" si="73"/>
        <v>1</v>
      </c>
      <c r="R472" s="21">
        <f t="shared" si="74"/>
        <v>0</v>
      </c>
      <c r="S472" s="308">
        <f t="shared" ref="S472:S524" si="75">ROUND(R472*B472/10000,0)</f>
        <v>0</v>
      </c>
    </row>
    <row r="473" spans="1:19">
      <c r="A473" s="142"/>
      <c r="B473" s="52"/>
      <c r="C473" s="21">
        <f t="shared" si="66"/>
        <v>1</v>
      </c>
      <c r="D473" s="634"/>
      <c r="E473" s="21">
        <f t="shared" si="67"/>
        <v>0</v>
      </c>
      <c r="F473" s="634"/>
      <c r="G473" s="21">
        <f t="shared" si="68"/>
        <v>0.05</v>
      </c>
      <c r="H473" s="634"/>
      <c r="I473" s="21">
        <f t="shared" si="69"/>
        <v>0.05</v>
      </c>
      <c r="J473" s="634"/>
      <c r="K473" s="21">
        <f t="shared" si="70"/>
        <v>1</v>
      </c>
      <c r="L473" s="634"/>
      <c r="M473" s="21">
        <f t="shared" si="71"/>
        <v>1</v>
      </c>
      <c r="N473" s="634"/>
      <c r="O473" s="21">
        <f t="shared" si="72"/>
        <v>1</v>
      </c>
      <c r="P473" s="634"/>
      <c r="Q473" s="21">
        <f t="shared" si="73"/>
        <v>1</v>
      </c>
      <c r="R473" s="21">
        <f t="shared" si="74"/>
        <v>0</v>
      </c>
      <c r="S473" s="308">
        <f t="shared" si="75"/>
        <v>0</v>
      </c>
    </row>
    <row r="474" spans="1:19">
      <c r="A474" s="142"/>
      <c r="B474" s="52"/>
      <c r="C474" s="21">
        <f t="shared" ref="C474:C524" si="76">IF(B474="",1,(LOOKUP(B474,$3:$3,$4:$4)-LOOKUP($B$24,$3:$3,$4:$4)+100)/100)</f>
        <v>1</v>
      </c>
      <c r="D474" s="634"/>
      <c r="E474" s="21">
        <f t="shared" ref="E474:E524" si="77">(SUMIF($5:$5,D474,$6:$6)-SUMIF($5:$5,$D$24,$6:$6)+100)/100</f>
        <v>0</v>
      </c>
      <c r="F474" s="634"/>
      <c r="G474" s="21">
        <f t="shared" ref="G474:G524" si="78">(SUMIF($7:$7,F474,$8:$8)-SUMIF($7:$7,$F$24,$8:$8)+100)/100</f>
        <v>0.05</v>
      </c>
      <c r="H474" s="634"/>
      <c r="I474" s="21">
        <f t="shared" ref="I474:I524" si="79">(SUMIF($9:$9,H474,$10:$10)-SUMIF($9:$9,$H$24,$10:$10)+100)/100</f>
        <v>0.05</v>
      </c>
      <c r="J474" s="634"/>
      <c r="K474" s="21">
        <f t="shared" ref="K474:K524" si="80">(SUMIF($11:$11,J474,$12:$12)-SUMIF($11:$11,$J$24,$12:$12)+100)/100</f>
        <v>1</v>
      </c>
      <c r="L474" s="634"/>
      <c r="M474" s="21">
        <f t="shared" ref="M474:M524" si="81">(SUMIF($13:$13,L474,$14:$14)-SUMIF($13:$13,$L$24,$14:$14)+100)/100</f>
        <v>1</v>
      </c>
      <c r="N474" s="634"/>
      <c r="O474" s="21">
        <f t="shared" ref="O474:O524" si="82">(SUMIF($15:$15,N474,$16:$16)-SUMIF($15:$15,$N$24,$16:$16)+100)/100</f>
        <v>1</v>
      </c>
      <c r="P474" s="634"/>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4"/>
      <c r="E475" s="21">
        <f t="shared" si="77"/>
        <v>0</v>
      </c>
      <c r="F475" s="634"/>
      <c r="G475" s="21">
        <f t="shared" si="78"/>
        <v>0.05</v>
      </c>
      <c r="H475" s="634"/>
      <c r="I475" s="21">
        <f t="shared" si="79"/>
        <v>0.05</v>
      </c>
      <c r="J475" s="634"/>
      <c r="K475" s="21">
        <f t="shared" si="80"/>
        <v>1</v>
      </c>
      <c r="L475" s="634"/>
      <c r="M475" s="21">
        <f t="shared" si="81"/>
        <v>1</v>
      </c>
      <c r="N475" s="634"/>
      <c r="O475" s="21">
        <f t="shared" si="82"/>
        <v>1</v>
      </c>
      <c r="P475" s="634"/>
      <c r="Q475" s="21">
        <f t="shared" si="83"/>
        <v>1</v>
      </c>
      <c r="R475" s="21">
        <f t="shared" si="84"/>
        <v>0</v>
      </c>
      <c r="S475" s="308">
        <f t="shared" si="75"/>
        <v>0</v>
      </c>
    </row>
    <row r="476" spans="1:19">
      <c r="A476" s="142"/>
      <c r="B476" s="52"/>
      <c r="C476" s="21">
        <f t="shared" si="76"/>
        <v>1</v>
      </c>
      <c r="D476" s="634"/>
      <c r="E476" s="21">
        <f t="shared" si="77"/>
        <v>0</v>
      </c>
      <c r="F476" s="634"/>
      <c r="G476" s="21">
        <f t="shared" si="78"/>
        <v>0.05</v>
      </c>
      <c r="H476" s="634"/>
      <c r="I476" s="21">
        <f t="shared" si="79"/>
        <v>0.05</v>
      </c>
      <c r="J476" s="634"/>
      <c r="K476" s="21">
        <f t="shared" si="80"/>
        <v>1</v>
      </c>
      <c r="L476" s="634"/>
      <c r="M476" s="21">
        <f t="shared" si="81"/>
        <v>1</v>
      </c>
      <c r="N476" s="634"/>
      <c r="O476" s="21">
        <f t="shared" si="82"/>
        <v>1</v>
      </c>
      <c r="P476" s="634"/>
      <c r="Q476" s="21">
        <f t="shared" si="83"/>
        <v>1</v>
      </c>
      <c r="R476" s="21">
        <f t="shared" si="84"/>
        <v>0</v>
      </c>
      <c r="S476" s="308">
        <f t="shared" si="75"/>
        <v>0</v>
      </c>
    </row>
    <row r="477" spans="1:19">
      <c r="A477" s="142"/>
      <c r="B477" s="52"/>
      <c r="C477" s="21">
        <f t="shared" si="76"/>
        <v>1</v>
      </c>
      <c r="D477" s="634"/>
      <c r="E477" s="21">
        <f t="shared" si="77"/>
        <v>0</v>
      </c>
      <c r="F477" s="634"/>
      <c r="G477" s="21">
        <f t="shared" si="78"/>
        <v>0.05</v>
      </c>
      <c r="H477" s="634"/>
      <c r="I477" s="21">
        <f t="shared" si="79"/>
        <v>0.05</v>
      </c>
      <c r="J477" s="634"/>
      <c r="K477" s="21">
        <f t="shared" si="80"/>
        <v>1</v>
      </c>
      <c r="L477" s="634"/>
      <c r="M477" s="21">
        <f t="shared" si="81"/>
        <v>1</v>
      </c>
      <c r="N477" s="634"/>
      <c r="O477" s="21">
        <f t="shared" si="82"/>
        <v>1</v>
      </c>
      <c r="P477" s="634"/>
      <c r="Q477" s="21">
        <f t="shared" si="83"/>
        <v>1</v>
      </c>
      <c r="R477" s="21">
        <f t="shared" si="84"/>
        <v>0</v>
      </c>
      <c r="S477" s="308">
        <f t="shared" si="75"/>
        <v>0</v>
      </c>
    </row>
    <row r="478" spans="1:19">
      <c r="A478" s="142"/>
      <c r="B478" s="52"/>
      <c r="C478" s="21">
        <f t="shared" si="76"/>
        <v>1</v>
      </c>
      <c r="D478" s="634"/>
      <c r="E478" s="21">
        <f t="shared" si="77"/>
        <v>0</v>
      </c>
      <c r="F478" s="634"/>
      <c r="G478" s="21">
        <f t="shared" si="78"/>
        <v>0.05</v>
      </c>
      <c r="H478" s="634"/>
      <c r="I478" s="21">
        <f t="shared" si="79"/>
        <v>0.05</v>
      </c>
      <c r="J478" s="634"/>
      <c r="K478" s="21">
        <f t="shared" si="80"/>
        <v>1</v>
      </c>
      <c r="L478" s="634"/>
      <c r="M478" s="21">
        <f t="shared" si="81"/>
        <v>1</v>
      </c>
      <c r="N478" s="634"/>
      <c r="O478" s="21">
        <f t="shared" si="82"/>
        <v>1</v>
      </c>
      <c r="P478" s="634"/>
      <c r="Q478" s="21">
        <f t="shared" si="83"/>
        <v>1</v>
      </c>
      <c r="R478" s="21">
        <f t="shared" si="84"/>
        <v>0</v>
      </c>
      <c r="S478" s="308">
        <f t="shared" si="75"/>
        <v>0</v>
      </c>
    </row>
    <row r="479" spans="1:19">
      <c r="A479" s="142"/>
      <c r="B479" s="52"/>
      <c r="C479" s="21">
        <f t="shared" si="76"/>
        <v>1</v>
      </c>
      <c r="D479" s="634"/>
      <c r="E479" s="21">
        <f t="shared" si="77"/>
        <v>0</v>
      </c>
      <c r="F479" s="634"/>
      <c r="G479" s="21">
        <f t="shared" si="78"/>
        <v>0.05</v>
      </c>
      <c r="H479" s="634"/>
      <c r="I479" s="21">
        <f t="shared" si="79"/>
        <v>0.05</v>
      </c>
      <c r="J479" s="634"/>
      <c r="K479" s="21">
        <f t="shared" si="80"/>
        <v>1</v>
      </c>
      <c r="L479" s="634"/>
      <c r="M479" s="21">
        <f t="shared" si="81"/>
        <v>1</v>
      </c>
      <c r="N479" s="634"/>
      <c r="O479" s="21">
        <f t="shared" si="82"/>
        <v>1</v>
      </c>
      <c r="P479" s="634"/>
      <c r="Q479" s="21">
        <f t="shared" si="83"/>
        <v>1</v>
      </c>
      <c r="R479" s="21">
        <f t="shared" si="84"/>
        <v>0</v>
      </c>
      <c r="S479" s="308">
        <f t="shared" si="75"/>
        <v>0</v>
      </c>
    </row>
    <row r="480" spans="1:19">
      <c r="A480" s="142"/>
      <c r="B480" s="52"/>
      <c r="C480" s="21">
        <f t="shared" si="76"/>
        <v>1</v>
      </c>
      <c r="D480" s="634"/>
      <c r="E480" s="21">
        <f t="shared" si="77"/>
        <v>0</v>
      </c>
      <c r="F480" s="634"/>
      <c r="G480" s="21">
        <f t="shared" si="78"/>
        <v>0.05</v>
      </c>
      <c r="H480" s="634"/>
      <c r="I480" s="21">
        <f t="shared" si="79"/>
        <v>0.05</v>
      </c>
      <c r="J480" s="634"/>
      <c r="K480" s="21">
        <f t="shared" si="80"/>
        <v>1</v>
      </c>
      <c r="L480" s="634"/>
      <c r="M480" s="21">
        <f t="shared" si="81"/>
        <v>1</v>
      </c>
      <c r="N480" s="634"/>
      <c r="O480" s="21">
        <f t="shared" si="82"/>
        <v>1</v>
      </c>
      <c r="P480" s="634"/>
      <c r="Q480" s="21">
        <f t="shared" si="83"/>
        <v>1</v>
      </c>
      <c r="R480" s="21">
        <f t="shared" si="84"/>
        <v>0</v>
      </c>
      <c r="S480" s="308">
        <f t="shared" si="75"/>
        <v>0</v>
      </c>
    </row>
    <row r="481" spans="1:19">
      <c r="A481" s="142"/>
      <c r="B481" s="52"/>
      <c r="C481" s="21">
        <f t="shared" si="76"/>
        <v>1</v>
      </c>
      <c r="D481" s="634"/>
      <c r="E481" s="21">
        <f t="shared" si="77"/>
        <v>0</v>
      </c>
      <c r="F481" s="634"/>
      <c r="G481" s="21">
        <f t="shared" si="78"/>
        <v>0.05</v>
      </c>
      <c r="H481" s="634"/>
      <c r="I481" s="21">
        <f t="shared" si="79"/>
        <v>0.05</v>
      </c>
      <c r="J481" s="634"/>
      <c r="K481" s="21">
        <f t="shared" si="80"/>
        <v>1</v>
      </c>
      <c r="L481" s="634"/>
      <c r="M481" s="21">
        <f t="shared" si="81"/>
        <v>1</v>
      </c>
      <c r="N481" s="634"/>
      <c r="O481" s="21">
        <f t="shared" si="82"/>
        <v>1</v>
      </c>
      <c r="P481" s="634"/>
      <c r="Q481" s="21">
        <f t="shared" si="83"/>
        <v>1</v>
      </c>
      <c r="R481" s="21">
        <f t="shared" si="84"/>
        <v>0</v>
      </c>
      <c r="S481" s="308">
        <f t="shared" si="75"/>
        <v>0</v>
      </c>
    </row>
    <row r="482" spans="1:19">
      <c r="A482" s="142"/>
      <c r="B482" s="52"/>
      <c r="C482" s="21">
        <f t="shared" si="76"/>
        <v>1</v>
      </c>
      <c r="D482" s="634"/>
      <c r="E482" s="21">
        <f t="shared" si="77"/>
        <v>0</v>
      </c>
      <c r="F482" s="634"/>
      <c r="G482" s="21">
        <f t="shared" si="78"/>
        <v>0.05</v>
      </c>
      <c r="H482" s="634"/>
      <c r="I482" s="21">
        <f t="shared" si="79"/>
        <v>0.05</v>
      </c>
      <c r="J482" s="634"/>
      <c r="K482" s="21">
        <f t="shared" si="80"/>
        <v>1</v>
      </c>
      <c r="L482" s="634"/>
      <c r="M482" s="21">
        <f t="shared" si="81"/>
        <v>1</v>
      </c>
      <c r="N482" s="634"/>
      <c r="O482" s="21">
        <f t="shared" si="82"/>
        <v>1</v>
      </c>
      <c r="P482" s="634"/>
      <c r="Q482" s="21">
        <f t="shared" si="83"/>
        <v>1</v>
      </c>
      <c r="R482" s="21">
        <f t="shared" si="84"/>
        <v>0</v>
      </c>
      <c r="S482" s="308">
        <f t="shared" si="75"/>
        <v>0</v>
      </c>
    </row>
    <row r="483" spans="1:19">
      <c r="A483" s="142"/>
      <c r="B483" s="52"/>
      <c r="C483" s="21">
        <f t="shared" si="76"/>
        <v>1</v>
      </c>
      <c r="D483" s="634"/>
      <c r="E483" s="21">
        <f t="shared" si="77"/>
        <v>0</v>
      </c>
      <c r="F483" s="634"/>
      <c r="G483" s="21">
        <f t="shared" si="78"/>
        <v>0.05</v>
      </c>
      <c r="H483" s="634"/>
      <c r="I483" s="21">
        <f t="shared" si="79"/>
        <v>0.05</v>
      </c>
      <c r="J483" s="634"/>
      <c r="K483" s="21">
        <f t="shared" si="80"/>
        <v>1</v>
      </c>
      <c r="L483" s="634"/>
      <c r="M483" s="21">
        <f t="shared" si="81"/>
        <v>1</v>
      </c>
      <c r="N483" s="634"/>
      <c r="O483" s="21">
        <f t="shared" si="82"/>
        <v>1</v>
      </c>
      <c r="P483" s="634"/>
      <c r="Q483" s="21">
        <f t="shared" si="83"/>
        <v>1</v>
      </c>
      <c r="R483" s="21">
        <f t="shared" si="84"/>
        <v>0</v>
      </c>
      <c r="S483" s="308">
        <f t="shared" si="75"/>
        <v>0</v>
      </c>
    </row>
    <row r="484" spans="1:19">
      <c r="A484" s="142"/>
      <c r="B484" s="52"/>
      <c r="C484" s="21">
        <f t="shared" si="76"/>
        <v>1</v>
      </c>
      <c r="D484" s="634"/>
      <c r="E484" s="21">
        <f t="shared" si="77"/>
        <v>0</v>
      </c>
      <c r="F484" s="634"/>
      <c r="G484" s="21">
        <f t="shared" si="78"/>
        <v>0.05</v>
      </c>
      <c r="H484" s="634"/>
      <c r="I484" s="21">
        <f t="shared" si="79"/>
        <v>0.05</v>
      </c>
      <c r="J484" s="634"/>
      <c r="K484" s="21">
        <f t="shared" si="80"/>
        <v>1</v>
      </c>
      <c r="L484" s="634"/>
      <c r="M484" s="21">
        <f t="shared" si="81"/>
        <v>1</v>
      </c>
      <c r="N484" s="634"/>
      <c r="O484" s="21">
        <f t="shared" si="82"/>
        <v>1</v>
      </c>
      <c r="P484" s="634"/>
      <c r="Q484" s="21">
        <f t="shared" si="83"/>
        <v>1</v>
      </c>
      <c r="R484" s="21">
        <f t="shared" si="84"/>
        <v>0</v>
      </c>
      <c r="S484" s="308">
        <f t="shared" si="75"/>
        <v>0</v>
      </c>
    </row>
    <row r="485" spans="1:19">
      <c r="A485" s="142"/>
      <c r="B485" s="52"/>
      <c r="C485" s="21">
        <f t="shared" si="76"/>
        <v>1</v>
      </c>
      <c r="D485" s="634"/>
      <c r="E485" s="21">
        <f t="shared" si="77"/>
        <v>0</v>
      </c>
      <c r="F485" s="634"/>
      <c r="G485" s="21">
        <f t="shared" si="78"/>
        <v>0.05</v>
      </c>
      <c r="H485" s="634"/>
      <c r="I485" s="21">
        <f t="shared" si="79"/>
        <v>0.05</v>
      </c>
      <c r="J485" s="634"/>
      <c r="K485" s="21">
        <f t="shared" si="80"/>
        <v>1</v>
      </c>
      <c r="L485" s="634"/>
      <c r="M485" s="21">
        <f t="shared" si="81"/>
        <v>1</v>
      </c>
      <c r="N485" s="634"/>
      <c r="O485" s="21">
        <f t="shared" si="82"/>
        <v>1</v>
      </c>
      <c r="P485" s="634"/>
      <c r="Q485" s="21">
        <f t="shared" si="83"/>
        <v>1</v>
      </c>
      <c r="R485" s="21">
        <f t="shared" si="84"/>
        <v>0</v>
      </c>
      <c r="S485" s="308">
        <f t="shared" si="75"/>
        <v>0</v>
      </c>
    </row>
    <row r="486" spans="1:19">
      <c r="A486" s="142"/>
      <c r="B486" s="52"/>
      <c r="C486" s="21">
        <f t="shared" si="76"/>
        <v>1</v>
      </c>
      <c r="D486" s="634"/>
      <c r="E486" s="21">
        <f t="shared" si="77"/>
        <v>0</v>
      </c>
      <c r="F486" s="634"/>
      <c r="G486" s="21">
        <f t="shared" si="78"/>
        <v>0.05</v>
      </c>
      <c r="H486" s="634"/>
      <c r="I486" s="21">
        <f t="shared" si="79"/>
        <v>0.05</v>
      </c>
      <c r="J486" s="634"/>
      <c r="K486" s="21">
        <f t="shared" si="80"/>
        <v>1</v>
      </c>
      <c r="L486" s="634"/>
      <c r="M486" s="21">
        <f t="shared" si="81"/>
        <v>1</v>
      </c>
      <c r="N486" s="634"/>
      <c r="O486" s="21">
        <f t="shared" si="82"/>
        <v>1</v>
      </c>
      <c r="P486" s="634"/>
      <c r="Q486" s="21">
        <f t="shared" si="83"/>
        <v>1</v>
      </c>
      <c r="R486" s="21">
        <f t="shared" si="84"/>
        <v>0</v>
      </c>
      <c r="S486" s="308">
        <f t="shared" si="75"/>
        <v>0</v>
      </c>
    </row>
    <row r="487" spans="1:19">
      <c r="A487" s="142"/>
      <c r="B487" s="52"/>
      <c r="C487" s="21">
        <f t="shared" si="76"/>
        <v>1</v>
      </c>
      <c r="D487" s="634"/>
      <c r="E487" s="21">
        <f t="shared" si="77"/>
        <v>0</v>
      </c>
      <c r="F487" s="634"/>
      <c r="G487" s="21">
        <f t="shared" si="78"/>
        <v>0.05</v>
      </c>
      <c r="H487" s="634"/>
      <c r="I487" s="21">
        <f t="shared" si="79"/>
        <v>0.05</v>
      </c>
      <c r="J487" s="634"/>
      <c r="K487" s="21">
        <f t="shared" si="80"/>
        <v>1</v>
      </c>
      <c r="L487" s="634"/>
      <c r="M487" s="21">
        <f t="shared" si="81"/>
        <v>1</v>
      </c>
      <c r="N487" s="634"/>
      <c r="O487" s="21">
        <f t="shared" si="82"/>
        <v>1</v>
      </c>
      <c r="P487" s="634"/>
      <c r="Q487" s="21">
        <f t="shared" si="83"/>
        <v>1</v>
      </c>
      <c r="R487" s="21">
        <f t="shared" si="84"/>
        <v>0</v>
      </c>
      <c r="S487" s="308">
        <f t="shared" si="75"/>
        <v>0</v>
      </c>
    </row>
    <row r="488" spans="1:19">
      <c r="A488" s="142"/>
      <c r="B488" s="52"/>
      <c r="C488" s="21">
        <f t="shared" si="76"/>
        <v>1</v>
      </c>
      <c r="D488" s="634"/>
      <c r="E488" s="21">
        <f t="shared" si="77"/>
        <v>0</v>
      </c>
      <c r="F488" s="634"/>
      <c r="G488" s="21">
        <f t="shared" si="78"/>
        <v>0.05</v>
      </c>
      <c r="H488" s="634"/>
      <c r="I488" s="21">
        <f t="shared" si="79"/>
        <v>0.05</v>
      </c>
      <c r="J488" s="634"/>
      <c r="K488" s="21">
        <f t="shared" si="80"/>
        <v>1</v>
      </c>
      <c r="L488" s="634"/>
      <c r="M488" s="21">
        <f t="shared" si="81"/>
        <v>1</v>
      </c>
      <c r="N488" s="634"/>
      <c r="O488" s="21">
        <f t="shared" si="82"/>
        <v>1</v>
      </c>
      <c r="P488" s="634"/>
      <c r="Q488" s="21">
        <f t="shared" si="83"/>
        <v>1</v>
      </c>
      <c r="R488" s="21">
        <f t="shared" si="84"/>
        <v>0</v>
      </c>
      <c r="S488" s="308">
        <f t="shared" si="75"/>
        <v>0</v>
      </c>
    </row>
    <row r="489" spans="1:19">
      <c r="A489" s="142"/>
      <c r="B489" s="52"/>
      <c r="C489" s="21">
        <f t="shared" si="76"/>
        <v>1</v>
      </c>
      <c r="D489" s="634"/>
      <c r="E489" s="21">
        <f t="shared" si="77"/>
        <v>0</v>
      </c>
      <c r="F489" s="634"/>
      <c r="G489" s="21">
        <f t="shared" si="78"/>
        <v>0.05</v>
      </c>
      <c r="H489" s="634"/>
      <c r="I489" s="21">
        <f t="shared" si="79"/>
        <v>0.05</v>
      </c>
      <c r="J489" s="634"/>
      <c r="K489" s="21">
        <f t="shared" si="80"/>
        <v>1</v>
      </c>
      <c r="L489" s="634"/>
      <c r="M489" s="21">
        <f t="shared" si="81"/>
        <v>1</v>
      </c>
      <c r="N489" s="634"/>
      <c r="O489" s="21">
        <f t="shared" si="82"/>
        <v>1</v>
      </c>
      <c r="P489" s="634"/>
      <c r="Q489" s="21">
        <f t="shared" si="83"/>
        <v>1</v>
      </c>
      <c r="R489" s="21">
        <f t="shared" si="84"/>
        <v>0</v>
      </c>
      <c r="S489" s="308">
        <f t="shared" si="75"/>
        <v>0</v>
      </c>
    </row>
    <row r="490" spans="1:19">
      <c r="A490" s="142"/>
      <c r="B490" s="52"/>
      <c r="C490" s="21">
        <f t="shared" si="76"/>
        <v>1</v>
      </c>
      <c r="D490" s="634"/>
      <c r="E490" s="21">
        <f t="shared" si="77"/>
        <v>0</v>
      </c>
      <c r="F490" s="634"/>
      <c r="G490" s="21">
        <f t="shared" si="78"/>
        <v>0.05</v>
      </c>
      <c r="H490" s="634"/>
      <c r="I490" s="21">
        <f t="shared" si="79"/>
        <v>0.05</v>
      </c>
      <c r="J490" s="634"/>
      <c r="K490" s="21">
        <f t="shared" si="80"/>
        <v>1</v>
      </c>
      <c r="L490" s="634"/>
      <c r="M490" s="21">
        <f t="shared" si="81"/>
        <v>1</v>
      </c>
      <c r="N490" s="634"/>
      <c r="O490" s="21">
        <f t="shared" si="82"/>
        <v>1</v>
      </c>
      <c r="P490" s="634"/>
      <c r="Q490" s="21">
        <f t="shared" si="83"/>
        <v>1</v>
      </c>
      <c r="R490" s="21">
        <f t="shared" si="84"/>
        <v>0</v>
      </c>
      <c r="S490" s="308">
        <f t="shared" si="75"/>
        <v>0</v>
      </c>
    </row>
    <row r="491" spans="1:19">
      <c r="A491" s="142"/>
      <c r="B491" s="52"/>
      <c r="C491" s="21">
        <f t="shared" si="76"/>
        <v>1</v>
      </c>
      <c r="D491" s="634"/>
      <c r="E491" s="21">
        <f t="shared" si="77"/>
        <v>0</v>
      </c>
      <c r="F491" s="634"/>
      <c r="G491" s="21">
        <f t="shared" si="78"/>
        <v>0.05</v>
      </c>
      <c r="H491" s="634"/>
      <c r="I491" s="21">
        <f t="shared" si="79"/>
        <v>0.05</v>
      </c>
      <c r="J491" s="634"/>
      <c r="K491" s="21">
        <f t="shared" si="80"/>
        <v>1</v>
      </c>
      <c r="L491" s="634"/>
      <c r="M491" s="21">
        <f t="shared" si="81"/>
        <v>1</v>
      </c>
      <c r="N491" s="634"/>
      <c r="O491" s="21">
        <f t="shared" si="82"/>
        <v>1</v>
      </c>
      <c r="P491" s="634"/>
      <c r="Q491" s="21">
        <f t="shared" si="83"/>
        <v>1</v>
      </c>
      <c r="R491" s="21">
        <f t="shared" si="84"/>
        <v>0</v>
      </c>
      <c r="S491" s="308">
        <f t="shared" si="75"/>
        <v>0</v>
      </c>
    </row>
    <row r="492" spans="1:19">
      <c r="A492" s="142"/>
      <c r="B492" s="52"/>
      <c r="C492" s="21">
        <f t="shared" si="76"/>
        <v>1</v>
      </c>
      <c r="D492" s="634"/>
      <c r="E492" s="21">
        <f t="shared" si="77"/>
        <v>0</v>
      </c>
      <c r="F492" s="634"/>
      <c r="G492" s="21">
        <f t="shared" si="78"/>
        <v>0.05</v>
      </c>
      <c r="H492" s="634"/>
      <c r="I492" s="21">
        <f t="shared" si="79"/>
        <v>0.05</v>
      </c>
      <c r="J492" s="634"/>
      <c r="K492" s="21">
        <f t="shared" si="80"/>
        <v>1</v>
      </c>
      <c r="L492" s="634"/>
      <c r="M492" s="21">
        <f t="shared" si="81"/>
        <v>1</v>
      </c>
      <c r="N492" s="634"/>
      <c r="O492" s="21">
        <f t="shared" si="82"/>
        <v>1</v>
      </c>
      <c r="P492" s="634"/>
      <c r="Q492" s="21">
        <f t="shared" si="83"/>
        <v>1</v>
      </c>
      <c r="R492" s="21">
        <f t="shared" si="84"/>
        <v>0</v>
      </c>
      <c r="S492" s="308">
        <f t="shared" si="75"/>
        <v>0</v>
      </c>
    </row>
    <row r="493" spans="1:19">
      <c r="A493" s="142"/>
      <c r="B493" s="52"/>
      <c r="C493" s="21">
        <f t="shared" si="76"/>
        <v>1</v>
      </c>
      <c r="D493" s="634"/>
      <c r="E493" s="21">
        <f t="shared" si="77"/>
        <v>0</v>
      </c>
      <c r="F493" s="634"/>
      <c r="G493" s="21">
        <f t="shared" si="78"/>
        <v>0.05</v>
      </c>
      <c r="H493" s="634"/>
      <c r="I493" s="21">
        <f t="shared" si="79"/>
        <v>0.05</v>
      </c>
      <c r="J493" s="634"/>
      <c r="K493" s="21">
        <f t="shared" si="80"/>
        <v>1</v>
      </c>
      <c r="L493" s="634"/>
      <c r="M493" s="21">
        <f t="shared" si="81"/>
        <v>1</v>
      </c>
      <c r="N493" s="634"/>
      <c r="O493" s="21">
        <f t="shared" si="82"/>
        <v>1</v>
      </c>
      <c r="P493" s="634"/>
      <c r="Q493" s="21">
        <f t="shared" si="83"/>
        <v>1</v>
      </c>
      <c r="R493" s="21">
        <f t="shared" si="84"/>
        <v>0</v>
      </c>
      <c r="S493" s="308">
        <f t="shared" si="75"/>
        <v>0</v>
      </c>
    </row>
    <row r="494" spans="1:19">
      <c r="A494" s="142"/>
      <c r="B494" s="52"/>
      <c r="C494" s="21">
        <f t="shared" si="76"/>
        <v>1</v>
      </c>
      <c r="D494" s="634"/>
      <c r="E494" s="21">
        <f t="shared" si="77"/>
        <v>0</v>
      </c>
      <c r="F494" s="634"/>
      <c r="G494" s="21">
        <f t="shared" si="78"/>
        <v>0.05</v>
      </c>
      <c r="H494" s="634"/>
      <c r="I494" s="21">
        <f t="shared" si="79"/>
        <v>0.05</v>
      </c>
      <c r="J494" s="634"/>
      <c r="K494" s="21">
        <f t="shared" si="80"/>
        <v>1</v>
      </c>
      <c r="L494" s="634"/>
      <c r="M494" s="21">
        <f t="shared" si="81"/>
        <v>1</v>
      </c>
      <c r="N494" s="634"/>
      <c r="O494" s="21">
        <f t="shared" si="82"/>
        <v>1</v>
      </c>
      <c r="P494" s="634"/>
      <c r="Q494" s="21">
        <f t="shared" si="83"/>
        <v>1</v>
      </c>
      <c r="R494" s="21">
        <f t="shared" si="84"/>
        <v>0</v>
      </c>
      <c r="S494" s="308">
        <f t="shared" si="75"/>
        <v>0</v>
      </c>
    </row>
    <row r="495" spans="1:19">
      <c r="A495" s="142"/>
      <c r="B495" s="52"/>
      <c r="C495" s="21">
        <f t="shared" si="76"/>
        <v>1</v>
      </c>
      <c r="D495" s="634"/>
      <c r="E495" s="21">
        <f t="shared" si="77"/>
        <v>0</v>
      </c>
      <c r="F495" s="634"/>
      <c r="G495" s="21">
        <f t="shared" si="78"/>
        <v>0.05</v>
      </c>
      <c r="H495" s="634"/>
      <c r="I495" s="21">
        <f t="shared" si="79"/>
        <v>0.05</v>
      </c>
      <c r="J495" s="634"/>
      <c r="K495" s="21">
        <f t="shared" si="80"/>
        <v>1</v>
      </c>
      <c r="L495" s="634"/>
      <c r="M495" s="21">
        <f t="shared" si="81"/>
        <v>1</v>
      </c>
      <c r="N495" s="634"/>
      <c r="O495" s="21">
        <f t="shared" si="82"/>
        <v>1</v>
      </c>
      <c r="P495" s="634"/>
      <c r="Q495" s="21">
        <f t="shared" si="83"/>
        <v>1</v>
      </c>
      <c r="R495" s="21">
        <f t="shared" si="84"/>
        <v>0</v>
      </c>
      <c r="S495" s="308">
        <f t="shared" si="75"/>
        <v>0</v>
      </c>
    </row>
    <row r="496" spans="1:19">
      <c r="A496" s="142"/>
      <c r="B496" s="52"/>
      <c r="C496" s="21">
        <f t="shared" si="76"/>
        <v>1</v>
      </c>
      <c r="D496" s="634"/>
      <c r="E496" s="21">
        <f t="shared" si="77"/>
        <v>0</v>
      </c>
      <c r="F496" s="634"/>
      <c r="G496" s="21">
        <f t="shared" si="78"/>
        <v>0.05</v>
      </c>
      <c r="H496" s="634"/>
      <c r="I496" s="21">
        <f t="shared" si="79"/>
        <v>0.05</v>
      </c>
      <c r="J496" s="634"/>
      <c r="K496" s="21">
        <f t="shared" si="80"/>
        <v>1</v>
      </c>
      <c r="L496" s="634"/>
      <c r="M496" s="21">
        <f t="shared" si="81"/>
        <v>1</v>
      </c>
      <c r="N496" s="634"/>
      <c r="O496" s="21">
        <f t="shared" si="82"/>
        <v>1</v>
      </c>
      <c r="P496" s="634"/>
      <c r="Q496" s="21">
        <f t="shared" si="83"/>
        <v>1</v>
      </c>
      <c r="R496" s="21">
        <f t="shared" si="84"/>
        <v>0</v>
      </c>
      <c r="S496" s="308">
        <f t="shared" si="75"/>
        <v>0</v>
      </c>
    </row>
    <row r="497" spans="1:19">
      <c r="A497" s="142"/>
      <c r="B497" s="52"/>
      <c r="C497" s="21">
        <f t="shared" si="76"/>
        <v>1</v>
      </c>
      <c r="D497" s="634"/>
      <c r="E497" s="21">
        <f t="shared" si="77"/>
        <v>0</v>
      </c>
      <c r="F497" s="634"/>
      <c r="G497" s="21">
        <f t="shared" si="78"/>
        <v>0.05</v>
      </c>
      <c r="H497" s="634"/>
      <c r="I497" s="21">
        <f t="shared" si="79"/>
        <v>0.05</v>
      </c>
      <c r="J497" s="634"/>
      <c r="K497" s="21">
        <f t="shared" si="80"/>
        <v>1</v>
      </c>
      <c r="L497" s="634"/>
      <c r="M497" s="21">
        <f t="shared" si="81"/>
        <v>1</v>
      </c>
      <c r="N497" s="634"/>
      <c r="O497" s="21">
        <f t="shared" si="82"/>
        <v>1</v>
      </c>
      <c r="P497" s="634"/>
      <c r="Q497" s="21">
        <f t="shared" si="83"/>
        <v>1</v>
      </c>
      <c r="R497" s="21">
        <f t="shared" si="84"/>
        <v>0</v>
      </c>
      <c r="S497" s="308">
        <f t="shared" si="75"/>
        <v>0</v>
      </c>
    </row>
    <row r="498" spans="1:19">
      <c r="A498" s="142"/>
      <c r="B498" s="52"/>
      <c r="C498" s="21">
        <f t="shared" si="76"/>
        <v>1</v>
      </c>
      <c r="D498" s="634"/>
      <c r="E498" s="21">
        <f t="shared" si="77"/>
        <v>0</v>
      </c>
      <c r="F498" s="634"/>
      <c r="G498" s="21">
        <f t="shared" si="78"/>
        <v>0.05</v>
      </c>
      <c r="H498" s="634"/>
      <c r="I498" s="21">
        <f t="shared" si="79"/>
        <v>0.05</v>
      </c>
      <c r="J498" s="634"/>
      <c r="K498" s="21">
        <f t="shared" si="80"/>
        <v>1</v>
      </c>
      <c r="L498" s="634"/>
      <c r="M498" s="21">
        <f t="shared" si="81"/>
        <v>1</v>
      </c>
      <c r="N498" s="634"/>
      <c r="O498" s="21">
        <f t="shared" si="82"/>
        <v>1</v>
      </c>
      <c r="P498" s="634"/>
      <c r="Q498" s="21">
        <f t="shared" si="83"/>
        <v>1</v>
      </c>
      <c r="R498" s="21">
        <f t="shared" si="84"/>
        <v>0</v>
      </c>
      <c r="S498" s="308">
        <f t="shared" si="75"/>
        <v>0</v>
      </c>
    </row>
    <row r="499" spans="1:19">
      <c r="A499" s="142"/>
      <c r="B499" s="52"/>
      <c r="C499" s="21">
        <f t="shared" si="76"/>
        <v>1</v>
      </c>
      <c r="D499" s="634"/>
      <c r="E499" s="21">
        <f t="shared" si="77"/>
        <v>0</v>
      </c>
      <c r="F499" s="634"/>
      <c r="G499" s="21">
        <f t="shared" si="78"/>
        <v>0.05</v>
      </c>
      <c r="H499" s="634"/>
      <c r="I499" s="21">
        <f t="shared" si="79"/>
        <v>0.05</v>
      </c>
      <c r="J499" s="634"/>
      <c r="K499" s="21">
        <f t="shared" si="80"/>
        <v>1</v>
      </c>
      <c r="L499" s="634"/>
      <c r="M499" s="21">
        <f t="shared" si="81"/>
        <v>1</v>
      </c>
      <c r="N499" s="634"/>
      <c r="O499" s="21">
        <f t="shared" si="82"/>
        <v>1</v>
      </c>
      <c r="P499" s="634"/>
      <c r="Q499" s="21">
        <f t="shared" si="83"/>
        <v>1</v>
      </c>
      <c r="R499" s="21">
        <f t="shared" si="84"/>
        <v>0</v>
      </c>
      <c r="S499" s="308">
        <f t="shared" si="75"/>
        <v>0</v>
      </c>
    </row>
    <row r="500" spans="1:19">
      <c r="A500" s="142"/>
      <c r="B500" s="52"/>
      <c r="C500" s="21">
        <f t="shared" si="76"/>
        <v>1</v>
      </c>
      <c r="D500" s="634"/>
      <c r="E500" s="21">
        <f t="shared" si="77"/>
        <v>0</v>
      </c>
      <c r="F500" s="634"/>
      <c r="G500" s="21">
        <f t="shared" si="78"/>
        <v>0.05</v>
      </c>
      <c r="H500" s="634"/>
      <c r="I500" s="21">
        <f t="shared" si="79"/>
        <v>0.05</v>
      </c>
      <c r="J500" s="634"/>
      <c r="K500" s="21">
        <f t="shared" si="80"/>
        <v>1</v>
      </c>
      <c r="L500" s="634"/>
      <c r="M500" s="21">
        <f t="shared" si="81"/>
        <v>1</v>
      </c>
      <c r="N500" s="634"/>
      <c r="O500" s="21">
        <f t="shared" si="82"/>
        <v>1</v>
      </c>
      <c r="P500" s="634"/>
      <c r="Q500" s="21">
        <f t="shared" si="83"/>
        <v>1</v>
      </c>
      <c r="R500" s="21">
        <f t="shared" si="84"/>
        <v>0</v>
      </c>
      <c r="S500" s="308">
        <f t="shared" si="75"/>
        <v>0</v>
      </c>
    </row>
    <row r="501" spans="1:19">
      <c r="A501" s="142"/>
      <c r="B501" s="52"/>
      <c r="C501" s="21">
        <f t="shared" si="76"/>
        <v>1</v>
      </c>
      <c r="D501" s="634"/>
      <c r="E501" s="21">
        <f t="shared" si="77"/>
        <v>0</v>
      </c>
      <c r="F501" s="634"/>
      <c r="G501" s="21">
        <f t="shared" si="78"/>
        <v>0.05</v>
      </c>
      <c r="H501" s="634"/>
      <c r="I501" s="21">
        <f t="shared" si="79"/>
        <v>0.05</v>
      </c>
      <c r="J501" s="634"/>
      <c r="K501" s="21">
        <f t="shared" si="80"/>
        <v>1</v>
      </c>
      <c r="L501" s="634"/>
      <c r="M501" s="21">
        <f t="shared" si="81"/>
        <v>1</v>
      </c>
      <c r="N501" s="634"/>
      <c r="O501" s="21">
        <f t="shared" si="82"/>
        <v>1</v>
      </c>
      <c r="P501" s="634"/>
      <c r="Q501" s="21">
        <f t="shared" si="83"/>
        <v>1</v>
      </c>
      <c r="R501" s="21">
        <f t="shared" si="84"/>
        <v>0</v>
      </c>
      <c r="S501" s="308">
        <f t="shared" si="75"/>
        <v>0</v>
      </c>
    </row>
    <row r="502" spans="1:19">
      <c r="A502" s="142"/>
      <c r="B502" s="52"/>
      <c r="C502" s="21">
        <f t="shared" si="76"/>
        <v>1</v>
      </c>
      <c r="D502" s="634"/>
      <c r="E502" s="21">
        <f t="shared" si="77"/>
        <v>0</v>
      </c>
      <c r="F502" s="634"/>
      <c r="G502" s="21">
        <f t="shared" si="78"/>
        <v>0.05</v>
      </c>
      <c r="H502" s="634"/>
      <c r="I502" s="21">
        <f t="shared" si="79"/>
        <v>0.05</v>
      </c>
      <c r="J502" s="634"/>
      <c r="K502" s="21">
        <f t="shared" si="80"/>
        <v>1</v>
      </c>
      <c r="L502" s="634"/>
      <c r="M502" s="21">
        <f t="shared" si="81"/>
        <v>1</v>
      </c>
      <c r="N502" s="634"/>
      <c r="O502" s="21">
        <f t="shared" si="82"/>
        <v>1</v>
      </c>
      <c r="P502" s="634"/>
      <c r="Q502" s="21">
        <f t="shared" si="83"/>
        <v>1</v>
      </c>
      <c r="R502" s="21">
        <f t="shared" si="84"/>
        <v>0</v>
      </c>
      <c r="S502" s="308">
        <f t="shared" si="75"/>
        <v>0</v>
      </c>
    </row>
    <row r="503" spans="1:19">
      <c r="A503" s="142"/>
      <c r="B503" s="52"/>
      <c r="C503" s="21">
        <f t="shared" si="76"/>
        <v>1</v>
      </c>
      <c r="D503" s="634"/>
      <c r="E503" s="21">
        <f t="shared" si="77"/>
        <v>0</v>
      </c>
      <c r="F503" s="634"/>
      <c r="G503" s="21">
        <f t="shared" si="78"/>
        <v>0.05</v>
      </c>
      <c r="H503" s="634"/>
      <c r="I503" s="21">
        <f t="shared" si="79"/>
        <v>0.05</v>
      </c>
      <c r="J503" s="634"/>
      <c r="K503" s="21">
        <f t="shared" si="80"/>
        <v>1</v>
      </c>
      <c r="L503" s="634"/>
      <c r="M503" s="21">
        <f t="shared" si="81"/>
        <v>1</v>
      </c>
      <c r="N503" s="634"/>
      <c r="O503" s="21">
        <f t="shared" si="82"/>
        <v>1</v>
      </c>
      <c r="P503" s="634"/>
      <c r="Q503" s="21">
        <f t="shared" si="83"/>
        <v>1</v>
      </c>
      <c r="R503" s="21">
        <f t="shared" si="84"/>
        <v>0</v>
      </c>
      <c r="S503" s="308">
        <f t="shared" si="75"/>
        <v>0</v>
      </c>
    </row>
    <row r="504" spans="1:19">
      <c r="A504" s="142"/>
      <c r="B504" s="52"/>
      <c r="C504" s="21">
        <f t="shared" si="76"/>
        <v>1</v>
      </c>
      <c r="D504" s="634"/>
      <c r="E504" s="21">
        <f t="shared" si="77"/>
        <v>0</v>
      </c>
      <c r="F504" s="634"/>
      <c r="G504" s="21">
        <f t="shared" si="78"/>
        <v>0.05</v>
      </c>
      <c r="H504" s="634"/>
      <c r="I504" s="21">
        <f t="shared" si="79"/>
        <v>0.05</v>
      </c>
      <c r="J504" s="634"/>
      <c r="K504" s="21">
        <f t="shared" si="80"/>
        <v>1</v>
      </c>
      <c r="L504" s="634"/>
      <c r="M504" s="21">
        <f t="shared" si="81"/>
        <v>1</v>
      </c>
      <c r="N504" s="634"/>
      <c r="O504" s="21">
        <f t="shared" si="82"/>
        <v>1</v>
      </c>
      <c r="P504" s="634"/>
      <c r="Q504" s="21">
        <f t="shared" si="83"/>
        <v>1</v>
      </c>
      <c r="R504" s="21">
        <f t="shared" si="84"/>
        <v>0</v>
      </c>
      <c r="S504" s="308">
        <f t="shared" si="75"/>
        <v>0</v>
      </c>
    </row>
    <row r="505" spans="1:19">
      <c r="A505" s="142"/>
      <c r="B505" s="52"/>
      <c r="C505" s="21">
        <f t="shared" si="76"/>
        <v>1</v>
      </c>
      <c r="D505" s="634"/>
      <c r="E505" s="21">
        <f t="shared" si="77"/>
        <v>0</v>
      </c>
      <c r="F505" s="634"/>
      <c r="G505" s="21">
        <f t="shared" si="78"/>
        <v>0.05</v>
      </c>
      <c r="H505" s="634"/>
      <c r="I505" s="21">
        <f t="shared" si="79"/>
        <v>0.05</v>
      </c>
      <c r="J505" s="634"/>
      <c r="K505" s="21">
        <f t="shared" si="80"/>
        <v>1</v>
      </c>
      <c r="L505" s="634"/>
      <c r="M505" s="21">
        <f t="shared" si="81"/>
        <v>1</v>
      </c>
      <c r="N505" s="634"/>
      <c r="O505" s="21">
        <f t="shared" si="82"/>
        <v>1</v>
      </c>
      <c r="P505" s="634"/>
      <c r="Q505" s="21">
        <f t="shared" si="83"/>
        <v>1</v>
      </c>
      <c r="R505" s="21">
        <f t="shared" si="84"/>
        <v>0</v>
      </c>
      <c r="S505" s="308">
        <f t="shared" si="75"/>
        <v>0</v>
      </c>
    </row>
    <row r="506" spans="1:19">
      <c r="A506" s="142"/>
      <c r="B506" s="52"/>
      <c r="C506" s="21">
        <f t="shared" si="76"/>
        <v>1</v>
      </c>
      <c r="D506" s="634"/>
      <c r="E506" s="21">
        <f t="shared" si="77"/>
        <v>0</v>
      </c>
      <c r="F506" s="634"/>
      <c r="G506" s="21">
        <f t="shared" si="78"/>
        <v>0.05</v>
      </c>
      <c r="H506" s="634"/>
      <c r="I506" s="21">
        <f t="shared" si="79"/>
        <v>0.05</v>
      </c>
      <c r="J506" s="634"/>
      <c r="K506" s="21">
        <f t="shared" si="80"/>
        <v>1</v>
      </c>
      <c r="L506" s="634"/>
      <c r="M506" s="21">
        <f t="shared" si="81"/>
        <v>1</v>
      </c>
      <c r="N506" s="634"/>
      <c r="O506" s="21">
        <f t="shared" si="82"/>
        <v>1</v>
      </c>
      <c r="P506" s="634"/>
      <c r="Q506" s="21">
        <f t="shared" si="83"/>
        <v>1</v>
      </c>
      <c r="R506" s="21">
        <f t="shared" si="84"/>
        <v>0</v>
      </c>
      <c r="S506" s="308">
        <f t="shared" si="75"/>
        <v>0</v>
      </c>
    </row>
    <row r="507" spans="1:19">
      <c r="A507" s="142"/>
      <c r="B507" s="52"/>
      <c r="C507" s="21">
        <f t="shared" si="76"/>
        <v>1</v>
      </c>
      <c r="D507" s="634"/>
      <c r="E507" s="21">
        <f t="shared" si="77"/>
        <v>0</v>
      </c>
      <c r="F507" s="634"/>
      <c r="G507" s="21">
        <f t="shared" si="78"/>
        <v>0.05</v>
      </c>
      <c r="H507" s="634"/>
      <c r="I507" s="21">
        <f t="shared" si="79"/>
        <v>0.05</v>
      </c>
      <c r="J507" s="634"/>
      <c r="K507" s="21">
        <f t="shared" si="80"/>
        <v>1</v>
      </c>
      <c r="L507" s="634"/>
      <c r="M507" s="21">
        <f t="shared" si="81"/>
        <v>1</v>
      </c>
      <c r="N507" s="634"/>
      <c r="O507" s="21">
        <f t="shared" si="82"/>
        <v>1</v>
      </c>
      <c r="P507" s="634"/>
      <c r="Q507" s="21">
        <f t="shared" si="83"/>
        <v>1</v>
      </c>
      <c r="R507" s="21">
        <f t="shared" si="84"/>
        <v>0</v>
      </c>
      <c r="S507" s="308">
        <f t="shared" si="75"/>
        <v>0</v>
      </c>
    </row>
    <row r="508" spans="1:19">
      <c r="A508" s="142"/>
      <c r="B508" s="52"/>
      <c r="C508" s="21">
        <f t="shared" si="76"/>
        <v>1</v>
      </c>
      <c r="D508" s="634"/>
      <c r="E508" s="21">
        <f t="shared" si="77"/>
        <v>0</v>
      </c>
      <c r="F508" s="634"/>
      <c r="G508" s="21">
        <f t="shared" si="78"/>
        <v>0.05</v>
      </c>
      <c r="H508" s="634"/>
      <c r="I508" s="21">
        <f t="shared" si="79"/>
        <v>0.05</v>
      </c>
      <c r="J508" s="634"/>
      <c r="K508" s="21">
        <f t="shared" si="80"/>
        <v>1</v>
      </c>
      <c r="L508" s="634"/>
      <c r="M508" s="21">
        <f t="shared" si="81"/>
        <v>1</v>
      </c>
      <c r="N508" s="634"/>
      <c r="O508" s="21">
        <f t="shared" si="82"/>
        <v>1</v>
      </c>
      <c r="P508" s="634"/>
      <c r="Q508" s="21">
        <f t="shared" si="83"/>
        <v>1</v>
      </c>
      <c r="R508" s="21">
        <f t="shared" si="84"/>
        <v>0</v>
      </c>
      <c r="S508" s="308">
        <f t="shared" si="75"/>
        <v>0</v>
      </c>
    </row>
    <row r="509" spans="1:19">
      <c r="A509" s="142"/>
      <c r="B509" s="52"/>
      <c r="C509" s="21">
        <f t="shared" si="76"/>
        <v>1</v>
      </c>
      <c r="D509" s="634"/>
      <c r="E509" s="21">
        <f t="shared" si="77"/>
        <v>0</v>
      </c>
      <c r="F509" s="634"/>
      <c r="G509" s="21">
        <f t="shared" si="78"/>
        <v>0.05</v>
      </c>
      <c r="H509" s="634"/>
      <c r="I509" s="21">
        <f t="shared" si="79"/>
        <v>0.05</v>
      </c>
      <c r="J509" s="634"/>
      <c r="K509" s="21">
        <f t="shared" si="80"/>
        <v>1</v>
      </c>
      <c r="L509" s="634"/>
      <c r="M509" s="21">
        <f t="shared" si="81"/>
        <v>1</v>
      </c>
      <c r="N509" s="634"/>
      <c r="O509" s="21">
        <f t="shared" si="82"/>
        <v>1</v>
      </c>
      <c r="P509" s="634"/>
      <c r="Q509" s="21">
        <f t="shared" si="83"/>
        <v>1</v>
      </c>
      <c r="R509" s="21">
        <f t="shared" si="84"/>
        <v>0</v>
      </c>
      <c r="S509" s="308">
        <f t="shared" si="75"/>
        <v>0</v>
      </c>
    </row>
    <row r="510" spans="1:19">
      <c r="A510" s="142"/>
      <c r="B510" s="52"/>
      <c r="C510" s="21">
        <f t="shared" si="76"/>
        <v>1</v>
      </c>
      <c r="D510" s="634"/>
      <c r="E510" s="21">
        <f t="shared" si="77"/>
        <v>0</v>
      </c>
      <c r="F510" s="634"/>
      <c r="G510" s="21">
        <f t="shared" si="78"/>
        <v>0.05</v>
      </c>
      <c r="H510" s="634"/>
      <c r="I510" s="21">
        <f t="shared" si="79"/>
        <v>0.05</v>
      </c>
      <c r="J510" s="634"/>
      <c r="K510" s="21">
        <f t="shared" si="80"/>
        <v>1</v>
      </c>
      <c r="L510" s="634"/>
      <c r="M510" s="21">
        <f t="shared" si="81"/>
        <v>1</v>
      </c>
      <c r="N510" s="634"/>
      <c r="O510" s="21">
        <f t="shared" si="82"/>
        <v>1</v>
      </c>
      <c r="P510" s="634"/>
      <c r="Q510" s="21">
        <f t="shared" si="83"/>
        <v>1</v>
      </c>
      <c r="R510" s="21">
        <f t="shared" si="84"/>
        <v>0</v>
      </c>
      <c r="S510" s="308">
        <f t="shared" si="75"/>
        <v>0</v>
      </c>
    </row>
    <row r="511" spans="1:19">
      <c r="A511" s="142"/>
      <c r="B511" s="52"/>
      <c r="C511" s="21">
        <f t="shared" si="76"/>
        <v>1</v>
      </c>
      <c r="D511" s="634"/>
      <c r="E511" s="21">
        <f t="shared" si="77"/>
        <v>0</v>
      </c>
      <c r="F511" s="634"/>
      <c r="G511" s="21">
        <f t="shared" si="78"/>
        <v>0.05</v>
      </c>
      <c r="H511" s="634"/>
      <c r="I511" s="21">
        <f t="shared" si="79"/>
        <v>0.05</v>
      </c>
      <c r="J511" s="634"/>
      <c r="K511" s="21">
        <f t="shared" si="80"/>
        <v>1</v>
      </c>
      <c r="L511" s="634"/>
      <c r="M511" s="21">
        <f t="shared" si="81"/>
        <v>1</v>
      </c>
      <c r="N511" s="634"/>
      <c r="O511" s="21">
        <f t="shared" si="82"/>
        <v>1</v>
      </c>
      <c r="P511" s="634"/>
      <c r="Q511" s="21">
        <f t="shared" si="83"/>
        <v>1</v>
      </c>
      <c r="R511" s="21">
        <f t="shared" si="84"/>
        <v>0</v>
      </c>
      <c r="S511" s="308">
        <f t="shared" si="75"/>
        <v>0</v>
      </c>
    </row>
    <row r="512" spans="1:19">
      <c r="A512" s="142"/>
      <c r="B512" s="52"/>
      <c r="C512" s="21">
        <f t="shared" si="76"/>
        <v>1</v>
      </c>
      <c r="D512" s="634"/>
      <c r="E512" s="21">
        <f t="shared" si="77"/>
        <v>0</v>
      </c>
      <c r="F512" s="634"/>
      <c r="G512" s="21">
        <f t="shared" si="78"/>
        <v>0.05</v>
      </c>
      <c r="H512" s="634"/>
      <c r="I512" s="21">
        <f t="shared" si="79"/>
        <v>0.05</v>
      </c>
      <c r="J512" s="634"/>
      <c r="K512" s="21">
        <f t="shared" si="80"/>
        <v>1</v>
      </c>
      <c r="L512" s="634"/>
      <c r="M512" s="21">
        <f t="shared" si="81"/>
        <v>1</v>
      </c>
      <c r="N512" s="634"/>
      <c r="O512" s="21">
        <f t="shared" si="82"/>
        <v>1</v>
      </c>
      <c r="P512" s="634"/>
      <c r="Q512" s="21">
        <f t="shared" si="83"/>
        <v>1</v>
      </c>
      <c r="R512" s="21">
        <f t="shared" si="84"/>
        <v>0</v>
      </c>
      <c r="S512" s="308">
        <f t="shared" si="75"/>
        <v>0</v>
      </c>
    </row>
    <row r="513" spans="1:19">
      <c r="A513" s="142"/>
      <c r="B513" s="52"/>
      <c r="C513" s="21">
        <f t="shared" si="76"/>
        <v>1</v>
      </c>
      <c r="D513" s="634"/>
      <c r="E513" s="21">
        <f t="shared" si="77"/>
        <v>0</v>
      </c>
      <c r="F513" s="634"/>
      <c r="G513" s="21">
        <f t="shared" si="78"/>
        <v>0.05</v>
      </c>
      <c r="H513" s="634"/>
      <c r="I513" s="21">
        <f t="shared" si="79"/>
        <v>0.05</v>
      </c>
      <c r="J513" s="634"/>
      <c r="K513" s="21">
        <f t="shared" si="80"/>
        <v>1</v>
      </c>
      <c r="L513" s="634"/>
      <c r="M513" s="21">
        <f t="shared" si="81"/>
        <v>1</v>
      </c>
      <c r="N513" s="634"/>
      <c r="O513" s="21">
        <f t="shared" si="82"/>
        <v>1</v>
      </c>
      <c r="P513" s="634"/>
      <c r="Q513" s="21">
        <f t="shared" si="83"/>
        <v>1</v>
      </c>
      <c r="R513" s="21">
        <f t="shared" si="84"/>
        <v>0</v>
      </c>
      <c r="S513" s="308">
        <f t="shared" si="75"/>
        <v>0</v>
      </c>
    </row>
    <row r="514" spans="1:19">
      <c r="A514" s="142"/>
      <c r="B514" s="52"/>
      <c r="C514" s="21">
        <f t="shared" si="76"/>
        <v>1</v>
      </c>
      <c r="D514" s="634"/>
      <c r="E514" s="21">
        <f t="shared" si="77"/>
        <v>0</v>
      </c>
      <c r="F514" s="634"/>
      <c r="G514" s="21">
        <f t="shared" si="78"/>
        <v>0.05</v>
      </c>
      <c r="H514" s="634"/>
      <c r="I514" s="21">
        <f t="shared" si="79"/>
        <v>0.05</v>
      </c>
      <c r="J514" s="634"/>
      <c r="K514" s="21">
        <f t="shared" si="80"/>
        <v>1</v>
      </c>
      <c r="L514" s="634"/>
      <c r="M514" s="21">
        <f t="shared" si="81"/>
        <v>1</v>
      </c>
      <c r="N514" s="634"/>
      <c r="O514" s="21">
        <f t="shared" si="82"/>
        <v>1</v>
      </c>
      <c r="P514" s="634"/>
      <c r="Q514" s="21">
        <f t="shared" si="83"/>
        <v>1</v>
      </c>
      <c r="R514" s="21">
        <f t="shared" si="84"/>
        <v>0</v>
      </c>
      <c r="S514" s="308">
        <f t="shared" si="75"/>
        <v>0</v>
      </c>
    </row>
    <row r="515" spans="1:19">
      <c r="A515" s="142"/>
      <c r="B515" s="52"/>
      <c r="C515" s="21">
        <f t="shared" si="76"/>
        <v>1</v>
      </c>
      <c r="D515" s="634"/>
      <c r="E515" s="21">
        <f t="shared" si="77"/>
        <v>0</v>
      </c>
      <c r="F515" s="634"/>
      <c r="G515" s="21">
        <f t="shared" si="78"/>
        <v>0.05</v>
      </c>
      <c r="H515" s="634"/>
      <c r="I515" s="21">
        <f t="shared" si="79"/>
        <v>0.05</v>
      </c>
      <c r="J515" s="634"/>
      <c r="K515" s="21">
        <f t="shared" si="80"/>
        <v>1</v>
      </c>
      <c r="L515" s="634"/>
      <c r="M515" s="21">
        <f t="shared" si="81"/>
        <v>1</v>
      </c>
      <c r="N515" s="634"/>
      <c r="O515" s="21">
        <f t="shared" si="82"/>
        <v>1</v>
      </c>
      <c r="P515" s="634"/>
      <c r="Q515" s="21">
        <f t="shared" si="83"/>
        <v>1</v>
      </c>
      <c r="R515" s="21">
        <f t="shared" si="84"/>
        <v>0</v>
      </c>
      <c r="S515" s="308">
        <f t="shared" si="75"/>
        <v>0</v>
      </c>
    </row>
    <row r="516" spans="1:19">
      <c r="A516" s="142"/>
      <c r="B516" s="52"/>
      <c r="C516" s="21">
        <f t="shared" si="76"/>
        <v>1</v>
      </c>
      <c r="D516" s="634"/>
      <c r="E516" s="21">
        <f t="shared" si="77"/>
        <v>0</v>
      </c>
      <c r="F516" s="634"/>
      <c r="G516" s="21">
        <f t="shared" si="78"/>
        <v>0.05</v>
      </c>
      <c r="H516" s="634"/>
      <c r="I516" s="21">
        <f t="shared" si="79"/>
        <v>0.05</v>
      </c>
      <c r="J516" s="634"/>
      <c r="K516" s="21">
        <f t="shared" si="80"/>
        <v>1</v>
      </c>
      <c r="L516" s="634"/>
      <c r="M516" s="21">
        <f t="shared" si="81"/>
        <v>1</v>
      </c>
      <c r="N516" s="634"/>
      <c r="O516" s="21">
        <f t="shared" si="82"/>
        <v>1</v>
      </c>
      <c r="P516" s="634"/>
      <c r="Q516" s="21">
        <f t="shared" si="83"/>
        <v>1</v>
      </c>
      <c r="R516" s="21">
        <f t="shared" si="84"/>
        <v>0</v>
      </c>
      <c r="S516" s="308">
        <f t="shared" si="75"/>
        <v>0</v>
      </c>
    </row>
    <row r="517" spans="1:19">
      <c r="A517" s="142"/>
      <c r="B517" s="52"/>
      <c r="C517" s="21">
        <f t="shared" si="76"/>
        <v>1</v>
      </c>
      <c r="D517" s="634"/>
      <c r="E517" s="21">
        <f t="shared" si="77"/>
        <v>0</v>
      </c>
      <c r="F517" s="634"/>
      <c r="G517" s="21">
        <f t="shared" si="78"/>
        <v>0.05</v>
      </c>
      <c r="H517" s="634"/>
      <c r="I517" s="21">
        <f t="shared" si="79"/>
        <v>0.05</v>
      </c>
      <c r="J517" s="634"/>
      <c r="K517" s="21">
        <f t="shared" si="80"/>
        <v>1</v>
      </c>
      <c r="L517" s="634"/>
      <c r="M517" s="21">
        <f t="shared" si="81"/>
        <v>1</v>
      </c>
      <c r="N517" s="634"/>
      <c r="O517" s="21">
        <f t="shared" si="82"/>
        <v>1</v>
      </c>
      <c r="P517" s="634"/>
      <c r="Q517" s="21">
        <f t="shared" si="83"/>
        <v>1</v>
      </c>
      <c r="R517" s="21">
        <f t="shared" si="84"/>
        <v>0</v>
      </c>
      <c r="S517" s="308">
        <f t="shared" si="75"/>
        <v>0</v>
      </c>
    </row>
    <row r="518" spans="1:19">
      <c r="A518" s="142"/>
      <c r="B518" s="52"/>
      <c r="C518" s="21">
        <f t="shared" si="76"/>
        <v>1</v>
      </c>
      <c r="D518" s="634"/>
      <c r="E518" s="21">
        <f t="shared" si="77"/>
        <v>0</v>
      </c>
      <c r="F518" s="634"/>
      <c r="G518" s="21">
        <f t="shared" si="78"/>
        <v>0.05</v>
      </c>
      <c r="H518" s="634"/>
      <c r="I518" s="21">
        <f t="shared" si="79"/>
        <v>0.05</v>
      </c>
      <c r="J518" s="634"/>
      <c r="K518" s="21">
        <f t="shared" si="80"/>
        <v>1</v>
      </c>
      <c r="L518" s="634"/>
      <c r="M518" s="21">
        <f t="shared" si="81"/>
        <v>1</v>
      </c>
      <c r="N518" s="634"/>
      <c r="O518" s="21">
        <f t="shared" si="82"/>
        <v>1</v>
      </c>
      <c r="P518" s="634"/>
      <c r="Q518" s="21">
        <f t="shared" si="83"/>
        <v>1</v>
      </c>
      <c r="R518" s="21">
        <f t="shared" si="84"/>
        <v>0</v>
      </c>
      <c r="S518" s="308">
        <f t="shared" si="75"/>
        <v>0</v>
      </c>
    </row>
    <row r="519" spans="1:19">
      <c r="A519" s="142"/>
      <c r="B519" s="52"/>
      <c r="C519" s="21">
        <f t="shared" si="76"/>
        <v>1</v>
      </c>
      <c r="D519" s="634"/>
      <c r="E519" s="21">
        <f t="shared" si="77"/>
        <v>0</v>
      </c>
      <c r="F519" s="634"/>
      <c r="G519" s="21">
        <f t="shared" si="78"/>
        <v>0.05</v>
      </c>
      <c r="H519" s="634"/>
      <c r="I519" s="21">
        <f t="shared" si="79"/>
        <v>0.05</v>
      </c>
      <c r="J519" s="634"/>
      <c r="K519" s="21">
        <f t="shared" si="80"/>
        <v>1</v>
      </c>
      <c r="L519" s="634"/>
      <c r="M519" s="21">
        <f t="shared" si="81"/>
        <v>1</v>
      </c>
      <c r="N519" s="634"/>
      <c r="O519" s="21">
        <f t="shared" si="82"/>
        <v>1</v>
      </c>
      <c r="P519" s="634"/>
      <c r="Q519" s="21">
        <f t="shared" si="83"/>
        <v>1</v>
      </c>
      <c r="R519" s="21">
        <f t="shared" si="84"/>
        <v>0</v>
      </c>
      <c r="S519" s="308">
        <f t="shared" si="75"/>
        <v>0</v>
      </c>
    </row>
    <row r="520" spans="1:19">
      <c r="A520" s="142"/>
      <c r="B520" s="52"/>
      <c r="C520" s="21">
        <f t="shared" si="76"/>
        <v>1</v>
      </c>
      <c r="D520" s="634"/>
      <c r="E520" s="21">
        <f t="shared" si="77"/>
        <v>0</v>
      </c>
      <c r="F520" s="634"/>
      <c r="G520" s="21">
        <f t="shared" si="78"/>
        <v>0.05</v>
      </c>
      <c r="H520" s="634"/>
      <c r="I520" s="21">
        <f t="shared" si="79"/>
        <v>0.05</v>
      </c>
      <c r="J520" s="634"/>
      <c r="K520" s="21">
        <f t="shared" si="80"/>
        <v>1</v>
      </c>
      <c r="L520" s="634"/>
      <c r="M520" s="21">
        <f t="shared" si="81"/>
        <v>1</v>
      </c>
      <c r="N520" s="634"/>
      <c r="O520" s="21">
        <f t="shared" si="82"/>
        <v>1</v>
      </c>
      <c r="P520" s="634"/>
      <c r="Q520" s="21">
        <f t="shared" si="83"/>
        <v>1</v>
      </c>
      <c r="R520" s="21">
        <f t="shared" si="84"/>
        <v>0</v>
      </c>
      <c r="S520" s="308">
        <f t="shared" si="75"/>
        <v>0</v>
      </c>
    </row>
    <row r="521" spans="1:19">
      <c r="A521" s="142"/>
      <c r="B521" s="52"/>
      <c r="C521" s="21">
        <f t="shared" si="76"/>
        <v>1</v>
      </c>
      <c r="D521" s="634"/>
      <c r="E521" s="21">
        <f t="shared" si="77"/>
        <v>0</v>
      </c>
      <c r="F521" s="634"/>
      <c r="G521" s="21">
        <f t="shared" si="78"/>
        <v>0.05</v>
      </c>
      <c r="H521" s="634"/>
      <c r="I521" s="21">
        <f t="shared" si="79"/>
        <v>0.05</v>
      </c>
      <c r="J521" s="634"/>
      <c r="K521" s="21">
        <f t="shared" si="80"/>
        <v>1</v>
      </c>
      <c r="L521" s="634"/>
      <c r="M521" s="21">
        <f t="shared" si="81"/>
        <v>1</v>
      </c>
      <c r="N521" s="634"/>
      <c r="O521" s="21">
        <f t="shared" si="82"/>
        <v>1</v>
      </c>
      <c r="P521" s="634"/>
      <c r="Q521" s="21">
        <f t="shared" si="83"/>
        <v>1</v>
      </c>
      <c r="R521" s="21">
        <f t="shared" si="84"/>
        <v>0</v>
      </c>
      <c r="S521" s="308">
        <f t="shared" si="75"/>
        <v>0</v>
      </c>
    </row>
    <row r="522" spans="1:19">
      <c r="A522" s="142"/>
      <c r="B522" s="52"/>
      <c r="C522" s="21">
        <f t="shared" si="76"/>
        <v>1</v>
      </c>
      <c r="D522" s="634"/>
      <c r="E522" s="21">
        <f t="shared" si="77"/>
        <v>0</v>
      </c>
      <c r="F522" s="634"/>
      <c r="G522" s="21">
        <f t="shared" si="78"/>
        <v>0.05</v>
      </c>
      <c r="H522" s="634"/>
      <c r="I522" s="21">
        <f t="shared" si="79"/>
        <v>0.05</v>
      </c>
      <c r="J522" s="634"/>
      <c r="K522" s="21">
        <f t="shared" si="80"/>
        <v>1</v>
      </c>
      <c r="L522" s="634"/>
      <c r="M522" s="21">
        <f t="shared" si="81"/>
        <v>1</v>
      </c>
      <c r="N522" s="634"/>
      <c r="O522" s="21">
        <f t="shared" si="82"/>
        <v>1</v>
      </c>
      <c r="P522" s="634"/>
      <c r="Q522" s="21">
        <f t="shared" si="83"/>
        <v>1</v>
      </c>
      <c r="R522" s="21">
        <f t="shared" si="84"/>
        <v>0</v>
      </c>
      <c r="S522" s="308">
        <f t="shared" si="75"/>
        <v>0</v>
      </c>
    </row>
    <row r="523" spans="1:19">
      <c r="A523" s="142"/>
      <c r="B523" s="52"/>
      <c r="C523" s="21">
        <f t="shared" si="76"/>
        <v>1</v>
      </c>
      <c r="D523" s="634"/>
      <c r="E523" s="21">
        <f t="shared" si="77"/>
        <v>0</v>
      </c>
      <c r="F523" s="634"/>
      <c r="G523" s="21">
        <f t="shared" si="78"/>
        <v>0.05</v>
      </c>
      <c r="H523" s="634"/>
      <c r="I523" s="21">
        <f t="shared" si="79"/>
        <v>0.05</v>
      </c>
      <c r="J523" s="634"/>
      <c r="K523" s="21">
        <f t="shared" si="80"/>
        <v>1</v>
      </c>
      <c r="L523" s="634"/>
      <c r="M523" s="21">
        <f t="shared" si="81"/>
        <v>1</v>
      </c>
      <c r="N523" s="634"/>
      <c r="O523" s="21">
        <f t="shared" si="82"/>
        <v>1</v>
      </c>
      <c r="P523" s="634"/>
      <c r="Q523" s="21">
        <f t="shared" si="83"/>
        <v>1</v>
      </c>
      <c r="R523" s="21">
        <f t="shared" si="84"/>
        <v>0</v>
      </c>
      <c r="S523" s="308">
        <f t="shared" si="75"/>
        <v>0</v>
      </c>
    </row>
    <row r="524" spans="1:19">
      <c r="A524" s="142"/>
      <c r="B524" s="52"/>
      <c r="C524" s="21">
        <f t="shared" si="76"/>
        <v>1</v>
      </c>
      <c r="D524" s="634"/>
      <c r="E524" s="21">
        <f t="shared" si="77"/>
        <v>0</v>
      </c>
      <c r="F524" s="634"/>
      <c r="G524" s="21">
        <f t="shared" si="78"/>
        <v>0.05</v>
      </c>
      <c r="H524" s="634"/>
      <c r="I524" s="21">
        <f t="shared" si="79"/>
        <v>0.05</v>
      </c>
      <c r="J524" s="634"/>
      <c r="K524" s="21">
        <f t="shared" si="80"/>
        <v>1</v>
      </c>
      <c r="L524" s="634"/>
      <c r="M524" s="21">
        <f t="shared" si="81"/>
        <v>1</v>
      </c>
      <c r="N524" s="634"/>
      <c r="O524" s="21">
        <f t="shared" si="82"/>
        <v>1</v>
      </c>
      <c r="P524" s="634"/>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9" t="s">
        <v>2835</v>
      </c>
      <c r="B1" s="3489"/>
      <c r="C1" s="3489"/>
      <c r="D1" s="3489"/>
      <c r="E1" s="3489"/>
      <c r="F1" s="3489"/>
      <c r="G1" s="3490"/>
      <c r="I1" s="2937" t="s">
        <v>2836</v>
      </c>
      <c r="J1" s="2938" t="s">
        <v>2837</v>
      </c>
      <c r="K1" s="2938" t="s">
        <v>2838</v>
      </c>
      <c r="L1" s="2938" t="s">
        <v>2839</v>
      </c>
      <c r="M1" s="2938" t="s">
        <v>2840</v>
      </c>
      <c r="N1" s="2938" t="s">
        <v>2841</v>
      </c>
      <c r="O1" s="2938" t="s">
        <v>2842</v>
      </c>
      <c r="P1" s="2938" t="s">
        <v>2843</v>
      </c>
      <c r="Q1" s="2938" t="s">
        <v>2844</v>
      </c>
      <c r="R1" s="2938" t="s">
        <v>2845</v>
      </c>
      <c r="S1" s="2938" t="s">
        <v>2846</v>
      </c>
      <c r="T1" s="2939" t="s">
        <v>2847</v>
      </c>
    </row>
    <row r="2" spans="1:20" ht="12" thickBot="1">
      <c r="A2" s="2940" t="s">
        <v>2848</v>
      </c>
      <c r="B2" s="2940"/>
      <c r="C2" s="2940"/>
      <c r="D2" s="2940"/>
      <c r="E2" s="2940"/>
      <c r="F2" s="2940"/>
      <c r="G2" s="2941" t="s">
        <v>2849</v>
      </c>
      <c r="I2" s="2942" t="s">
        <v>2850</v>
      </c>
      <c r="J2" s="2942" t="s">
        <v>2851</v>
      </c>
      <c r="K2" s="2942" t="s">
        <v>2852</v>
      </c>
      <c r="L2" s="2942" t="s">
        <v>2853</v>
      </c>
      <c r="M2" s="2942" t="s">
        <v>2854</v>
      </c>
      <c r="N2" s="2942" t="s">
        <v>2855</v>
      </c>
      <c r="O2" s="2942" t="s">
        <v>2856</v>
      </c>
      <c r="P2" s="2942" t="s">
        <v>2857</v>
      </c>
      <c r="Q2" s="2942" t="s">
        <v>2858</v>
      </c>
      <c r="R2" s="2942" t="s">
        <v>2859</v>
      </c>
      <c r="S2" s="2942" t="s">
        <v>2860</v>
      </c>
      <c r="T2" s="2942" t="s">
        <v>2861</v>
      </c>
    </row>
    <row r="3" spans="1:20" s="2948" customFormat="1">
      <c r="A3" s="3487" t="s">
        <v>2862</v>
      </c>
      <c r="B3" s="2943"/>
      <c r="C3" s="2944" t="s">
        <v>2805</v>
      </c>
      <c r="D3" s="2944" t="s">
        <v>2863</v>
      </c>
      <c r="E3" s="2944" t="s">
        <v>2807</v>
      </c>
      <c r="F3" s="2944" t="s">
        <v>2864</v>
      </c>
      <c r="G3" s="2944" t="s">
        <v>2625</v>
      </c>
      <c r="H3" s="2945"/>
      <c r="I3" s="2946" t="s">
        <v>2865</v>
      </c>
      <c r="J3" s="2947" t="s">
        <v>128</v>
      </c>
      <c r="K3" s="2947" t="s">
        <v>129</v>
      </c>
      <c r="L3" s="2946" t="s">
        <v>130</v>
      </c>
      <c r="M3" s="2946" t="s">
        <v>131</v>
      </c>
      <c r="N3" s="2946" t="s">
        <v>132</v>
      </c>
      <c r="O3" s="2946" t="s">
        <v>133</v>
      </c>
      <c r="P3" s="2946" t="s">
        <v>134</v>
      </c>
      <c r="Q3" s="2946" t="s">
        <v>135</v>
      </c>
      <c r="R3" s="2946" t="s">
        <v>136</v>
      </c>
      <c r="S3" s="2946" t="s">
        <v>2866</v>
      </c>
      <c r="T3" s="2946" t="s">
        <v>2867</v>
      </c>
    </row>
    <row r="4" spans="1:20" s="2948" customFormat="1" ht="12" thickBot="1">
      <c r="A4" s="3488"/>
      <c r="B4" s="2949" t="s">
        <v>2868</v>
      </c>
      <c r="C4" s="2949" t="s">
        <v>2869</v>
      </c>
      <c r="D4" s="2949" t="s">
        <v>2869</v>
      </c>
      <c r="E4" s="2949" t="s">
        <v>2869</v>
      </c>
      <c r="F4" s="2950" t="s">
        <v>2869</v>
      </c>
      <c r="G4" s="2950" t="s">
        <v>2869</v>
      </c>
      <c r="H4" s="2945"/>
      <c r="I4" s="2947" t="s">
        <v>137</v>
      </c>
      <c r="J4" s="2947" t="s">
        <v>111</v>
      </c>
      <c r="K4" s="2947" t="s">
        <v>138</v>
      </c>
      <c r="L4" s="2946" t="s">
        <v>139</v>
      </c>
      <c r="M4" s="2946" t="s">
        <v>140</v>
      </c>
      <c r="N4" s="2946" t="s">
        <v>141</v>
      </c>
      <c r="O4" s="2946" t="s">
        <v>142</v>
      </c>
      <c r="P4" s="2946" t="s">
        <v>143</v>
      </c>
      <c r="Q4" s="2946" t="s">
        <v>2870</v>
      </c>
      <c r="R4" s="2946" t="s">
        <v>2871</v>
      </c>
      <c r="S4" s="2946" t="s">
        <v>2872</v>
      </c>
      <c r="T4" s="2946" t="s">
        <v>2873</v>
      </c>
    </row>
    <row r="5" spans="1:20">
      <c r="A5" s="2951" t="s">
        <v>2836</v>
      </c>
      <c r="B5" s="2942" t="s">
        <v>2850</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2874</v>
      </c>
      <c r="R5" s="2946" t="s">
        <v>2875</v>
      </c>
      <c r="S5" s="2946" t="s">
        <v>153</v>
      </c>
      <c r="T5" s="2946" t="s">
        <v>2876</v>
      </c>
    </row>
    <row r="6" spans="1:20" ht="12" thickBot="1">
      <c r="A6" s="2946" t="s">
        <v>144</v>
      </c>
      <c r="B6" s="2946" t="s">
        <v>2865</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2877</v>
      </c>
      <c r="Q6" s="2946" t="s">
        <v>2878</v>
      </c>
      <c r="R6" s="2946" t="s">
        <v>161</v>
      </c>
      <c r="S6" s="2946" t="s">
        <v>2879</v>
      </c>
      <c r="T6" s="2946" t="s">
        <v>2880</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2881</v>
      </c>
      <c r="Q7" s="2946" t="s">
        <v>2882</v>
      </c>
      <c r="R7" s="2946" t="s">
        <v>2883</v>
      </c>
      <c r="S7" s="2946" t="s">
        <v>2884</v>
      </c>
      <c r="T7" s="2946" t="s">
        <v>2885</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2886</v>
      </c>
      <c r="Q8" s="2946" t="s">
        <v>174</v>
      </c>
      <c r="R8" s="2946" t="s">
        <v>2887</v>
      </c>
      <c r="S8" s="2946" t="s">
        <v>2888</v>
      </c>
      <c r="T8" s="2953" t="s">
        <v>2889</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2890</v>
      </c>
      <c r="Q9" s="2946" t="s">
        <v>182</v>
      </c>
      <c r="R9" s="2946" t="s">
        <v>183</v>
      </c>
      <c r="S9" s="2946" t="s">
        <v>200</v>
      </c>
    </row>
    <row r="10" spans="1:20">
      <c r="A10" s="2951" t="s">
        <v>184</v>
      </c>
      <c r="B10" s="2942" t="s">
        <v>2851</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2891</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2892</v>
      </c>
      <c r="P11" s="2946" t="s">
        <v>191</v>
      </c>
      <c r="Q11" s="2946" t="s">
        <v>199</v>
      </c>
      <c r="R11" s="2946" t="s">
        <v>2893</v>
      </c>
      <c r="S11" s="2946" t="s">
        <v>2894</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2895</v>
      </c>
      <c r="P12" s="2946" t="s">
        <v>2896</v>
      </c>
      <c r="Q12" s="2946" t="s">
        <v>2897</v>
      </c>
      <c r="R12" s="2946" t="s">
        <v>2898</v>
      </c>
      <c r="S12" s="2946" t="s">
        <v>2899</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2900</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2901</v>
      </c>
      <c r="K14" s="2947" t="s">
        <v>215</v>
      </c>
      <c r="L14" s="2946" t="s">
        <v>216</v>
      </c>
      <c r="M14" s="2946" t="s">
        <v>217</v>
      </c>
      <c r="N14" s="2946" t="s">
        <v>218</v>
      </c>
      <c r="O14" s="2946" t="s">
        <v>240</v>
      </c>
      <c r="P14" s="2946" t="s">
        <v>213</v>
      </c>
      <c r="Q14" s="2946" t="s">
        <v>2902</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2903</v>
      </c>
      <c r="P15" s="2946" t="s">
        <v>2904</v>
      </c>
      <c r="Q15" s="2946" t="s">
        <v>242</v>
      </c>
      <c r="R15" s="2946" t="s">
        <v>2905</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2906</v>
      </c>
      <c r="P16" s="2946" t="s">
        <v>227</v>
      </c>
      <c r="Q16" s="2946" t="s">
        <v>250</v>
      </c>
      <c r="R16" s="2946" t="s">
        <v>207</v>
      </c>
      <c r="S16" s="2946" t="s">
        <v>2907</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2908</v>
      </c>
      <c r="P17" s="2946" t="s">
        <v>2909</v>
      </c>
      <c r="Q17" s="2946" t="s">
        <v>256</v>
      </c>
      <c r="R17" s="2946" t="s">
        <v>2910</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2911</v>
      </c>
      <c r="P18" s="2946" t="s">
        <v>241</v>
      </c>
      <c r="Q18" s="2946" t="s">
        <v>2912</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2913</v>
      </c>
      <c r="P19" s="2946" t="s">
        <v>249</v>
      </c>
      <c r="Q19" s="2946" t="s">
        <v>2914</v>
      </c>
      <c r="R19" s="2946" t="s">
        <v>265</v>
      </c>
      <c r="S19" s="2946" t="s">
        <v>2915</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2916</v>
      </c>
      <c r="P20" s="2946" t="s">
        <v>2917</v>
      </c>
      <c r="Q20" s="2946" t="s">
        <v>290</v>
      </c>
      <c r="R20" s="2946" t="s">
        <v>2918</v>
      </c>
      <c r="S20" s="2946" t="s">
        <v>277</v>
      </c>
    </row>
    <row r="21" spans="1:19" ht="14.25" customHeight="1" thickBot="1">
      <c r="A21" s="2946" t="s">
        <v>184</v>
      </c>
      <c r="B21" s="2947" t="s">
        <v>208</v>
      </c>
      <c r="C21" s="2946">
        <v>32370</v>
      </c>
      <c r="D21" s="2946">
        <v>26730</v>
      </c>
      <c r="E21" s="2946">
        <v>26640</v>
      </c>
      <c r="F21" s="2946"/>
      <c r="G21" s="2946">
        <v>19440</v>
      </c>
      <c r="J21" s="2953" t="s">
        <v>2919</v>
      </c>
      <c r="K21" s="2947" t="s">
        <v>267</v>
      </c>
      <c r="L21" s="2946" t="s">
        <v>268</v>
      </c>
      <c r="M21" s="2946" t="s">
        <v>269</v>
      </c>
      <c r="N21" s="2946" t="s">
        <v>270</v>
      </c>
      <c r="O21" s="2946" t="s">
        <v>264</v>
      </c>
      <c r="P21" s="2946" t="s">
        <v>283</v>
      </c>
      <c r="Q21" s="2946" t="s">
        <v>293</v>
      </c>
      <c r="R21" s="2946" t="s">
        <v>2920</v>
      </c>
      <c r="S21" s="2953" t="s">
        <v>2921</v>
      </c>
    </row>
    <row r="22" spans="1:19" ht="14.25" customHeight="1">
      <c r="A22" s="2946" t="s">
        <v>184</v>
      </c>
      <c r="B22" s="2947" t="s">
        <v>2901</v>
      </c>
      <c r="C22" s="2946">
        <v>29830</v>
      </c>
      <c r="D22" s="2946">
        <v>27600</v>
      </c>
      <c r="E22" s="2946">
        <v>28150</v>
      </c>
      <c r="F22" s="2946"/>
      <c r="G22" s="2946">
        <v>20080</v>
      </c>
      <c r="K22" s="2947" t="s">
        <v>2922</v>
      </c>
      <c r="L22" s="2946" t="s">
        <v>272</v>
      </c>
      <c r="M22" s="2946" t="s">
        <v>273</v>
      </c>
      <c r="N22" s="2946" t="s">
        <v>274</v>
      </c>
      <c r="O22" s="2946" t="s">
        <v>2923</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2924</v>
      </c>
      <c r="L23" s="2946" t="s">
        <v>278</v>
      </c>
      <c r="M23" s="2946" t="s">
        <v>279</v>
      </c>
      <c r="N23" s="2946" t="s">
        <v>2925</v>
      </c>
      <c r="O23" s="2946" t="s">
        <v>2926</v>
      </c>
      <c r="P23" s="2946" t="s">
        <v>289</v>
      </c>
      <c r="Q23" s="2946" t="s">
        <v>298</v>
      </c>
      <c r="R23" s="2946" t="s">
        <v>2927</v>
      </c>
    </row>
    <row r="24" spans="1:19" ht="14.25" customHeight="1">
      <c r="A24" s="2946" t="s">
        <v>184</v>
      </c>
      <c r="B24" s="2947" t="s">
        <v>230</v>
      </c>
      <c r="C24" s="2946">
        <v>27930</v>
      </c>
      <c r="D24" s="2946">
        <v>32260</v>
      </c>
      <c r="E24" s="2946">
        <v>32120</v>
      </c>
      <c r="F24" s="2946"/>
      <c r="G24" s="2946">
        <v>23470</v>
      </c>
      <c r="K24" s="2947" t="s">
        <v>2928</v>
      </c>
      <c r="L24" s="2946" t="s">
        <v>281</v>
      </c>
      <c r="M24" s="2946" t="s">
        <v>282</v>
      </c>
      <c r="N24" s="2946" t="s">
        <v>2929</v>
      </c>
      <c r="O24" s="2946" t="s">
        <v>285</v>
      </c>
      <c r="P24" s="2946" t="s">
        <v>2930</v>
      </c>
      <c r="Q24" s="2955" t="s">
        <v>2931</v>
      </c>
      <c r="R24" s="2946" t="s">
        <v>2932</v>
      </c>
    </row>
    <row r="25" spans="1:19" ht="14.25" customHeight="1">
      <c r="A25" s="2946" t="s">
        <v>184</v>
      </c>
      <c r="B25" s="2947" t="s">
        <v>235</v>
      </c>
      <c r="C25" s="2946">
        <v>32230</v>
      </c>
      <c r="D25" s="2946">
        <v>29640</v>
      </c>
      <c r="E25" s="2946">
        <v>29510</v>
      </c>
      <c r="F25" s="2946"/>
      <c r="G25" s="2946">
        <v>21560</v>
      </c>
      <c r="K25" s="2947" t="s">
        <v>2933</v>
      </c>
      <c r="L25" s="2946" t="s">
        <v>2934</v>
      </c>
      <c r="M25" s="2946" t="s">
        <v>284</v>
      </c>
      <c r="N25" s="2946" t="s">
        <v>292</v>
      </c>
      <c r="O25" s="2946" t="s">
        <v>288</v>
      </c>
      <c r="P25" s="2946" t="s">
        <v>275</v>
      </c>
      <c r="Q25" s="2955" t="s">
        <v>271</v>
      </c>
      <c r="R25" s="2946" t="s">
        <v>2935</v>
      </c>
    </row>
    <row r="26" spans="1:19" ht="14.25" customHeight="1" thickBot="1">
      <c r="A26" s="2946" t="s">
        <v>184</v>
      </c>
      <c r="B26" s="2947" t="s">
        <v>244</v>
      </c>
      <c r="C26" s="2946">
        <v>31690</v>
      </c>
      <c r="D26" s="2946">
        <v>27650</v>
      </c>
      <c r="E26" s="2946">
        <v>28200</v>
      </c>
      <c r="F26" s="2946"/>
      <c r="G26" s="2946">
        <v>20110</v>
      </c>
      <c r="K26" s="2952" t="s">
        <v>2936</v>
      </c>
      <c r="L26" s="2946" t="s">
        <v>2937</v>
      </c>
      <c r="M26" s="2946" t="s">
        <v>287</v>
      </c>
      <c r="N26" s="2946" t="s">
        <v>294</v>
      </c>
      <c r="O26" s="2946" t="s">
        <v>2938</v>
      </c>
      <c r="P26" s="2946" t="s">
        <v>2939</v>
      </c>
      <c r="Q26" s="2955" t="s">
        <v>276</v>
      </c>
      <c r="R26" s="2946" t="s">
        <v>2940</v>
      </c>
    </row>
    <row r="27" spans="1:19" ht="14.25" customHeight="1">
      <c r="A27" s="2946" t="s">
        <v>184</v>
      </c>
      <c r="B27" s="2947" t="s">
        <v>251</v>
      </c>
      <c r="C27" s="2946">
        <v>29610</v>
      </c>
      <c r="D27" s="2946">
        <v>27770</v>
      </c>
      <c r="E27" s="2946">
        <v>28300</v>
      </c>
      <c r="F27" s="2946"/>
      <c r="G27" s="2946">
        <v>20210</v>
      </c>
      <c r="L27" s="2946" t="s">
        <v>2941</v>
      </c>
      <c r="M27" s="2946" t="s">
        <v>291</v>
      </c>
      <c r="N27" s="2946" t="s">
        <v>297</v>
      </c>
      <c r="O27" s="2946" t="s">
        <v>2942</v>
      </c>
      <c r="P27" s="2946" t="s">
        <v>2943</v>
      </c>
      <c r="Q27" s="2946" t="s">
        <v>2944</v>
      </c>
      <c r="R27" s="2946" t="s">
        <v>2945</v>
      </c>
    </row>
    <row r="28" spans="1:19" ht="14.25" customHeight="1">
      <c r="A28" s="2946" t="s">
        <v>184</v>
      </c>
      <c r="B28" s="2947" t="s">
        <v>259</v>
      </c>
      <c r="C28" s="2946"/>
      <c r="D28" s="2946">
        <v>31520</v>
      </c>
      <c r="E28" s="2946">
        <v>31410</v>
      </c>
      <c r="F28" s="2946"/>
      <c r="G28" s="2946">
        <v>22940</v>
      </c>
      <c r="L28" s="2946" t="s">
        <v>2946</v>
      </c>
      <c r="M28" s="2946" t="s">
        <v>2947</v>
      </c>
      <c r="N28" s="2946" t="s">
        <v>2948</v>
      </c>
      <c r="O28" s="2946" t="s">
        <v>2949</v>
      </c>
      <c r="P28" s="2946" t="s">
        <v>2950</v>
      </c>
      <c r="Q28" s="2946" t="s">
        <v>2951</v>
      </c>
      <c r="R28" s="2946" t="s">
        <v>2952</v>
      </c>
    </row>
    <row r="29" spans="1:19" ht="14.25" customHeight="1" thickBot="1">
      <c r="A29" s="2954" t="s">
        <v>184</v>
      </c>
      <c r="B29" s="2956" t="s">
        <v>2919</v>
      </c>
      <c r="C29" s="2957"/>
      <c r="D29" s="2957">
        <v>29460</v>
      </c>
      <c r="E29" s="2957">
        <v>28640</v>
      </c>
      <c r="F29" s="2957"/>
      <c r="G29" s="2957">
        <v>21430</v>
      </c>
      <c r="L29" s="2946" t="s">
        <v>2953</v>
      </c>
      <c r="M29" s="2946" t="s">
        <v>2954</v>
      </c>
      <c r="N29" s="2946" t="s">
        <v>2955</v>
      </c>
      <c r="O29" s="2946" t="s">
        <v>2956</v>
      </c>
      <c r="P29" s="2946" t="s">
        <v>2957</v>
      </c>
      <c r="Q29" s="2946" t="s">
        <v>2958</v>
      </c>
      <c r="R29" s="2946" t="s">
        <v>280</v>
      </c>
    </row>
    <row r="30" spans="1:19" ht="14.25" customHeight="1">
      <c r="A30" s="2951" t="s">
        <v>296</v>
      </c>
      <c r="B30" s="2942" t="s">
        <v>2852</v>
      </c>
      <c r="C30" s="2942">
        <v>26890</v>
      </c>
      <c r="D30" s="2942">
        <v>26770</v>
      </c>
      <c r="E30" s="2942">
        <v>25700</v>
      </c>
      <c r="F30" s="2942">
        <v>8180</v>
      </c>
      <c r="G30" s="2958">
        <v>18740</v>
      </c>
      <c r="L30" s="2946" t="s">
        <v>2959</v>
      </c>
      <c r="M30" s="2946" t="s">
        <v>2960</v>
      </c>
      <c r="N30" s="2946" t="s">
        <v>2961</v>
      </c>
      <c r="O30" s="2946" t="s">
        <v>2962</v>
      </c>
      <c r="P30" s="2946" t="s">
        <v>2963</v>
      </c>
      <c r="Q30" s="2946" t="s">
        <v>2964</v>
      </c>
      <c r="R30" s="2946" t="s">
        <v>2965</v>
      </c>
    </row>
    <row r="31" spans="1:19" ht="14.25" customHeight="1">
      <c r="A31" s="2946" t="s">
        <v>296</v>
      </c>
      <c r="B31" s="2947" t="s">
        <v>129</v>
      </c>
      <c r="C31" s="2946">
        <v>24550</v>
      </c>
      <c r="D31" s="2946">
        <v>23990</v>
      </c>
      <c r="E31" s="2946">
        <v>22930</v>
      </c>
      <c r="F31" s="2946">
        <v>7470</v>
      </c>
      <c r="G31" s="2959">
        <v>16790</v>
      </c>
      <c r="L31" s="2946" t="s">
        <v>2966</v>
      </c>
      <c r="M31" s="2946" t="s">
        <v>2967</v>
      </c>
      <c r="N31" s="2946" t="s">
        <v>2968</v>
      </c>
      <c r="O31" s="2946" t="s">
        <v>2969</v>
      </c>
      <c r="P31" s="2946" t="s">
        <v>2970</v>
      </c>
      <c r="Q31" s="2946" t="s">
        <v>2971</v>
      </c>
      <c r="R31" s="2946" t="s">
        <v>2972</v>
      </c>
    </row>
    <row r="32" spans="1:19" ht="14.25" customHeight="1" thickBot="1">
      <c r="A32" s="2946" t="s">
        <v>296</v>
      </c>
      <c r="B32" s="2947" t="s">
        <v>138</v>
      </c>
      <c r="C32" s="2946">
        <v>27210</v>
      </c>
      <c r="D32" s="2946">
        <v>23240</v>
      </c>
      <c r="E32" s="2946">
        <v>23260</v>
      </c>
      <c r="F32" s="2946">
        <v>7130</v>
      </c>
      <c r="G32" s="2959">
        <v>16270</v>
      </c>
      <c r="L32" s="2946" t="s">
        <v>2973</v>
      </c>
      <c r="M32" s="2946" t="s">
        <v>2974</v>
      </c>
      <c r="N32" s="2946" t="s">
        <v>300</v>
      </c>
      <c r="O32" s="2946" t="s">
        <v>2975</v>
      </c>
      <c r="P32" s="2946" t="s">
        <v>299</v>
      </c>
      <c r="Q32" s="2946" t="s">
        <v>2976</v>
      </c>
      <c r="R32" s="2953" t="s">
        <v>2977</v>
      </c>
    </row>
    <row r="33" spans="1:17" ht="14.25" customHeight="1" thickBot="1">
      <c r="A33" s="2946" t="s">
        <v>296</v>
      </c>
      <c r="B33" s="2947" t="s">
        <v>147</v>
      </c>
      <c r="C33" s="2946">
        <v>27300</v>
      </c>
      <c r="D33" s="2946">
        <v>22980</v>
      </c>
      <c r="E33" s="2946">
        <v>24260</v>
      </c>
      <c r="F33" s="2946">
        <v>5860</v>
      </c>
      <c r="G33" s="2959">
        <v>16090</v>
      </c>
      <c r="L33" s="2953" t="s">
        <v>2978</v>
      </c>
      <c r="M33" s="2946" t="s">
        <v>2979</v>
      </c>
      <c r="N33" s="2946" t="s">
        <v>301</v>
      </c>
      <c r="O33" s="2946" t="s">
        <v>2980</v>
      </c>
      <c r="P33" s="2946" t="s">
        <v>2981</v>
      </c>
      <c r="Q33" s="2946" t="s">
        <v>2982</v>
      </c>
    </row>
    <row r="34" spans="1:17" ht="14.25" customHeight="1">
      <c r="A34" s="2946" t="s">
        <v>296</v>
      </c>
      <c r="B34" s="2947" t="s">
        <v>156</v>
      </c>
      <c r="C34" s="2946">
        <v>23090</v>
      </c>
      <c r="D34" s="2946">
        <v>23390</v>
      </c>
      <c r="E34" s="2946">
        <v>23510</v>
      </c>
      <c r="F34" s="2946">
        <v>6700</v>
      </c>
      <c r="G34" s="2959">
        <v>16370</v>
      </c>
      <c r="M34" s="2946" t="s">
        <v>2983</v>
      </c>
      <c r="N34" s="2946" t="s">
        <v>302</v>
      </c>
      <c r="O34" s="2946" t="s">
        <v>2984</v>
      </c>
      <c r="P34" s="2946" t="s">
        <v>2985</v>
      </c>
      <c r="Q34" s="2946" t="s">
        <v>2986</v>
      </c>
    </row>
    <row r="35" spans="1:17" ht="14.25" customHeight="1">
      <c r="A35" s="2946" t="s">
        <v>296</v>
      </c>
      <c r="B35" s="2947" t="s">
        <v>163</v>
      </c>
      <c r="C35" s="2946">
        <v>27270</v>
      </c>
      <c r="D35" s="2946">
        <v>24270</v>
      </c>
      <c r="E35" s="2946">
        <v>24950</v>
      </c>
      <c r="F35" s="2946">
        <v>6600</v>
      </c>
      <c r="G35" s="2959">
        <v>16990</v>
      </c>
      <c r="M35" s="2946" t="s">
        <v>2987</v>
      </c>
      <c r="N35" s="2946" t="s">
        <v>2988</v>
      </c>
      <c r="O35" s="2946" t="s">
        <v>2989</v>
      </c>
      <c r="P35" s="2946" t="s">
        <v>2990</v>
      </c>
      <c r="Q35" s="2946" t="s">
        <v>2991</v>
      </c>
    </row>
    <row r="36" spans="1:17" ht="14.25" customHeight="1">
      <c r="A36" s="2946" t="s">
        <v>296</v>
      </c>
      <c r="B36" s="2947" t="s">
        <v>169</v>
      </c>
      <c r="C36" s="2946">
        <v>23490</v>
      </c>
      <c r="D36" s="2946">
        <v>23020</v>
      </c>
      <c r="E36" s="2946">
        <v>25230</v>
      </c>
      <c r="F36" s="2946">
        <v>6780</v>
      </c>
      <c r="G36" s="2959">
        <v>16120</v>
      </c>
      <c r="M36" s="2946" t="s">
        <v>2992</v>
      </c>
      <c r="N36" s="2946" t="s">
        <v>2993</v>
      </c>
      <c r="O36" s="2946" t="s">
        <v>2994</v>
      </c>
      <c r="P36" s="2946" t="s">
        <v>2995</v>
      </c>
      <c r="Q36" s="2946" t="s">
        <v>2996</v>
      </c>
    </row>
    <row r="37" spans="1:17" ht="14.25" customHeight="1">
      <c r="A37" s="2946" t="s">
        <v>296</v>
      </c>
      <c r="B37" s="2947" t="s">
        <v>176</v>
      </c>
      <c r="C37" s="2946">
        <v>24380</v>
      </c>
      <c r="D37" s="2946">
        <v>22240</v>
      </c>
      <c r="E37" s="2946">
        <v>25980</v>
      </c>
      <c r="F37" s="2946">
        <v>8160</v>
      </c>
      <c r="G37" s="2959">
        <v>15570</v>
      </c>
      <c r="M37" s="2946" t="s">
        <v>2997</v>
      </c>
      <c r="N37" s="2946" t="s">
        <v>2998</v>
      </c>
      <c r="O37" s="2946" t="s">
        <v>2999</v>
      </c>
      <c r="P37" s="2946" t="s">
        <v>3000</v>
      </c>
      <c r="Q37" s="2946" t="s">
        <v>3001</v>
      </c>
    </row>
    <row r="38" spans="1:17" ht="14.25" customHeight="1">
      <c r="A38" s="2946" t="s">
        <v>296</v>
      </c>
      <c r="B38" s="2947" t="s">
        <v>186</v>
      </c>
      <c r="C38" s="2946">
        <v>23120</v>
      </c>
      <c r="D38" s="2946">
        <v>24630</v>
      </c>
      <c r="E38" s="2946">
        <v>25030</v>
      </c>
      <c r="F38" s="2946">
        <v>7710</v>
      </c>
      <c r="G38" s="2959">
        <v>17240</v>
      </c>
      <c r="M38" s="2946" t="s">
        <v>3002</v>
      </c>
      <c r="N38" s="2946" t="s">
        <v>3003</v>
      </c>
      <c r="O38" s="2946" t="s">
        <v>3004</v>
      </c>
      <c r="P38" s="2946" t="s">
        <v>3005</v>
      </c>
      <c r="Q38" s="2946" t="s">
        <v>3006</v>
      </c>
    </row>
    <row r="39" spans="1:17" ht="14.25" customHeight="1">
      <c r="A39" s="2946" t="s">
        <v>296</v>
      </c>
      <c r="B39" s="2947" t="s">
        <v>195</v>
      </c>
      <c r="C39" s="2946">
        <v>22330</v>
      </c>
      <c r="D39" s="2946">
        <v>21140</v>
      </c>
      <c r="E39" s="2946">
        <v>23970</v>
      </c>
      <c r="F39" s="2946">
        <v>7940</v>
      </c>
      <c r="G39" s="2959">
        <v>14790</v>
      </c>
      <c r="M39" s="2946" t="s">
        <v>3007</v>
      </c>
      <c r="N39" s="2946" t="s">
        <v>3008</v>
      </c>
      <c r="O39" s="2946" t="s">
        <v>3009</v>
      </c>
      <c r="P39" s="2946" t="s">
        <v>3010</v>
      </c>
      <c r="Q39" s="2946" t="s">
        <v>3011</v>
      </c>
    </row>
    <row r="40" spans="1:17" ht="14.25" customHeight="1">
      <c r="A40" s="2946" t="s">
        <v>296</v>
      </c>
      <c r="B40" s="2947" t="s">
        <v>202</v>
      </c>
      <c r="C40" s="2946">
        <v>24740</v>
      </c>
      <c r="D40" s="2946">
        <v>24690</v>
      </c>
      <c r="E40" s="2946">
        <v>22610</v>
      </c>
      <c r="F40" s="2946"/>
      <c r="G40" s="2959">
        <v>17280</v>
      </c>
      <c r="M40" s="2946" t="s">
        <v>3012</v>
      </c>
      <c r="N40" s="2946" t="s">
        <v>3013</v>
      </c>
      <c r="O40" s="2946" t="s">
        <v>3014</v>
      </c>
      <c r="P40" s="2946" t="s">
        <v>3015</v>
      </c>
      <c r="Q40" s="2946" t="s">
        <v>3016</v>
      </c>
    </row>
    <row r="41" spans="1:17" ht="14.25" customHeight="1" thickBot="1">
      <c r="A41" s="2946" t="s">
        <v>296</v>
      </c>
      <c r="B41" s="2947" t="s">
        <v>209</v>
      </c>
      <c r="C41" s="2946">
        <v>21220</v>
      </c>
      <c r="D41" s="2946">
        <v>21120</v>
      </c>
      <c r="E41" s="2946">
        <v>22590</v>
      </c>
      <c r="F41" s="2946"/>
      <c r="G41" s="2959">
        <v>14780</v>
      </c>
      <c r="M41" s="2953" t="s">
        <v>3017</v>
      </c>
      <c r="N41" s="2946" t="s">
        <v>3018</v>
      </c>
      <c r="O41" s="2946" t="s">
        <v>3019</v>
      </c>
      <c r="P41" s="2946" t="s">
        <v>3020</v>
      </c>
      <c r="Q41" s="2946" t="s">
        <v>3021</v>
      </c>
    </row>
    <row r="42" spans="1:17" ht="14.25" customHeight="1">
      <c r="A42" s="2946" t="s">
        <v>296</v>
      </c>
      <c r="B42" s="2947" t="s">
        <v>215</v>
      </c>
      <c r="C42" s="2946">
        <v>24800</v>
      </c>
      <c r="D42" s="2946">
        <v>22280</v>
      </c>
      <c r="E42" s="2946">
        <v>24350</v>
      </c>
      <c r="F42" s="2946"/>
      <c r="G42" s="2959">
        <v>15590</v>
      </c>
      <c r="N42" s="2946" t="s">
        <v>3022</v>
      </c>
      <c r="O42" s="2946" t="s">
        <v>3023</v>
      </c>
      <c r="P42" s="2946" t="s">
        <v>3024</v>
      </c>
      <c r="Q42" s="2946" t="s">
        <v>3025</v>
      </c>
    </row>
    <row r="43" spans="1:17" ht="14.25" customHeight="1">
      <c r="A43" s="2946" t="s">
        <v>3026</v>
      </c>
      <c r="B43" s="2947" t="s">
        <v>223</v>
      </c>
      <c r="C43" s="2946">
        <v>21210</v>
      </c>
      <c r="D43" s="2946">
        <v>21160</v>
      </c>
      <c r="E43" s="2946">
        <v>22650</v>
      </c>
      <c r="F43" s="2946"/>
      <c r="G43" s="2959">
        <v>14800</v>
      </c>
      <c r="N43" s="2946" t="s">
        <v>3027</v>
      </c>
      <c r="O43" s="2946" t="s">
        <v>3028</v>
      </c>
      <c r="P43" s="2946" t="s">
        <v>3029</v>
      </c>
      <c r="Q43" s="2946" t="s">
        <v>3030</v>
      </c>
    </row>
    <row r="44" spans="1:17" ht="14.25" customHeight="1" thickBot="1">
      <c r="A44" s="2946" t="s">
        <v>296</v>
      </c>
      <c r="B44" s="2947" t="s">
        <v>231</v>
      </c>
      <c r="C44" s="2946">
        <v>22370</v>
      </c>
      <c r="D44" s="2946">
        <v>23140</v>
      </c>
      <c r="E44" s="2946">
        <v>25090</v>
      </c>
      <c r="F44" s="2946"/>
      <c r="G44" s="2959">
        <v>16190</v>
      </c>
      <c r="N44" s="2946" t="s">
        <v>3031</v>
      </c>
      <c r="O44" s="2946" t="s">
        <v>3032</v>
      </c>
      <c r="P44" s="2953" t="s">
        <v>3033</v>
      </c>
      <c r="Q44" s="2946" t="s">
        <v>3034</v>
      </c>
    </row>
    <row r="45" spans="1:17" ht="14.25" customHeight="1" thickBot="1">
      <c r="A45" s="2946" t="s">
        <v>296</v>
      </c>
      <c r="B45" s="2947" t="s">
        <v>236</v>
      </c>
      <c r="C45" s="2946">
        <v>21240</v>
      </c>
      <c r="D45" s="2946">
        <v>27050</v>
      </c>
      <c r="E45" s="2946">
        <v>28000</v>
      </c>
      <c r="F45" s="2946"/>
      <c r="G45" s="2959">
        <v>18940</v>
      </c>
      <c r="N45" s="2946" t="s">
        <v>3035</v>
      </c>
      <c r="O45" s="2953" t="s">
        <v>3036</v>
      </c>
      <c r="Q45" s="2946" t="s">
        <v>3037</v>
      </c>
    </row>
    <row r="46" spans="1:17" ht="14.25" customHeight="1">
      <c r="A46" s="2946" t="s">
        <v>296</v>
      </c>
      <c r="B46" s="2947" t="s">
        <v>245</v>
      </c>
      <c r="C46" s="2946">
        <v>23240</v>
      </c>
      <c r="D46" s="2946">
        <v>23000</v>
      </c>
      <c r="E46" s="2946">
        <v>24980</v>
      </c>
      <c r="F46" s="2946"/>
      <c r="G46" s="2959">
        <v>16100</v>
      </c>
      <c r="N46" s="2946" t="s">
        <v>3038</v>
      </c>
      <c r="Q46" s="2946" t="s">
        <v>3039</v>
      </c>
    </row>
    <row r="47" spans="1:17" ht="14.25" customHeight="1">
      <c r="A47" s="2946" t="s">
        <v>296</v>
      </c>
      <c r="B47" s="2947" t="s">
        <v>252</v>
      </c>
      <c r="C47" s="2946">
        <v>27150</v>
      </c>
      <c r="D47" s="2946">
        <v>23310</v>
      </c>
      <c r="E47" s="2946">
        <v>25150</v>
      </c>
      <c r="F47" s="2946"/>
      <c r="G47" s="2959">
        <v>16310</v>
      </c>
      <c r="N47" s="2946" t="s">
        <v>3040</v>
      </c>
      <c r="Q47" s="2946" t="s">
        <v>3041</v>
      </c>
    </row>
    <row r="48" spans="1:17" ht="14.25" customHeight="1">
      <c r="A48" s="2946" t="s">
        <v>296</v>
      </c>
      <c r="B48" s="2947" t="s">
        <v>260</v>
      </c>
      <c r="C48" s="2946">
        <v>23100</v>
      </c>
      <c r="D48" s="2946">
        <v>21110</v>
      </c>
      <c r="E48" s="2946">
        <v>23080</v>
      </c>
      <c r="F48" s="2946"/>
      <c r="G48" s="2959">
        <v>14780</v>
      </c>
      <c r="N48" s="2946" t="s">
        <v>3042</v>
      </c>
      <c r="Q48" s="2946" t="s">
        <v>3043</v>
      </c>
    </row>
    <row r="49" spans="1:17" ht="14.25" customHeight="1">
      <c r="A49" s="2946" t="s">
        <v>296</v>
      </c>
      <c r="B49" s="2947" t="s">
        <v>267</v>
      </c>
      <c r="C49" s="2946">
        <v>23400</v>
      </c>
      <c r="D49" s="2946">
        <v>22920</v>
      </c>
      <c r="E49" s="2946">
        <v>24900</v>
      </c>
      <c r="F49" s="2946"/>
      <c r="G49" s="2959">
        <v>16040</v>
      </c>
      <c r="N49" s="2946" t="s">
        <v>3044</v>
      </c>
      <c r="Q49" s="2946" t="s">
        <v>3045</v>
      </c>
    </row>
    <row r="50" spans="1:17" ht="14.25" customHeight="1">
      <c r="A50" s="2946" t="s">
        <v>296</v>
      </c>
      <c r="B50" s="2947" t="s">
        <v>2922</v>
      </c>
      <c r="C50" s="2946">
        <v>21200</v>
      </c>
      <c r="D50" s="2946">
        <v>26540</v>
      </c>
      <c r="E50" s="2946">
        <v>23200</v>
      </c>
      <c r="F50" s="2946"/>
      <c r="G50" s="2959">
        <v>18580</v>
      </c>
      <c r="N50" s="2946" t="s">
        <v>3046</v>
      </c>
      <c r="Q50" s="2947" t="s">
        <v>3047</v>
      </c>
    </row>
    <row r="51" spans="1:17" ht="14.25" customHeight="1" thickBot="1">
      <c r="A51" s="2946" t="s">
        <v>296</v>
      </c>
      <c r="B51" s="2947" t="s">
        <v>2924</v>
      </c>
      <c r="C51" s="2946">
        <v>23000</v>
      </c>
      <c r="D51" s="2946">
        <v>23460</v>
      </c>
      <c r="E51" s="2946">
        <v>25290</v>
      </c>
      <c r="F51" s="2946"/>
      <c r="G51" s="2959">
        <v>16420</v>
      </c>
      <c r="N51" s="2946" t="s">
        <v>3048</v>
      </c>
      <c r="Q51" s="2953" t="s">
        <v>3049</v>
      </c>
    </row>
    <row r="52" spans="1:17" ht="14.25" customHeight="1">
      <c r="A52" s="2946" t="s">
        <v>296</v>
      </c>
      <c r="B52" s="2947" t="s">
        <v>2928</v>
      </c>
      <c r="C52" s="2946">
        <v>26660</v>
      </c>
      <c r="D52" s="2946">
        <v>22350</v>
      </c>
      <c r="E52" s="2946">
        <v>22920</v>
      </c>
      <c r="F52" s="2946"/>
      <c r="G52" s="2959">
        <v>15640</v>
      </c>
      <c r="N52" s="2946" t="s">
        <v>3050</v>
      </c>
    </row>
    <row r="53" spans="1:17" ht="14.25" customHeight="1">
      <c r="A53" s="2946" t="s">
        <v>296</v>
      </c>
      <c r="B53" s="2947" t="s">
        <v>2933</v>
      </c>
      <c r="C53" s="2946">
        <v>23580</v>
      </c>
      <c r="D53" s="2946"/>
      <c r="E53" s="2946">
        <v>24280</v>
      </c>
      <c r="F53" s="2946"/>
      <c r="G53" s="2959"/>
      <c r="N53" s="2946" t="s">
        <v>3051</v>
      </c>
    </row>
    <row r="54" spans="1:17" ht="14.25" customHeight="1" thickBot="1">
      <c r="A54" s="2960" t="s">
        <v>296</v>
      </c>
      <c r="B54" s="2952" t="s">
        <v>2936</v>
      </c>
      <c r="C54" s="2953">
        <v>22460</v>
      </c>
      <c r="D54" s="2953"/>
      <c r="E54" s="2953"/>
      <c r="F54" s="2953"/>
      <c r="G54" s="2961"/>
      <c r="N54" s="2946" t="s">
        <v>3052</v>
      </c>
    </row>
    <row r="55" spans="1:17" ht="14.25" customHeight="1">
      <c r="A55" s="2951" t="s">
        <v>110</v>
      </c>
      <c r="B55" s="2942" t="s">
        <v>3053</v>
      </c>
      <c r="C55" s="2946">
        <v>21970</v>
      </c>
      <c r="D55" s="2946">
        <v>20370</v>
      </c>
      <c r="E55" s="2946">
        <v>20180</v>
      </c>
      <c r="F55" s="2946">
        <v>5730</v>
      </c>
      <c r="G55" s="2946">
        <v>13820</v>
      </c>
      <c r="N55" s="2946" t="s">
        <v>3054</v>
      </c>
    </row>
    <row r="56" spans="1:17" ht="14.25" customHeight="1">
      <c r="A56" s="2946" t="s">
        <v>110</v>
      </c>
      <c r="B56" s="2946" t="s">
        <v>130</v>
      </c>
      <c r="C56" s="2946">
        <v>20470</v>
      </c>
      <c r="D56" s="2946">
        <v>20700</v>
      </c>
      <c r="E56" s="2946">
        <v>20380</v>
      </c>
      <c r="F56" s="2946">
        <v>4760</v>
      </c>
      <c r="G56" s="2946">
        <v>14050</v>
      </c>
      <c r="N56" s="2946" t="s">
        <v>3055</v>
      </c>
    </row>
    <row r="57" spans="1:17" ht="14.25" customHeight="1">
      <c r="A57" s="2946" t="s">
        <v>110</v>
      </c>
      <c r="B57" s="2946" t="s">
        <v>139</v>
      </c>
      <c r="C57" s="2946">
        <v>20790</v>
      </c>
      <c r="D57" s="2946">
        <v>21370</v>
      </c>
      <c r="E57" s="2946">
        <v>20890</v>
      </c>
      <c r="F57" s="2946">
        <v>4910</v>
      </c>
      <c r="G57" s="2946">
        <v>14510</v>
      </c>
      <c r="N57" s="2946" t="s">
        <v>3056</v>
      </c>
    </row>
    <row r="58" spans="1:17" ht="14.25" customHeight="1">
      <c r="A58" s="2946" t="s">
        <v>110</v>
      </c>
      <c r="B58" s="2946" t="s">
        <v>148</v>
      </c>
      <c r="C58" s="2946">
        <v>21460</v>
      </c>
      <c r="D58" s="2946">
        <v>20920</v>
      </c>
      <c r="E58" s="2946">
        <v>23410</v>
      </c>
      <c r="F58" s="2946">
        <v>5100</v>
      </c>
      <c r="G58" s="2946">
        <v>14200</v>
      </c>
      <c r="N58" s="2946" t="s">
        <v>3057</v>
      </c>
    </row>
    <row r="59" spans="1:17" ht="14.25" customHeight="1">
      <c r="A59" s="2946" t="s">
        <v>110</v>
      </c>
      <c r="B59" s="2946" t="s">
        <v>157</v>
      </c>
      <c r="C59" s="2946">
        <v>21000</v>
      </c>
      <c r="D59" s="2946">
        <v>21550</v>
      </c>
      <c r="E59" s="2946">
        <v>21150</v>
      </c>
      <c r="F59" s="2946">
        <v>5250</v>
      </c>
      <c r="G59" s="2946">
        <v>14630</v>
      </c>
      <c r="N59" s="2946" t="s">
        <v>3058</v>
      </c>
    </row>
    <row r="60" spans="1:17" ht="14.25" customHeight="1">
      <c r="A60" s="2946" t="s">
        <v>110</v>
      </c>
      <c r="B60" s="2946" t="s">
        <v>164</v>
      </c>
      <c r="C60" s="2946">
        <v>21640</v>
      </c>
      <c r="D60" s="2946">
        <v>21260</v>
      </c>
      <c r="E60" s="2946">
        <v>24040</v>
      </c>
      <c r="F60" s="2946">
        <v>4470</v>
      </c>
      <c r="G60" s="2946">
        <v>14430</v>
      </c>
      <c r="N60" s="2946" t="s">
        <v>3059</v>
      </c>
    </row>
    <row r="61" spans="1:17" ht="14.25" customHeight="1">
      <c r="A61" s="2946" t="s">
        <v>110</v>
      </c>
      <c r="B61" s="2946" t="s">
        <v>170</v>
      </c>
      <c r="C61" s="2946">
        <v>21330</v>
      </c>
      <c r="D61" s="2946">
        <v>18640</v>
      </c>
      <c r="E61" s="2946">
        <v>21190</v>
      </c>
      <c r="F61" s="2946">
        <v>4180</v>
      </c>
      <c r="G61" s="2946">
        <v>12650</v>
      </c>
      <c r="N61" s="2946" t="s">
        <v>3060</v>
      </c>
    </row>
    <row r="62" spans="1:17" ht="14.25" customHeight="1">
      <c r="A62" s="2946" t="s">
        <v>110</v>
      </c>
      <c r="B62" s="2946" t="s">
        <v>177</v>
      </c>
      <c r="C62" s="2946">
        <v>18710</v>
      </c>
      <c r="D62" s="2946">
        <v>19400</v>
      </c>
      <c r="E62" s="2946">
        <v>23750</v>
      </c>
      <c r="F62" s="2946">
        <v>4860</v>
      </c>
      <c r="G62" s="2946">
        <v>13170</v>
      </c>
      <c r="N62" s="2946" t="s">
        <v>3061</v>
      </c>
    </row>
    <row r="63" spans="1:17" ht="14.25" customHeight="1">
      <c r="A63" s="2946" t="s">
        <v>110</v>
      </c>
      <c r="B63" s="2946" t="s">
        <v>187</v>
      </c>
      <c r="C63" s="2946">
        <v>19480</v>
      </c>
      <c r="D63" s="2946">
        <v>16830</v>
      </c>
      <c r="E63" s="2946">
        <v>21590</v>
      </c>
      <c r="F63" s="2946">
        <v>4560</v>
      </c>
      <c r="G63" s="2946">
        <v>11420</v>
      </c>
      <c r="N63" s="2946" t="s">
        <v>3062</v>
      </c>
    </row>
    <row r="64" spans="1:17" ht="14.25" customHeight="1" thickBot="1">
      <c r="A64" s="2946" t="s">
        <v>110</v>
      </c>
      <c r="B64" s="2946" t="s">
        <v>196</v>
      </c>
      <c r="C64" s="2946">
        <v>16920</v>
      </c>
      <c r="D64" s="2946">
        <v>19190</v>
      </c>
      <c r="E64" s="2946">
        <v>22200</v>
      </c>
      <c r="F64" s="2946">
        <v>4390</v>
      </c>
      <c r="G64" s="2946">
        <v>13030</v>
      </c>
      <c r="N64" s="2953" t="s">
        <v>3063</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2934</v>
      </c>
      <c r="C78" s="2946">
        <v>19820</v>
      </c>
      <c r="D78" s="2946">
        <v>19780</v>
      </c>
      <c r="E78" s="2946">
        <v>18560</v>
      </c>
      <c r="F78" s="2946"/>
      <c r="G78" s="2946">
        <v>13430</v>
      </c>
    </row>
    <row r="79" spans="1:7" s="2780" customFormat="1" ht="14.25" customHeight="1">
      <c r="A79" s="2946" t="s">
        <v>110</v>
      </c>
      <c r="B79" s="2946" t="s">
        <v>2937</v>
      </c>
      <c r="C79" s="2946">
        <v>21660</v>
      </c>
      <c r="D79" s="2946">
        <v>18000</v>
      </c>
      <c r="E79" s="2946">
        <v>22570</v>
      </c>
      <c r="F79" s="2946"/>
      <c r="G79" s="2946">
        <v>12220</v>
      </c>
    </row>
    <row r="80" spans="1:7" s="2780" customFormat="1" ht="14.25" customHeight="1">
      <c r="A80" s="2946" t="s">
        <v>110</v>
      </c>
      <c r="B80" s="2946" t="s">
        <v>2941</v>
      </c>
      <c r="C80" s="2946">
        <v>19850</v>
      </c>
      <c r="D80" s="2946"/>
      <c r="E80" s="2946">
        <v>21700</v>
      </c>
      <c r="F80" s="2946"/>
      <c r="G80" s="2946"/>
    </row>
    <row r="81" spans="1:7" s="2780" customFormat="1" ht="14.25" customHeight="1">
      <c r="A81" s="2946" t="s">
        <v>110</v>
      </c>
      <c r="B81" s="2946" t="s">
        <v>2946</v>
      </c>
      <c r="C81" s="2946">
        <v>18080</v>
      </c>
      <c r="D81" s="2946"/>
      <c r="E81" s="2946">
        <v>20900</v>
      </c>
      <c r="F81" s="2946"/>
      <c r="G81" s="2946"/>
    </row>
    <row r="82" spans="1:7" s="2780" customFormat="1" ht="14.25" customHeight="1">
      <c r="A82" s="2946" t="s">
        <v>110</v>
      </c>
      <c r="B82" s="2946" t="s">
        <v>2953</v>
      </c>
      <c r="C82" s="2946"/>
      <c r="D82" s="2946"/>
      <c r="E82" s="2946">
        <v>20840</v>
      </c>
      <c r="F82" s="2946"/>
      <c r="G82" s="2946"/>
    </row>
    <row r="83" spans="1:7" s="2780" customFormat="1" ht="14.25" customHeight="1">
      <c r="A83" s="2946" t="s">
        <v>110</v>
      </c>
      <c r="B83" s="2946" t="s">
        <v>3064</v>
      </c>
      <c r="C83" s="2946"/>
      <c r="D83" s="2946"/>
      <c r="E83" s="2946"/>
      <c r="F83" s="2946">
        <v>4770</v>
      </c>
      <c r="G83" s="2946"/>
    </row>
    <row r="84" spans="1:7" s="2780" customFormat="1" ht="14.25" customHeight="1">
      <c r="A84" s="2946" t="s">
        <v>110</v>
      </c>
      <c r="B84" s="2946" t="s">
        <v>3065</v>
      </c>
      <c r="C84" s="2946"/>
      <c r="D84" s="2946"/>
      <c r="E84" s="2946"/>
      <c r="F84" s="2946">
        <v>4600</v>
      </c>
      <c r="G84" s="2946"/>
    </row>
    <row r="85" spans="1:7" s="2780" customFormat="1" ht="14.25" customHeight="1">
      <c r="A85" s="2946" t="s">
        <v>110</v>
      </c>
      <c r="B85" s="2946" t="s">
        <v>3066</v>
      </c>
      <c r="C85" s="2946"/>
      <c r="D85" s="2946"/>
      <c r="E85" s="2946"/>
      <c r="F85" s="2946">
        <v>4680</v>
      </c>
      <c r="G85" s="2946"/>
    </row>
    <row r="86" spans="1:7" s="2780" customFormat="1" ht="14.25" customHeight="1" thickBot="1">
      <c r="A86" s="2954" t="s">
        <v>110</v>
      </c>
      <c r="B86" s="2956" t="s">
        <v>3067</v>
      </c>
      <c r="C86" s="2957">
        <v>16610</v>
      </c>
      <c r="D86" s="2957">
        <v>16540</v>
      </c>
      <c r="E86" s="2957">
        <v>18850</v>
      </c>
      <c r="F86" s="2957"/>
      <c r="G86" s="2957">
        <v>11220</v>
      </c>
    </row>
    <row r="87" spans="1:7" s="2780" customFormat="1" ht="14.25" customHeight="1">
      <c r="A87" s="2951" t="s">
        <v>303</v>
      </c>
      <c r="B87" s="2942" t="s">
        <v>3068</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2947</v>
      </c>
      <c r="C113" s="2946">
        <v>15520</v>
      </c>
      <c r="D113" s="2946">
        <v>15450</v>
      </c>
      <c r="E113" s="2946"/>
      <c r="F113" s="2946"/>
      <c r="G113" s="2959">
        <v>10210</v>
      </c>
    </row>
    <row r="114" spans="1:7" s="2780" customFormat="1" ht="14.25" customHeight="1">
      <c r="A114" s="2946" t="s">
        <v>303</v>
      </c>
      <c r="B114" s="2946" t="s">
        <v>2954</v>
      </c>
      <c r="C114" s="2946">
        <v>13110</v>
      </c>
      <c r="D114" s="2946">
        <v>13050</v>
      </c>
      <c r="E114" s="2946"/>
      <c r="F114" s="2946"/>
      <c r="G114" s="2959">
        <v>8620</v>
      </c>
    </row>
    <row r="115" spans="1:7" s="2780" customFormat="1" ht="14.25" customHeight="1">
      <c r="A115" s="2946" t="s">
        <v>303</v>
      </c>
      <c r="B115" s="2946" t="s">
        <v>2960</v>
      </c>
      <c r="C115" s="2946">
        <v>12460</v>
      </c>
      <c r="D115" s="2946">
        <v>12390</v>
      </c>
      <c r="E115" s="2946"/>
      <c r="F115" s="2946"/>
      <c r="G115" s="2959">
        <v>8190</v>
      </c>
    </row>
    <row r="116" spans="1:7" s="2780" customFormat="1" ht="14.25" customHeight="1">
      <c r="A116" s="2946" t="s">
        <v>303</v>
      </c>
      <c r="B116" s="2946" t="s">
        <v>2967</v>
      </c>
      <c r="C116" s="2946">
        <v>13580</v>
      </c>
      <c r="D116" s="2946">
        <v>13520</v>
      </c>
      <c r="E116" s="2946"/>
      <c r="F116" s="2946"/>
      <c r="G116" s="2959">
        <v>8930</v>
      </c>
    </row>
    <row r="117" spans="1:7" s="2780" customFormat="1" ht="14.25" customHeight="1">
      <c r="A117" s="2946" t="s">
        <v>303</v>
      </c>
      <c r="B117" s="2946" t="s">
        <v>2974</v>
      </c>
      <c r="C117" s="2946">
        <v>17120</v>
      </c>
      <c r="D117" s="2946">
        <v>17040</v>
      </c>
      <c r="E117" s="2946"/>
      <c r="F117" s="2946"/>
      <c r="G117" s="2959">
        <v>11260</v>
      </c>
    </row>
    <row r="118" spans="1:7" s="2780" customFormat="1" ht="14.25" customHeight="1">
      <c r="A118" s="2946" t="s">
        <v>303</v>
      </c>
      <c r="B118" s="2946" t="s">
        <v>2979</v>
      </c>
      <c r="C118" s="2946">
        <v>14860</v>
      </c>
      <c r="D118" s="2946">
        <v>14790</v>
      </c>
      <c r="E118" s="2946"/>
      <c r="F118" s="2946"/>
      <c r="G118" s="2959">
        <v>9780</v>
      </c>
    </row>
    <row r="119" spans="1:7" s="2780" customFormat="1" ht="14.25" customHeight="1">
      <c r="A119" s="2946" t="s">
        <v>303</v>
      </c>
      <c r="B119" s="2946" t="s">
        <v>2983</v>
      </c>
      <c r="C119" s="2946">
        <v>16470</v>
      </c>
      <c r="D119" s="2946">
        <v>16400</v>
      </c>
      <c r="E119" s="2946"/>
      <c r="F119" s="2946"/>
      <c r="G119" s="2959">
        <v>10840</v>
      </c>
    </row>
    <row r="120" spans="1:7" s="2780" customFormat="1" ht="14.25" customHeight="1">
      <c r="A120" s="2946" t="s">
        <v>303</v>
      </c>
      <c r="B120" s="2946" t="s">
        <v>3069</v>
      </c>
      <c r="C120" s="2946"/>
      <c r="D120" s="2946"/>
      <c r="E120" s="2946"/>
      <c r="F120" s="2946">
        <v>4160</v>
      </c>
      <c r="G120" s="2959"/>
    </row>
    <row r="121" spans="1:7" s="2780" customFormat="1" ht="14.25" customHeight="1">
      <c r="A121" s="2946" t="s">
        <v>303</v>
      </c>
      <c r="B121" s="2946" t="s">
        <v>3070</v>
      </c>
      <c r="C121" s="2946"/>
      <c r="D121" s="2946"/>
      <c r="E121" s="2946"/>
      <c r="F121" s="2946">
        <v>3880</v>
      </c>
      <c r="G121" s="2959"/>
    </row>
    <row r="122" spans="1:7" s="2780" customFormat="1" ht="14.25" customHeight="1">
      <c r="A122" s="2946" t="s">
        <v>303</v>
      </c>
      <c r="B122" s="2946" t="s">
        <v>3071</v>
      </c>
      <c r="C122" s="2946">
        <v>13750</v>
      </c>
      <c r="D122" s="2946">
        <v>13680</v>
      </c>
      <c r="E122" s="2946">
        <v>16460</v>
      </c>
      <c r="F122" s="2946">
        <v>2880</v>
      </c>
      <c r="G122" s="2959">
        <v>9040</v>
      </c>
    </row>
    <row r="123" spans="1:7" s="2780" customFormat="1" ht="14.25" customHeight="1">
      <c r="A123" s="2946" t="s">
        <v>303</v>
      </c>
      <c r="B123" s="2946" t="s">
        <v>3002</v>
      </c>
      <c r="C123" s="2946">
        <v>13590</v>
      </c>
      <c r="D123" s="2946">
        <v>13520</v>
      </c>
      <c r="E123" s="2946">
        <v>16290</v>
      </c>
      <c r="F123" s="2946">
        <v>2790</v>
      </c>
      <c r="G123" s="2959">
        <v>8930</v>
      </c>
    </row>
    <row r="124" spans="1:7" s="2780" customFormat="1" ht="14.25" customHeight="1">
      <c r="A124" s="2946" t="s">
        <v>303</v>
      </c>
      <c r="B124" s="2946" t="s">
        <v>3007</v>
      </c>
      <c r="C124" s="2946">
        <v>13400</v>
      </c>
      <c r="D124" s="2946">
        <v>13320</v>
      </c>
      <c r="E124" s="2946">
        <v>16100</v>
      </c>
      <c r="F124" s="2946">
        <v>2320</v>
      </c>
      <c r="G124" s="2959">
        <v>8800</v>
      </c>
    </row>
    <row r="125" spans="1:7" s="2780" customFormat="1" ht="14.25" customHeight="1">
      <c r="A125" s="2946" t="s">
        <v>303</v>
      </c>
      <c r="B125" s="2946" t="s">
        <v>3012</v>
      </c>
      <c r="C125" s="2946">
        <v>12860</v>
      </c>
      <c r="D125" s="2946">
        <v>12790</v>
      </c>
      <c r="E125" s="2946">
        <v>15370</v>
      </c>
      <c r="F125" s="2946">
        <v>2280</v>
      </c>
      <c r="G125" s="2959">
        <v>8450</v>
      </c>
    </row>
    <row r="126" spans="1:7" s="2780" customFormat="1" ht="14.25" customHeight="1" thickBot="1">
      <c r="A126" s="2960" t="s">
        <v>303</v>
      </c>
      <c r="B126" s="2953" t="s">
        <v>3017</v>
      </c>
      <c r="C126" s="2953">
        <v>12960</v>
      </c>
      <c r="D126" s="2953">
        <v>12890</v>
      </c>
      <c r="E126" s="2953">
        <v>15530</v>
      </c>
      <c r="F126" s="2953">
        <v>2910</v>
      </c>
      <c r="G126" s="2961">
        <v>8520</v>
      </c>
    </row>
    <row r="127" spans="1:7" s="2780" customFormat="1" ht="14.25" customHeight="1">
      <c r="A127" s="2951" t="s">
        <v>29</v>
      </c>
      <c r="B127" s="2942" t="s">
        <v>3072</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3073</v>
      </c>
      <c r="C148" s="2946">
        <v>10370</v>
      </c>
      <c r="D148" s="2946">
        <v>10310</v>
      </c>
      <c r="E148" s="2946">
        <v>12970</v>
      </c>
      <c r="F148" s="2946"/>
      <c r="G148" s="2946">
        <v>6630</v>
      </c>
    </row>
    <row r="149" spans="1:7" s="2780" customFormat="1" ht="14.25" customHeight="1">
      <c r="A149" s="2946" t="s">
        <v>29</v>
      </c>
      <c r="B149" s="2946" t="s">
        <v>3074</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2948</v>
      </c>
      <c r="C153" s="2946">
        <v>10880</v>
      </c>
      <c r="D153" s="2946">
        <v>10820</v>
      </c>
      <c r="E153" s="2946">
        <v>13660</v>
      </c>
      <c r="F153" s="2946">
        <v>2260</v>
      </c>
      <c r="G153" s="2946">
        <v>6970</v>
      </c>
    </row>
    <row r="154" spans="1:7" s="2780" customFormat="1" ht="14.25" customHeight="1">
      <c r="A154" s="2946" t="s">
        <v>29</v>
      </c>
      <c r="B154" s="2946" t="s">
        <v>3075</v>
      </c>
      <c r="C154" s="2946">
        <v>11220</v>
      </c>
      <c r="D154" s="2946">
        <v>11160</v>
      </c>
      <c r="E154" s="2946">
        <v>14130</v>
      </c>
      <c r="F154" s="2946">
        <v>2230</v>
      </c>
      <c r="G154" s="2946">
        <v>7180</v>
      </c>
    </row>
    <row r="155" spans="1:7" s="2780" customFormat="1" ht="14.25" customHeight="1">
      <c r="A155" s="2946" t="s">
        <v>29</v>
      </c>
      <c r="B155" s="2946" t="s">
        <v>2961</v>
      </c>
      <c r="C155" s="2946">
        <v>10430</v>
      </c>
      <c r="D155" s="2946">
        <v>10380</v>
      </c>
      <c r="E155" s="2946">
        <v>13140</v>
      </c>
      <c r="F155" s="2946">
        <v>2080</v>
      </c>
      <c r="G155" s="2946">
        <v>6650</v>
      </c>
    </row>
    <row r="156" spans="1:7" s="2780" customFormat="1" ht="14.25" customHeight="1">
      <c r="A156" s="2946" t="s">
        <v>29</v>
      </c>
      <c r="B156" s="2946" t="s">
        <v>3076</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3077</v>
      </c>
      <c r="C160" s="2946">
        <v>11180</v>
      </c>
      <c r="D160" s="2946">
        <v>11140</v>
      </c>
      <c r="E160" s="2946">
        <v>14050</v>
      </c>
      <c r="F160" s="2946">
        <v>2270</v>
      </c>
      <c r="G160" s="2946">
        <v>7170</v>
      </c>
    </row>
    <row r="161" spans="1:7" s="2780" customFormat="1" ht="14.25" customHeight="1">
      <c r="A161" s="2946" t="s">
        <v>29</v>
      </c>
      <c r="B161" s="2946" t="s">
        <v>2993</v>
      </c>
      <c r="C161" s="2946">
        <v>11160</v>
      </c>
      <c r="D161" s="2946">
        <v>11120</v>
      </c>
      <c r="E161" s="2946">
        <v>14020</v>
      </c>
      <c r="F161" s="2946">
        <v>2150</v>
      </c>
      <c r="G161" s="2946">
        <v>7160</v>
      </c>
    </row>
    <row r="162" spans="1:7" s="2780" customFormat="1" ht="14.25" customHeight="1">
      <c r="A162" s="2946" t="s">
        <v>29</v>
      </c>
      <c r="B162" s="2946" t="s">
        <v>2998</v>
      </c>
      <c r="C162" s="2946">
        <v>9620</v>
      </c>
      <c r="D162" s="2946">
        <v>9570</v>
      </c>
      <c r="E162" s="2946">
        <v>12320</v>
      </c>
      <c r="F162" s="2946">
        <v>2010</v>
      </c>
      <c r="G162" s="2946">
        <v>6160</v>
      </c>
    </row>
    <row r="163" spans="1:7" s="2780" customFormat="1" ht="14.25" customHeight="1">
      <c r="A163" s="2946" t="s">
        <v>29</v>
      </c>
      <c r="B163" s="2946" t="s">
        <v>3003</v>
      </c>
      <c r="C163" s="2946">
        <v>9320</v>
      </c>
      <c r="D163" s="2946">
        <v>9270</v>
      </c>
      <c r="E163" s="2946">
        <v>11790</v>
      </c>
      <c r="F163" s="2946">
        <v>1920</v>
      </c>
      <c r="G163" s="2946">
        <v>5960</v>
      </c>
    </row>
    <row r="164" spans="1:7" s="2780" customFormat="1" ht="14.25" customHeight="1">
      <c r="A164" s="2946" t="s">
        <v>29</v>
      </c>
      <c r="B164" s="2946" t="s">
        <v>3008</v>
      </c>
      <c r="C164" s="2946"/>
      <c r="D164" s="2946"/>
      <c r="E164" s="2946"/>
      <c r="F164" s="2946">
        <v>1980</v>
      </c>
      <c r="G164" s="2946"/>
    </row>
    <row r="165" spans="1:7" s="2780" customFormat="1" ht="14.25" customHeight="1">
      <c r="A165" s="2946" t="s">
        <v>29</v>
      </c>
      <c r="B165" s="2946" t="s">
        <v>3078</v>
      </c>
      <c r="C165" s="2946">
        <v>11060</v>
      </c>
      <c r="D165" s="2946">
        <v>11030</v>
      </c>
      <c r="E165" s="2946">
        <v>13850</v>
      </c>
      <c r="F165" s="2946">
        <v>2170</v>
      </c>
      <c r="G165" s="2946">
        <v>7090</v>
      </c>
    </row>
    <row r="166" spans="1:7" s="2780" customFormat="1" ht="14.25" customHeight="1">
      <c r="A166" s="2946" t="s">
        <v>29</v>
      </c>
      <c r="B166" s="2946" t="s">
        <v>3018</v>
      </c>
      <c r="C166" s="2946">
        <v>11050</v>
      </c>
      <c r="D166" s="2946">
        <v>11010</v>
      </c>
      <c r="E166" s="2946">
        <v>13920</v>
      </c>
      <c r="F166" s="2946">
        <v>2140</v>
      </c>
      <c r="G166" s="2946">
        <v>7080</v>
      </c>
    </row>
    <row r="167" spans="1:7" s="2780" customFormat="1" ht="14.25" customHeight="1">
      <c r="A167" s="2946" t="s">
        <v>29</v>
      </c>
      <c r="B167" s="2946" t="s">
        <v>3022</v>
      </c>
      <c r="C167" s="2946">
        <v>10930</v>
      </c>
      <c r="D167" s="2946">
        <v>10890</v>
      </c>
      <c r="E167" s="2946">
        <v>13790</v>
      </c>
      <c r="F167" s="2946">
        <v>2010</v>
      </c>
      <c r="G167" s="2946">
        <v>7000</v>
      </c>
    </row>
    <row r="168" spans="1:7" s="2780" customFormat="1" ht="14.25" customHeight="1">
      <c r="A168" s="2946" t="s">
        <v>29</v>
      </c>
      <c r="B168" s="2946" t="s">
        <v>3027</v>
      </c>
      <c r="C168" s="2946">
        <v>9420</v>
      </c>
      <c r="D168" s="2946">
        <v>9380</v>
      </c>
      <c r="E168" s="2946">
        <v>11970</v>
      </c>
      <c r="F168" s="2946"/>
      <c r="G168" s="2946">
        <v>6040</v>
      </c>
    </row>
    <row r="169" spans="1:7" s="2780" customFormat="1" ht="14.25" customHeight="1">
      <c r="A169" s="2946" t="s">
        <v>29</v>
      </c>
      <c r="B169" s="2946" t="s">
        <v>3079</v>
      </c>
      <c r="C169" s="2946"/>
      <c r="D169" s="2946"/>
      <c r="E169" s="2946"/>
      <c r="F169" s="2946">
        <v>2880</v>
      </c>
      <c r="G169" s="2946"/>
    </row>
    <row r="170" spans="1:7" s="2780" customFormat="1" ht="14.25" customHeight="1">
      <c r="A170" s="2946" t="s">
        <v>29</v>
      </c>
      <c r="B170" s="2946" t="s">
        <v>3035</v>
      </c>
      <c r="C170" s="2946"/>
      <c r="D170" s="2946"/>
      <c r="E170" s="2946"/>
      <c r="F170" s="2946">
        <v>2880</v>
      </c>
      <c r="G170" s="2946"/>
    </row>
    <row r="171" spans="1:7" s="2780" customFormat="1" ht="14.25" customHeight="1">
      <c r="A171" s="2946" t="s">
        <v>29</v>
      </c>
      <c r="B171" s="2946" t="s">
        <v>3038</v>
      </c>
      <c r="C171" s="2946"/>
      <c r="D171" s="2946"/>
      <c r="E171" s="2946"/>
      <c r="F171" s="2946">
        <v>2880</v>
      </c>
      <c r="G171" s="2946"/>
    </row>
    <row r="172" spans="1:7" s="2780" customFormat="1" ht="14.25" customHeight="1">
      <c r="A172" s="2946" t="s">
        <v>29</v>
      </c>
      <c r="B172" s="2946" t="s">
        <v>3040</v>
      </c>
      <c r="C172" s="2946"/>
      <c r="D172" s="2946"/>
      <c r="E172" s="2946"/>
      <c r="F172" s="2946">
        <v>2880</v>
      </c>
      <c r="G172" s="2946"/>
    </row>
    <row r="173" spans="1:7" s="2780" customFormat="1" ht="14.25" customHeight="1">
      <c r="A173" s="2946" t="s">
        <v>29</v>
      </c>
      <c r="B173" s="2946" t="s">
        <v>3042</v>
      </c>
      <c r="C173" s="2946"/>
      <c r="D173" s="2946"/>
      <c r="E173" s="2946"/>
      <c r="F173" s="2946">
        <v>2150</v>
      </c>
      <c r="G173" s="2946"/>
    </row>
    <row r="174" spans="1:7" s="2780" customFormat="1" ht="14.25" customHeight="1">
      <c r="A174" s="2946" t="s">
        <v>29</v>
      </c>
      <c r="B174" s="2946" t="s">
        <v>3044</v>
      </c>
      <c r="C174" s="2946"/>
      <c r="D174" s="2946"/>
      <c r="E174" s="2946"/>
      <c r="F174" s="2946">
        <v>2030</v>
      </c>
      <c r="G174" s="2946"/>
    </row>
    <row r="175" spans="1:7" s="2780" customFormat="1" ht="14.25" customHeight="1">
      <c r="A175" s="2946" t="s">
        <v>29</v>
      </c>
      <c r="B175" s="2946" t="s">
        <v>3046</v>
      </c>
      <c r="C175" s="2946"/>
      <c r="D175" s="2946"/>
      <c r="E175" s="2946"/>
      <c r="F175" s="2946">
        <v>2780</v>
      </c>
      <c r="G175" s="2946"/>
    </row>
    <row r="176" spans="1:7" s="2780" customFormat="1" ht="14.25" customHeight="1">
      <c r="A176" s="2946" t="s">
        <v>29</v>
      </c>
      <c r="B176" s="2946" t="s">
        <v>3048</v>
      </c>
      <c r="C176" s="2946"/>
      <c r="D176" s="2946"/>
      <c r="E176" s="2946"/>
      <c r="F176" s="2946">
        <v>2780</v>
      </c>
      <c r="G176" s="2946"/>
    </row>
    <row r="177" spans="1:7" s="2780" customFormat="1" ht="14.25" customHeight="1">
      <c r="A177" s="2946" t="s">
        <v>29</v>
      </c>
      <c r="B177" s="2946" t="s">
        <v>3080</v>
      </c>
      <c r="C177" s="2946"/>
      <c r="D177" s="2946"/>
      <c r="E177" s="2946"/>
      <c r="F177" s="2946">
        <v>2780</v>
      </c>
      <c r="G177" s="2946"/>
    </row>
    <row r="178" spans="1:7" s="2780" customFormat="1" ht="14.25" customHeight="1">
      <c r="A178" s="2946" t="s">
        <v>29</v>
      </c>
      <c r="B178" s="2946" t="s">
        <v>3081</v>
      </c>
      <c r="C178" s="2946"/>
      <c r="D178" s="2946"/>
      <c r="E178" s="2946"/>
      <c r="F178" s="2946">
        <v>2060</v>
      </c>
      <c r="G178" s="2946"/>
    </row>
    <row r="179" spans="1:7" s="2780" customFormat="1" ht="14.25" customHeight="1">
      <c r="A179" s="2946" t="s">
        <v>29</v>
      </c>
      <c r="B179" s="2946" t="s">
        <v>3082</v>
      </c>
      <c r="C179" s="2946"/>
      <c r="D179" s="2946"/>
      <c r="E179" s="2946"/>
      <c r="F179" s="2946">
        <v>2120</v>
      </c>
      <c r="G179" s="2946"/>
    </row>
    <row r="180" spans="1:7" s="2780" customFormat="1" ht="14.25" customHeight="1">
      <c r="A180" s="2946" t="s">
        <v>29</v>
      </c>
      <c r="B180" s="2946" t="s">
        <v>3054</v>
      </c>
      <c r="C180" s="2946"/>
      <c r="D180" s="2946"/>
      <c r="E180" s="2946"/>
      <c r="F180" s="2946">
        <v>2340</v>
      </c>
      <c r="G180" s="2946"/>
    </row>
    <row r="181" spans="1:7" s="2780" customFormat="1" ht="14.25" customHeight="1">
      <c r="A181" s="2946" t="s">
        <v>29</v>
      </c>
      <c r="B181" s="2946" t="s">
        <v>3055</v>
      </c>
      <c r="C181" s="2946"/>
      <c r="D181" s="2946"/>
      <c r="E181" s="2946"/>
      <c r="F181" s="2946">
        <v>2340</v>
      </c>
      <c r="G181" s="2946"/>
    </row>
    <row r="182" spans="1:7" s="2780" customFormat="1" ht="14.25" customHeight="1">
      <c r="A182" s="2946" t="s">
        <v>29</v>
      </c>
      <c r="B182" s="2946" t="s">
        <v>3056</v>
      </c>
      <c r="C182" s="2946"/>
      <c r="D182" s="2946"/>
      <c r="E182" s="2946"/>
      <c r="F182" s="2946">
        <v>2340</v>
      </c>
      <c r="G182" s="2946"/>
    </row>
    <row r="183" spans="1:7" s="2780" customFormat="1" ht="14.25" customHeight="1">
      <c r="A183" s="2946" t="s">
        <v>29</v>
      </c>
      <c r="B183" s="2946" t="s">
        <v>3057</v>
      </c>
      <c r="C183" s="2946"/>
      <c r="D183" s="2946"/>
      <c r="E183" s="2946"/>
      <c r="F183" s="2946">
        <v>2340</v>
      </c>
      <c r="G183" s="2946"/>
    </row>
    <row r="184" spans="1:7" s="2780" customFormat="1" ht="14.25" customHeight="1">
      <c r="A184" s="2946" t="s">
        <v>29</v>
      </c>
      <c r="B184" s="2946" t="s">
        <v>3058</v>
      </c>
      <c r="C184" s="2946"/>
      <c r="D184" s="2946"/>
      <c r="E184" s="2946"/>
      <c r="F184" s="2946">
        <v>2340</v>
      </c>
      <c r="G184" s="2946"/>
    </row>
    <row r="185" spans="1:7" s="2780" customFormat="1" ht="14.25" customHeight="1">
      <c r="A185" s="2946" t="s">
        <v>29</v>
      </c>
      <c r="B185" s="2946" t="s">
        <v>3059</v>
      </c>
      <c r="C185" s="2946"/>
      <c r="D185" s="2946"/>
      <c r="E185" s="2946"/>
      <c r="F185" s="2946">
        <v>2530</v>
      </c>
      <c r="G185" s="2946"/>
    </row>
    <row r="186" spans="1:7" s="2780" customFormat="1" ht="14.25" customHeight="1">
      <c r="A186" s="2946" t="s">
        <v>29</v>
      </c>
      <c r="B186" s="2946" t="s">
        <v>3060</v>
      </c>
      <c r="C186" s="2946"/>
      <c r="D186" s="2946"/>
      <c r="E186" s="2946"/>
      <c r="F186" s="2946">
        <v>2550</v>
      </c>
      <c r="G186" s="2946"/>
    </row>
    <row r="187" spans="1:7" s="2780" customFormat="1" ht="14.25" customHeight="1">
      <c r="A187" s="2946" t="s">
        <v>29</v>
      </c>
      <c r="B187" s="2946" t="s">
        <v>3061</v>
      </c>
      <c r="C187" s="2946"/>
      <c r="D187" s="2946"/>
      <c r="E187" s="2946"/>
      <c r="F187" s="2946">
        <v>2070</v>
      </c>
      <c r="G187" s="2946"/>
    </row>
    <row r="188" spans="1:7" s="2780" customFormat="1" ht="14.25" customHeight="1">
      <c r="A188" s="2946" t="s">
        <v>29</v>
      </c>
      <c r="B188" s="2946" t="s">
        <v>3062</v>
      </c>
      <c r="C188" s="2946"/>
      <c r="D188" s="2946"/>
      <c r="E188" s="2946"/>
      <c r="F188" s="2946">
        <v>2340</v>
      </c>
      <c r="G188" s="2946"/>
    </row>
    <row r="189" spans="1:7" s="2780" customFormat="1" ht="14.25" customHeight="1" thickBot="1">
      <c r="A189" s="2954" t="s">
        <v>29</v>
      </c>
      <c r="B189" s="2957" t="s">
        <v>3063</v>
      </c>
      <c r="C189" s="2957"/>
      <c r="D189" s="2957"/>
      <c r="E189" s="2957"/>
      <c r="F189" s="2957">
        <v>2050</v>
      </c>
      <c r="G189" s="2957"/>
    </row>
    <row r="190" spans="1:7" s="2780" customFormat="1" ht="14.25" customHeight="1">
      <c r="A190" s="2951" t="s">
        <v>304</v>
      </c>
      <c r="B190" s="2942" t="s">
        <v>3083</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3084</v>
      </c>
      <c r="C199" s="2946">
        <v>8690</v>
      </c>
      <c r="D199" s="2946">
        <v>8630</v>
      </c>
      <c r="E199" s="2946">
        <v>11350</v>
      </c>
      <c r="F199" s="2946">
        <v>1600</v>
      </c>
      <c r="G199" s="2959">
        <v>5450</v>
      </c>
    </row>
    <row r="200" spans="1:7" s="2780" customFormat="1" ht="14.25" customHeight="1">
      <c r="A200" s="2946" t="s">
        <v>304</v>
      </c>
      <c r="B200" s="2946" t="s">
        <v>2895</v>
      </c>
      <c r="C200" s="2946"/>
      <c r="D200" s="2946"/>
      <c r="E200" s="2946"/>
      <c r="F200" s="2946">
        <v>1510</v>
      </c>
      <c r="G200" s="2959"/>
    </row>
    <row r="201" spans="1:7" s="2780" customFormat="1" ht="14.25" customHeight="1">
      <c r="A201" s="2946" t="s">
        <v>304</v>
      </c>
      <c r="B201" s="2946" t="s">
        <v>3085</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3086</v>
      </c>
      <c r="C203" s="2946">
        <v>8130</v>
      </c>
      <c r="D203" s="2946">
        <v>8070</v>
      </c>
      <c r="E203" s="2946">
        <v>10820</v>
      </c>
      <c r="F203" s="2946">
        <v>1690</v>
      </c>
      <c r="G203" s="2959">
        <v>5100</v>
      </c>
    </row>
    <row r="204" spans="1:7" s="2780" customFormat="1" ht="14.25" customHeight="1">
      <c r="A204" s="2946" t="s">
        <v>304</v>
      </c>
      <c r="B204" s="2946" t="s">
        <v>2906</v>
      </c>
      <c r="C204" s="2946">
        <v>8350</v>
      </c>
      <c r="D204" s="2946">
        <v>8290</v>
      </c>
      <c r="E204" s="2946">
        <v>11080</v>
      </c>
      <c r="F204" s="2946">
        <v>1450</v>
      </c>
      <c r="G204" s="2959">
        <v>5240</v>
      </c>
    </row>
    <row r="205" spans="1:7" s="2780" customFormat="1" ht="14.25" customHeight="1">
      <c r="A205" s="2946" t="s">
        <v>304</v>
      </c>
      <c r="B205" s="2946" t="s">
        <v>2908</v>
      </c>
      <c r="C205" s="2946">
        <v>7190</v>
      </c>
      <c r="D205" s="2946">
        <v>7130</v>
      </c>
      <c r="E205" s="2946">
        <v>9490</v>
      </c>
      <c r="F205" s="2946">
        <v>1470</v>
      </c>
      <c r="G205" s="2959">
        <v>4510</v>
      </c>
    </row>
    <row r="206" spans="1:7" s="2780" customFormat="1" ht="14.25" customHeight="1">
      <c r="A206" s="2946" t="s">
        <v>304</v>
      </c>
      <c r="B206" s="2946" t="s">
        <v>2911</v>
      </c>
      <c r="C206" s="2946">
        <v>7000</v>
      </c>
      <c r="D206" s="2946">
        <v>6950</v>
      </c>
      <c r="E206" s="2946">
        <v>9170</v>
      </c>
      <c r="F206" s="2946">
        <v>1400</v>
      </c>
      <c r="G206" s="2959">
        <v>4380</v>
      </c>
    </row>
    <row r="207" spans="1:7" s="2780" customFormat="1" ht="14.25" customHeight="1">
      <c r="A207" s="2946" t="s">
        <v>304</v>
      </c>
      <c r="B207" s="2946" t="s">
        <v>2913</v>
      </c>
      <c r="C207" s="2946">
        <v>6950</v>
      </c>
      <c r="D207" s="2946">
        <v>6900</v>
      </c>
      <c r="E207" s="2946">
        <v>9110</v>
      </c>
      <c r="F207" s="2946">
        <v>1790</v>
      </c>
      <c r="G207" s="2959">
        <v>4360</v>
      </c>
    </row>
    <row r="208" spans="1:7" s="2780" customFormat="1" ht="14.25" customHeight="1">
      <c r="A208" s="2946" t="s">
        <v>304</v>
      </c>
      <c r="B208" s="2946" t="s">
        <v>3087</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2923</v>
      </c>
      <c r="C210" s="2946">
        <v>8710</v>
      </c>
      <c r="D210" s="2946">
        <v>8660</v>
      </c>
      <c r="E210" s="2946">
        <v>11440</v>
      </c>
      <c r="F210" s="2946">
        <v>1740</v>
      </c>
      <c r="G210" s="2959">
        <v>5470</v>
      </c>
    </row>
    <row r="211" spans="1:7" s="2780" customFormat="1" ht="14.25" customHeight="1">
      <c r="A211" s="2946" t="s">
        <v>304</v>
      </c>
      <c r="B211" s="2946" t="s">
        <v>3088</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3089</v>
      </c>
      <c r="C214" s="2946">
        <v>8090</v>
      </c>
      <c r="D214" s="2946">
        <v>8030</v>
      </c>
      <c r="E214" s="2946">
        <v>10780</v>
      </c>
      <c r="F214" s="2946">
        <v>1570</v>
      </c>
      <c r="G214" s="2959">
        <v>5070</v>
      </c>
    </row>
    <row r="215" spans="1:7" s="2780" customFormat="1" ht="14.25" customHeight="1">
      <c r="A215" s="2946" t="s">
        <v>304</v>
      </c>
      <c r="B215" s="2946" t="s">
        <v>3090</v>
      </c>
      <c r="C215" s="2946">
        <v>7950</v>
      </c>
      <c r="D215" s="2946">
        <v>7900</v>
      </c>
      <c r="E215" s="2946">
        <v>10560</v>
      </c>
      <c r="F215" s="2946">
        <v>1630</v>
      </c>
      <c r="G215" s="2959">
        <v>4990</v>
      </c>
    </row>
    <row r="216" spans="1:7" s="2780" customFormat="1" ht="14.25" customHeight="1">
      <c r="A216" s="2946" t="s">
        <v>304</v>
      </c>
      <c r="B216" s="2946" t="s">
        <v>3091</v>
      </c>
      <c r="C216" s="2946">
        <v>8490</v>
      </c>
      <c r="D216" s="2946">
        <v>8440</v>
      </c>
      <c r="E216" s="2946">
        <v>11260</v>
      </c>
      <c r="F216" s="2946">
        <v>1690</v>
      </c>
      <c r="G216" s="2959">
        <v>5330</v>
      </c>
    </row>
    <row r="217" spans="1:7" s="2780" customFormat="1" ht="14.25" customHeight="1">
      <c r="A217" s="2946" t="s">
        <v>304</v>
      </c>
      <c r="B217" s="2946" t="s">
        <v>2956</v>
      </c>
      <c r="C217" s="2946">
        <v>8200</v>
      </c>
      <c r="D217" s="2946">
        <v>8150</v>
      </c>
      <c r="E217" s="2946">
        <v>10910</v>
      </c>
      <c r="F217" s="2946">
        <v>1670</v>
      </c>
      <c r="G217" s="2959">
        <v>5150</v>
      </c>
    </row>
    <row r="218" spans="1:7" s="2780" customFormat="1" ht="14.25" customHeight="1">
      <c r="A218" s="2946" t="s">
        <v>304</v>
      </c>
      <c r="B218" s="2946" t="s">
        <v>3092</v>
      </c>
      <c r="C218" s="2946"/>
      <c r="D218" s="2946"/>
      <c r="E218" s="2946"/>
      <c r="F218" s="2946">
        <v>2040</v>
      </c>
      <c r="G218" s="2959"/>
    </row>
    <row r="219" spans="1:7" s="2780" customFormat="1" ht="14.25" customHeight="1">
      <c r="A219" s="2946" t="s">
        <v>304</v>
      </c>
      <c r="B219" s="2946" t="s">
        <v>3093</v>
      </c>
      <c r="C219" s="2946"/>
      <c r="D219" s="2946"/>
      <c r="E219" s="2946"/>
      <c r="F219" s="2946">
        <v>2040</v>
      </c>
      <c r="G219" s="2959"/>
    </row>
    <row r="220" spans="1:7" s="2780" customFormat="1" ht="14.25" customHeight="1">
      <c r="A220" s="2946" t="s">
        <v>304</v>
      </c>
      <c r="B220" s="2946" t="s">
        <v>3094</v>
      </c>
      <c r="C220" s="2946"/>
      <c r="D220" s="2946"/>
      <c r="E220" s="2946"/>
      <c r="F220" s="2946">
        <v>2040</v>
      </c>
      <c r="G220" s="2959"/>
    </row>
    <row r="221" spans="1:7" s="2780" customFormat="1" ht="14.25" customHeight="1">
      <c r="A221" s="2946" t="s">
        <v>304</v>
      </c>
      <c r="B221" s="2946" t="s">
        <v>3095</v>
      </c>
      <c r="C221" s="2946"/>
      <c r="D221" s="2946"/>
      <c r="E221" s="2946"/>
      <c r="F221" s="2946">
        <v>2040</v>
      </c>
      <c r="G221" s="2959"/>
    </row>
    <row r="222" spans="1:7" s="2780" customFormat="1" ht="14.25" customHeight="1">
      <c r="A222" s="2946" t="s">
        <v>304</v>
      </c>
      <c r="B222" s="2946" t="s">
        <v>3096</v>
      </c>
      <c r="C222" s="2946"/>
      <c r="D222" s="2946"/>
      <c r="E222" s="2946"/>
      <c r="F222" s="2946">
        <v>2040</v>
      </c>
      <c r="G222" s="2959"/>
    </row>
    <row r="223" spans="1:7" s="2780" customFormat="1" ht="14.25" customHeight="1">
      <c r="A223" s="2946" t="s">
        <v>304</v>
      </c>
      <c r="B223" s="2946" t="s">
        <v>3097</v>
      </c>
      <c r="C223" s="2946"/>
      <c r="D223" s="2946"/>
      <c r="E223" s="2946"/>
      <c r="F223" s="2946">
        <v>1930</v>
      </c>
      <c r="G223" s="2959"/>
    </row>
    <row r="224" spans="1:7" s="2780" customFormat="1" ht="14.25" customHeight="1">
      <c r="A224" s="2946" t="s">
        <v>304</v>
      </c>
      <c r="B224" s="2946" t="s">
        <v>3098</v>
      </c>
      <c r="C224" s="2946"/>
      <c r="D224" s="2946"/>
      <c r="E224" s="2946"/>
      <c r="F224" s="2946">
        <v>1930</v>
      </c>
      <c r="G224" s="2959"/>
    </row>
    <row r="225" spans="1:7" s="2780" customFormat="1" ht="14.25" customHeight="1">
      <c r="A225" s="2946" t="s">
        <v>304</v>
      </c>
      <c r="B225" s="2946" t="s">
        <v>3099</v>
      </c>
      <c r="C225" s="2946"/>
      <c r="D225" s="2946"/>
      <c r="E225" s="2946"/>
      <c r="F225" s="2946">
        <v>1930</v>
      </c>
      <c r="G225" s="2959"/>
    </row>
    <row r="226" spans="1:7" s="2780" customFormat="1" ht="14.25" customHeight="1">
      <c r="A226" s="2946" t="s">
        <v>304</v>
      </c>
      <c r="B226" s="2946" t="s">
        <v>3100</v>
      </c>
      <c r="C226" s="2946"/>
      <c r="D226" s="2946"/>
      <c r="E226" s="2946"/>
      <c r="F226" s="2946">
        <v>1700</v>
      </c>
      <c r="G226" s="2959"/>
    </row>
    <row r="227" spans="1:7" s="2780" customFormat="1" ht="14.25" customHeight="1">
      <c r="A227" s="2946" t="s">
        <v>304</v>
      </c>
      <c r="B227" s="2946" t="s">
        <v>3101</v>
      </c>
      <c r="C227" s="2946"/>
      <c r="D227" s="2946"/>
      <c r="E227" s="2946"/>
      <c r="F227" s="2946">
        <v>1520</v>
      </c>
      <c r="G227" s="2959"/>
    </row>
    <row r="228" spans="1:7" s="2780" customFormat="1" ht="14.25" customHeight="1">
      <c r="A228" s="2946" t="s">
        <v>304</v>
      </c>
      <c r="B228" s="2946" t="s">
        <v>3102</v>
      </c>
      <c r="C228" s="2946"/>
      <c r="D228" s="2946"/>
      <c r="E228" s="2946"/>
      <c r="F228" s="2946">
        <v>1520</v>
      </c>
      <c r="G228" s="2959"/>
    </row>
    <row r="229" spans="1:7" s="2780" customFormat="1" ht="14.25" customHeight="1">
      <c r="A229" s="2946" t="s">
        <v>304</v>
      </c>
      <c r="B229" s="2946" t="s">
        <v>3019</v>
      </c>
      <c r="C229" s="2946"/>
      <c r="D229" s="2946"/>
      <c r="E229" s="2946"/>
      <c r="F229" s="2946">
        <v>1520</v>
      </c>
      <c r="G229" s="2959"/>
    </row>
    <row r="230" spans="1:7" s="2780" customFormat="1" ht="14.25" customHeight="1">
      <c r="A230" s="2946" t="s">
        <v>304</v>
      </c>
      <c r="B230" s="2946" t="s">
        <v>3103</v>
      </c>
      <c r="C230" s="2946"/>
      <c r="D230" s="2946"/>
      <c r="E230" s="2946"/>
      <c r="F230" s="2946">
        <v>1820</v>
      </c>
      <c r="G230" s="2959"/>
    </row>
    <row r="231" spans="1:7" s="2780" customFormat="1" ht="14.25" customHeight="1">
      <c r="A231" s="2946" t="s">
        <v>304</v>
      </c>
      <c r="B231" s="2946" t="s">
        <v>3104</v>
      </c>
      <c r="C231" s="2946"/>
      <c r="D231" s="2946"/>
      <c r="E231" s="2946"/>
      <c r="F231" s="2946">
        <v>1760</v>
      </c>
      <c r="G231" s="2959"/>
    </row>
    <row r="232" spans="1:7" s="2780" customFormat="1" ht="14.25" customHeight="1">
      <c r="A232" s="2946" t="s">
        <v>304</v>
      </c>
      <c r="B232" s="2946" t="s">
        <v>3105</v>
      </c>
      <c r="C232" s="2946"/>
      <c r="D232" s="2946"/>
      <c r="E232" s="2946"/>
      <c r="F232" s="2946">
        <v>1840</v>
      </c>
      <c r="G232" s="2959"/>
    </row>
    <row r="233" spans="1:7" s="2780" customFormat="1" ht="14.25" customHeight="1" thickBot="1">
      <c r="A233" s="2960" t="s">
        <v>304</v>
      </c>
      <c r="B233" s="2953" t="s">
        <v>3036</v>
      </c>
      <c r="C233" s="2953"/>
      <c r="D233" s="2953"/>
      <c r="E233" s="2953"/>
      <c r="F233" s="2953">
        <v>1770</v>
      </c>
      <c r="G233" s="2961"/>
    </row>
    <row r="234" spans="1:7" s="2780" customFormat="1" ht="14.25" customHeight="1">
      <c r="A234" s="2951" t="s">
        <v>305</v>
      </c>
      <c r="B234" s="2942" t="s">
        <v>3106</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2877</v>
      </c>
      <c r="C238" s="2946">
        <v>6920</v>
      </c>
      <c r="D238" s="2946">
        <v>6890</v>
      </c>
      <c r="E238" s="2946">
        <v>8640</v>
      </c>
      <c r="F238" s="2946">
        <v>1310</v>
      </c>
      <c r="G238" s="2946">
        <v>4230</v>
      </c>
    </row>
    <row r="239" spans="1:7" s="2780" customFormat="1" ht="14.25" customHeight="1">
      <c r="A239" s="2946" t="s">
        <v>305</v>
      </c>
      <c r="B239" s="2946" t="s">
        <v>3107</v>
      </c>
      <c r="C239" s="2946">
        <v>6780</v>
      </c>
      <c r="D239" s="2946">
        <v>6750</v>
      </c>
      <c r="E239" s="2946">
        <v>8440</v>
      </c>
      <c r="F239" s="2946">
        <v>1160</v>
      </c>
      <c r="G239" s="2946">
        <v>4140</v>
      </c>
    </row>
    <row r="240" spans="1:7" s="2780" customFormat="1" ht="14.25" customHeight="1">
      <c r="A240" s="2946" t="s">
        <v>305</v>
      </c>
      <c r="B240" s="2946" t="s">
        <v>3108</v>
      </c>
      <c r="C240" s="2946">
        <v>5420</v>
      </c>
      <c r="D240" s="2946">
        <v>5380</v>
      </c>
      <c r="E240" s="2946">
        <v>6640</v>
      </c>
      <c r="F240" s="2946">
        <v>1020</v>
      </c>
      <c r="G240" s="2946">
        <v>3300</v>
      </c>
    </row>
    <row r="241" spans="1:7" s="2780" customFormat="1" ht="14.25" customHeight="1">
      <c r="A241" s="2946" t="s">
        <v>305</v>
      </c>
      <c r="B241" s="2946" t="s">
        <v>3109</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3110</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3111</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3112</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3113</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3114</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2939</v>
      </c>
      <c r="C258" s="2946">
        <v>6190</v>
      </c>
      <c r="D258" s="2946">
        <v>6160</v>
      </c>
      <c r="E258" s="2946">
        <v>7680</v>
      </c>
      <c r="F258" s="2946">
        <v>1170</v>
      </c>
      <c r="G258" s="2946">
        <v>3780</v>
      </c>
    </row>
    <row r="259" spans="1:7" s="2780" customFormat="1" ht="14.25" customHeight="1">
      <c r="A259" s="2946" t="s">
        <v>305</v>
      </c>
      <c r="B259" s="2946" t="s">
        <v>3115</v>
      </c>
      <c r="C259" s="2946">
        <v>7610</v>
      </c>
      <c r="D259" s="2946">
        <v>7570</v>
      </c>
      <c r="E259" s="2946">
        <v>9350</v>
      </c>
      <c r="F259" s="2946">
        <v>1350</v>
      </c>
      <c r="G259" s="2946">
        <v>4650</v>
      </c>
    </row>
    <row r="260" spans="1:7" s="2780" customFormat="1" ht="14.25" customHeight="1">
      <c r="A260" s="2946" t="s">
        <v>305</v>
      </c>
      <c r="B260" s="2946" t="s">
        <v>3116</v>
      </c>
      <c r="C260" s="2946">
        <v>6920</v>
      </c>
      <c r="D260" s="2946">
        <v>6880</v>
      </c>
      <c r="E260" s="2946">
        <v>8380</v>
      </c>
      <c r="F260" s="2946">
        <v>1160</v>
      </c>
      <c r="G260" s="2946">
        <v>4220</v>
      </c>
    </row>
    <row r="261" spans="1:7" s="2780" customFormat="1" ht="14.25" customHeight="1">
      <c r="A261" s="2946" t="s">
        <v>305</v>
      </c>
      <c r="B261" s="2946" t="s">
        <v>3117</v>
      </c>
      <c r="C261" s="2946">
        <v>6850</v>
      </c>
      <c r="D261" s="2946">
        <v>6810</v>
      </c>
      <c r="E261" s="2946">
        <v>8290</v>
      </c>
      <c r="F261" s="2946">
        <v>1130</v>
      </c>
      <c r="G261" s="2946">
        <v>4180</v>
      </c>
    </row>
    <row r="262" spans="1:7" s="2780" customFormat="1" ht="14.25" customHeight="1">
      <c r="A262" s="2946" t="s">
        <v>305</v>
      </c>
      <c r="B262" s="2946" t="s">
        <v>3118</v>
      </c>
      <c r="C262" s="2946">
        <v>5860</v>
      </c>
      <c r="D262" s="2946">
        <v>5820</v>
      </c>
      <c r="E262" s="2946">
        <v>7640</v>
      </c>
      <c r="F262" s="2946">
        <v>1070</v>
      </c>
      <c r="G262" s="2946">
        <v>3570</v>
      </c>
    </row>
    <row r="263" spans="1:7" s="2780" customFormat="1" ht="14.25" customHeight="1">
      <c r="A263" s="2946" t="s">
        <v>305</v>
      </c>
      <c r="B263" s="2946" t="s">
        <v>3119</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3120</v>
      </c>
      <c r="C265" s="2946"/>
      <c r="D265" s="2946"/>
      <c r="E265" s="2946"/>
      <c r="F265" s="2946">
        <v>1500</v>
      </c>
      <c r="G265" s="2946"/>
    </row>
    <row r="266" spans="1:7" s="2780" customFormat="1" ht="14.25" customHeight="1">
      <c r="A266" s="2946" t="s">
        <v>305</v>
      </c>
      <c r="B266" s="2946" t="s">
        <v>3121</v>
      </c>
      <c r="C266" s="2946"/>
      <c r="D266" s="2946"/>
      <c r="E266" s="2946"/>
      <c r="F266" s="2946">
        <v>1500</v>
      </c>
      <c r="G266" s="2946"/>
    </row>
    <row r="267" spans="1:7" s="2780" customFormat="1" ht="14.25" customHeight="1">
      <c r="A267" s="2946" t="s">
        <v>305</v>
      </c>
      <c r="B267" s="2946" t="s">
        <v>3122</v>
      </c>
      <c r="C267" s="2946"/>
      <c r="D267" s="2946"/>
      <c r="E267" s="2946"/>
      <c r="F267" s="2946">
        <v>1500</v>
      </c>
      <c r="G267" s="2946"/>
    </row>
    <row r="268" spans="1:7" s="2780" customFormat="1" ht="14.25" customHeight="1">
      <c r="A268" s="2946" t="s">
        <v>305</v>
      </c>
      <c r="B268" s="2946" t="s">
        <v>3123</v>
      </c>
      <c r="C268" s="2946"/>
      <c r="D268" s="2946"/>
      <c r="E268" s="2946"/>
      <c r="F268" s="2946">
        <v>1290</v>
      </c>
      <c r="G268" s="2946"/>
    </row>
    <row r="269" spans="1:7" s="2780" customFormat="1" ht="14.25" customHeight="1">
      <c r="A269" s="2946" t="s">
        <v>305</v>
      </c>
      <c r="B269" s="2946" t="s">
        <v>3124</v>
      </c>
      <c r="C269" s="2946"/>
      <c r="D269" s="2946"/>
      <c r="E269" s="2946"/>
      <c r="F269" s="2946">
        <v>1150</v>
      </c>
      <c r="G269" s="2946"/>
    </row>
    <row r="270" spans="1:7" s="2780" customFormat="1" ht="14.25" customHeight="1">
      <c r="A270" s="2946" t="s">
        <v>305</v>
      </c>
      <c r="B270" s="2946" t="s">
        <v>3125</v>
      </c>
      <c r="C270" s="2946"/>
      <c r="D270" s="2946"/>
      <c r="E270" s="2946"/>
      <c r="F270" s="2946">
        <v>1380</v>
      </c>
      <c r="G270" s="2946"/>
    </row>
    <row r="271" spans="1:7" s="2780" customFormat="1" ht="14.25" customHeight="1">
      <c r="A271" s="2946" t="s">
        <v>305</v>
      </c>
      <c r="B271" s="2946" t="s">
        <v>3126</v>
      </c>
      <c r="C271" s="2946"/>
      <c r="D271" s="2946"/>
      <c r="E271" s="2946"/>
      <c r="F271" s="2946">
        <v>1460</v>
      </c>
      <c r="G271" s="2946"/>
    </row>
    <row r="272" spans="1:7" s="2780" customFormat="1" ht="14.25" customHeight="1">
      <c r="A272" s="2946" t="s">
        <v>305</v>
      </c>
      <c r="B272" s="2946" t="s">
        <v>3127</v>
      </c>
      <c r="C272" s="2946"/>
      <c r="D272" s="2946"/>
      <c r="E272" s="2946"/>
      <c r="F272" s="2946">
        <v>1460</v>
      </c>
      <c r="G272" s="2946"/>
    </row>
    <row r="273" spans="1:7" s="2780" customFormat="1" ht="14.25" customHeight="1">
      <c r="A273" s="2946" t="s">
        <v>305</v>
      </c>
      <c r="B273" s="2946" t="s">
        <v>3020</v>
      </c>
      <c r="C273" s="2946"/>
      <c r="D273" s="2946"/>
      <c r="E273" s="2946"/>
      <c r="F273" s="2946">
        <v>1490</v>
      </c>
      <c r="G273" s="2946"/>
    </row>
    <row r="274" spans="1:7" s="2780" customFormat="1" ht="14.25" customHeight="1">
      <c r="A274" s="2946" t="s">
        <v>305</v>
      </c>
      <c r="B274" s="2946" t="s">
        <v>3128</v>
      </c>
      <c r="C274" s="2946"/>
      <c r="D274" s="2946"/>
      <c r="E274" s="2946"/>
      <c r="F274" s="2946">
        <v>1490</v>
      </c>
      <c r="G274" s="2946"/>
    </row>
    <row r="275" spans="1:7" s="2780" customFormat="1" ht="14.25" customHeight="1">
      <c r="A275" s="2946" t="s">
        <v>305</v>
      </c>
      <c r="B275" s="2946" t="s">
        <v>3129</v>
      </c>
      <c r="C275" s="2946"/>
      <c r="D275" s="2946"/>
      <c r="E275" s="2946"/>
      <c r="F275" s="2946">
        <v>1220</v>
      </c>
      <c r="G275" s="2946"/>
    </row>
    <row r="276" spans="1:7" s="2780" customFormat="1" ht="14.25" customHeight="1" thickBot="1">
      <c r="A276" s="2954" t="s">
        <v>305</v>
      </c>
      <c r="B276" s="2956" t="s">
        <v>3130</v>
      </c>
      <c r="C276" s="2957"/>
      <c r="D276" s="2957"/>
      <c r="E276" s="2957"/>
      <c r="F276" s="2957">
        <v>1380</v>
      </c>
      <c r="G276" s="2957"/>
    </row>
    <row r="277" spans="1:7" s="2780" customFormat="1" ht="14.25" customHeight="1">
      <c r="A277" s="2951" t="s">
        <v>306</v>
      </c>
      <c r="B277" s="2942" t="s">
        <v>3131</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3132</v>
      </c>
      <c r="C279" s="2946">
        <v>4760</v>
      </c>
      <c r="D279" s="2946">
        <v>4720</v>
      </c>
      <c r="E279" s="2946">
        <v>5540</v>
      </c>
      <c r="F279" s="2946">
        <v>810</v>
      </c>
      <c r="G279" s="2959">
        <v>2850</v>
      </c>
    </row>
    <row r="280" spans="1:7" s="2780" customFormat="1" ht="14.25" customHeight="1">
      <c r="A280" s="2946" t="s">
        <v>306</v>
      </c>
      <c r="B280" s="2946" t="s">
        <v>3133</v>
      </c>
      <c r="C280" s="2946">
        <v>4010</v>
      </c>
      <c r="D280" s="2946">
        <v>3950</v>
      </c>
      <c r="E280" s="2946">
        <v>4710</v>
      </c>
      <c r="F280" s="2946">
        <v>800</v>
      </c>
      <c r="G280" s="2959">
        <v>2390</v>
      </c>
    </row>
    <row r="281" spans="1:7" s="2780" customFormat="1" ht="14.25" customHeight="1">
      <c r="A281" s="2946" t="s">
        <v>306</v>
      </c>
      <c r="B281" s="2946" t="s">
        <v>3134</v>
      </c>
      <c r="C281" s="2946">
        <v>4480</v>
      </c>
      <c r="D281" s="2946">
        <v>4420</v>
      </c>
      <c r="E281" s="2946">
        <v>5230</v>
      </c>
      <c r="F281" s="2946">
        <v>870</v>
      </c>
      <c r="G281" s="2959">
        <v>2660</v>
      </c>
    </row>
    <row r="282" spans="1:7" s="2780" customFormat="1" ht="14.25" customHeight="1">
      <c r="A282" s="2946" t="s">
        <v>306</v>
      </c>
      <c r="B282" s="2946" t="s">
        <v>3135</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3136</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3137</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2912</v>
      </c>
      <c r="C293" s="2946">
        <v>5320</v>
      </c>
      <c r="D293" s="2946">
        <v>5270</v>
      </c>
      <c r="E293" s="2946">
        <v>6160</v>
      </c>
      <c r="F293" s="2946">
        <v>990</v>
      </c>
      <c r="G293" s="2959">
        <v>3170</v>
      </c>
    </row>
    <row r="294" spans="1:7" s="2780" customFormat="1" ht="14.25" customHeight="1">
      <c r="A294" s="2946" t="s">
        <v>306</v>
      </c>
      <c r="B294" s="2946" t="s">
        <v>3138</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2931</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3139</v>
      </c>
      <c r="C302" s="2946">
        <v>5520</v>
      </c>
      <c r="D302" s="2946">
        <v>5470</v>
      </c>
      <c r="E302" s="2946">
        <v>6410</v>
      </c>
      <c r="F302" s="2946">
        <v>950</v>
      </c>
      <c r="G302" s="2959">
        <v>3300</v>
      </c>
    </row>
    <row r="303" spans="1:7" s="2780" customFormat="1" ht="14.25" customHeight="1">
      <c r="A303" s="2946" t="s">
        <v>306</v>
      </c>
      <c r="B303" s="2946" t="s">
        <v>2951</v>
      </c>
      <c r="C303" s="2946">
        <v>5630</v>
      </c>
      <c r="D303" s="2946">
        <v>5590</v>
      </c>
      <c r="E303" s="2946">
        <v>6550</v>
      </c>
      <c r="F303" s="2946">
        <v>1010</v>
      </c>
      <c r="G303" s="2959">
        <v>3370</v>
      </c>
    </row>
    <row r="304" spans="1:7" s="2780" customFormat="1" ht="14.25" customHeight="1">
      <c r="A304" s="2946" t="s">
        <v>306</v>
      </c>
      <c r="B304" s="2946" t="s">
        <v>2958</v>
      </c>
      <c r="C304" s="2946">
        <v>5680</v>
      </c>
      <c r="D304" s="2946">
        <v>5620</v>
      </c>
      <c r="E304" s="2946">
        <v>6620</v>
      </c>
      <c r="F304" s="2946">
        <v>1050</v>
      </c>
      <c r="G304" s="2959">
        <v>3390</v>
      </c>
    </row>
    <row r="305" spans="1:7" s="2780" customFormat="1" ht="14.25" customHeight="1">
      <c r="A305" s="2946" t="s">
        <v>306</v>
      </c>
      <c r="B305" s="2946" t="s">
        <v>2964</v>
      </c>
      <c r="C305" s="2946">
        <v>5590</v>
      </c>
      <c r="D305" s="2946">
        <v>5530</v>
      </c>
      <c r="E305" s="2946">
        <v>6460</v>
      </c>
      <c r="F305" s="2946">
        <v>900</v>
      </c>
      <c r="G305" s="2959">
        <v>3340</v>
      </c>
    </row>
    <row r="306" spans="1:7" s="2780" customFormat="1" ht="14.25" customHeight="1">
      <c r="A306" s="2946" t="s">
        <v>306</v>
      </c>
      <c r="B306" s="2946" t="s">
        <v>3140</v>
      </c>
      <c r="C306" s="2946">
        <v>5560</v>
      </c>
      <c r="D306" s="2946">
        <v>5510</v>
      </c>
      <c r="E306" s="2946">
        <v>6440</v>
      </c>
      <c r="F306" s="2946">
        <v>900</v>
      </c>
      <c r="G306" s="2959">
        <v>3320</v>
      </c>
    </row>
    <row r="307" spans="1:7" s="2780" customFormat="1" ht="14.25" customHeight="1">
      <c r="A307" s="2946" t="s">
        <v>306</v>
      </c>
      <c r="B307" s="2946" t="s">
        <v>2976</v>
      </c>
      <c r="C307" s="2946">
        <v>5650</v>
      </c>
      <c r="D307" s="2946">
        <v>5600</v>
      </c>
      <c r="E307" s="2946">
        <v>6590</v>
      </c>
      <c r="F307" s="2946">
        <v>930</v>
      </c>
      <c r="G307" s="2959">
        <v>3380</v>
      </c>
    </row>
    <row r="308" spans="1:7" s="2780" customFormat="1" ht="14.25" customHeight="1">
      <c r="A308" s="2946" t="s">
        <v>306</v>
      </c>
      <c r="B308" s="2946" t="s">
        <v>3141</v>
      </c>
      <c r="C308" s="2946">
        <v>5620</v>
      </c>
      <c r="D308" s="2946">
        <v>5580</v>
      </c>
      <c r="E308" s="2946">
        <v>6540</v>
      </c>
      <c r="F308" s="2946">
        <v>910</v>
      </c>
      <c r="G308" s="2959">
        <v>3370</v>
      </c>
    </row>
    <row r="309" spans="1:7" s="2780" customFormat="1" ht="14.25" customHeight="1">
      <c r="A309" s="2946" t="s">
        <v>306</v>
      </c>
      <c r="B309" s="2946" t="s">
        <v>3142</v>
      </c>
      <c r="C309" s="2946">
        <v>5060</v>
      </c>
      <c r="D309" s="2946">
        <v>5020</v>
      </c>
      <c r="E309" s="2946">
        <v>6370</v>
      </c>
      <c r="F309" s="2946">
        <v>800</v>
      </c>
      <c r="G309" s="2959">
        <v>3020</v>
      </c>
    </row>
    <row r="310" spans="1:7" s="2780" customFormat="1" ht="14.25" customHeight="1">
      <c r="A310" s="2946" t="s">
        <v>306</v>
      </c>
      <c r="B310" s="2946" t="s">
        <v>2991</v>
      </c>
      <c r="C310" s="2946">
        <v>5150</v>
      </c>
      <c r="D310" s="2946">
        <v>5110</v>
      </c>
      <c r="E310" s="2946">
        <v>6500</v>
      </c>
      <c r="F310" s="2946">
        <v>880</v>
      </c>
      <c r="G310" s="2959">
        <v>3080</v>
      </c>
    </row>
    <row r="311" spans="1:7" s="2780" customFormat="1" ht="14.25" customHeight="1">
      <c r="A311" s="2946" t="s">
        <v>306</v>
      </c>
      <c r="B311" s="2946" t="s">
        <v>3143</v>
      </c>
      <c r="C311" s="2946">
        <v>4750</v>
      </c>
      <c r="D311" s="2946">
        <v>4710</v>
      </c>
      <c r="E311" s="2946">
        <v>5510</v>
      </c>
      <c r="F311" s="2946">
        <v>880</v>
      </c>
      <c r="G311" s="2959">
        <v>2840</v>
      </c>
    </row>
    <row r="312" spans="1:7" s="2780" customFormat="1" ht="14.25" customHeight="1">
      <c r="A312" s="2946" t="s">
        <v>306</v>
      </c>
      <c r="B312" s="2946" t="s">
        <v>3001</v>
      </c>
      <c r="C312" s="2946">
        <v>4690</v>
      </c>
      <c r="D312" s="2946">
        <v>4640</v>
      </c>
      <c r="E312" s="2946">
        <v>5420</v>
      </c>
      <c r="F312" s="2946">
        <v>800</v>
      </c>
      <c r="G312" s="2959">
        <v>2800</v>
      </c>
    </row>
    <row r="313" spans="1:7" s="2780" customFormat="1" ht="14.25" customHeight="1">
      <c r="A313" s="2946" t="s">
        <v>306</v>
      </c>
      <c r="B313" s="2946" t="s">
        <v>3006</v>
      </c>
      <c r="C313" s="2946">
        <v>4810</v>
      </c>
      <c r="D313" s="2946">
        <v>4760</v>
      </c>
      <c r="E313" s="2946">
        <v>5550</v>
      </c>
      <c r="F313" s="2946">
        <v>920</v>
      </c>
      <c r="G313" s="2959">
        <v>2870</v>
      </c>
    </row>
    <row r="314" spans="1:7" s="2780" customFormat="1" ht="14.25" customHeight="1">
      <c r="A314" s="2946" t="s">
        <v>306</v>
      </c>
      <c r="B314" s="2946" t="s">
        <v>3144</v>
      </c>
      <c r="C314" s="2946"/>
      <c r="D314" s="2946"/>
      <c r="E314" s="2946"/>
      <c r="F314" s="2946">
        <v>1020</v>
      </c>
      <c r="G314" s="2959"/>
    </row>
    <row r="315" spans="1:7" s="2780" customFormat="1" ht="14.25" customHeight="1">
      <c r="A315" s="2946" t="s">
        <v>306</v>
      </c>
      <c r="B315" s="2946" t="s">
        <v>3145</v>
      </c>
      <c r="C315" s="2946"/>
      <c r="D315" s="2946"/>
      <c r="E315" s="2946"/>
      <c r="F315" s="2946">
        <v>1050</v>
      </c>
      <c r="G315" s="2959"/>
    </row>
    <row r="316" spans="1:7" s="2780" customFormat="1" ht="14.25" customHeight="1">
      <c r="A316" s="2946" t="s">
        <v>306</v>
      </c>
      <c r="B316" s="2946" t="s">
        <v>3021</v>
      </c>
      <c r="C316" s="2946"/>
      <c r="D316" s="2946"/>
      <c r="E316" s="2946"/>
      <c r="F316" s="2946">
        <v>900</v>
      </c>
      <c r="G316" s="2959"/>
    </row>
    <row r="317" spans="1:7" s="2780" customFormat="1" ht="14.25" customHeight="1">
      <c r="A317" s="2946" t="s">
        <v>306</v>
      </c>
      <c r="B317" s="2946" t="s">
        <v>3146</v>
      </c>
      <c r="C317" s="2946"/>
      <c r="D317" s="2946"/>
      <c r="E317" s="2946"/>
      <c r="F317" s="2946">
        <v>920</v>
      </c>
      <c r="G317" s="2959"/>
    </row>
    <row r="318" spans="1:7" s="2780" customFormat="1" ht="14.25" customHeight="1">
      <c r="A318" s="2946" t="s">
        <v>306</v>
      </c>
      <c r="B318" s="2946" t="s">
        <v>3147</v>
      </c>
      <c r="C318" s="2946"/>
      <c r="D318" s="2946"/>
      <c r="E318" s="2946"/>
      <c r="F318" s="2946">
        <v>1080</v>
      </c>
      <c r="G318" s="2959"/>
    </row>
    <row r="319" spans="1:7" s="2780" customFormat="1" ht="14.25" customHeight="1">
      <c r="A319" s="2946" t="s">
        <v>306</v>
      </c>
      <c r="B319" s="2946" t="s">
        <v>3034</v>
      </c>
      <c r="C319" s="2946"/>
      <c r="D319" s="2946"/>
      <c r="E319" s="2946"/>
      <c r="F319" s="2946">
        <v>1020</v>
      </c>
      <c r="G319" s="2959"/>
    </row>
    <row r="320" spans="1:7" s="2780" customFormat="1" ht="14.25" customHeight="1">
      <c r="A320" s="2946" t="s">
        <v>306</v>
      </c>
      <c r="B320" s="2946" t="s">
        <v>3037</v>
      </c>
      <c r="C320" s="2946"/>
      <c r="D320" s="2946"/>
      <c r="E320" s="2946"/>
      <c r="F320" s="2946">
        <v>1050</v>
      </c>
      <c r="G320" s="2959"/>
    </row>
    <row r="321" spans="1:7" s="2780" customFormat="1" ht="14.25" customHeight="1">
      <c r="A321" s="2946" t="s">
        <v>306</v>
      </c>
      <c r="B321" s="2946" t="s">
        <v>3039</v>
      </c>
      <c r="C321" s="2946"/>
      <c r="D321" s="2946"/>
      <c r="E321" s="2946"/>
      <c r="F321" s="2946">
        <v>960</v>
      </c>
      <c r="G321" s="2959"/>
    </row>
    <row r="322" spans="1:7" s="2780" customFormat="1" ht="14.25" customHeight="1">
      <c r="A322" s="2946" t="s">
        <v>306</v>
      </c>
      <c r="B322" s="2946" t="s">
        <v>3041</v>
      </c>
      <c r="C322" s="2946"/>
      <c r="D322" s="2946"/>
      <c r="E322" s="2946"/>
      <c r="F322" s="2946">
        <v>960</v>
      </c>
      <c r="G322" s="2959"/>
    </row>
    <row r="323" spans="1:7" s="2780" customFormat="1" ht="14.25" customHeight="1">
      <c r="A323" s="2946" t="s">
        <v>306</v>
      </c>
      <c r="B323" s="2946" t="s">
        <v>3043</v>
      </c>
      <c r="C323" s="2946"/>
      <c r="D323" s="2946"/>
      <c r="E323" s="2946"/>
      <c r="F323" s="2946">
        <v>880</v>
      </c>
      <c r="G323" s="2959"/>
    </row>
    <row r="324" spans="1:7" s="2780" customFormat="1" ht="14.25" customHeight="1">
      <c r="A324" s="2946" t="s">
        <v>306</v>
      </c>
      <c r="B324" s="2946" t="s">
        <v>3045</v>
      </c>
      <c r="C324" s="2946"/>
      <c r="D324" s="2946"/>
      <c r="E324" s="2946"/>
      <c r="F324" s="2946">
        <v>930</v>
      </c>
      <c r="G324" s="2959"/>
    </row>
    <row r="325" spans="1:7" s="2780" customFormat="1" ht="14.25" customHeight="1">
      <c r="A325" s="2946" t="s">
        <v>306</v>
      </c>
      <c r="B325" s="2947" t="s">
        <v>3047</v>
      </c>
      <c r="C325" s="2946"/>
      <c r="D325" s="2946"/>
      <c r="E325" s="2946"/>
      <c r="F325" s="2946">
        <v>900</v>
      </c>
      <c r="G325" s="2959"/>
    </row>
    <row r="326" spans="1:7" s="2780" customFormat="1" ht="14.25" customHeight="1" thickBot="1">
      <c r="A326" s="2960" t="s">
        <v>306</v>
      </c>
      <c r="B326" s="2953" t="s">
        <v>3049</v>
      </c>
      <c r="C326" s="2953"/>
      <c r="D326" s="2953"/>
      <c r="E326" s="2953"/>
      <c r="F326" s="2953">
        <v>790</v>
      </c>
      <c r="G326" s="2961"/>
    </row>
    <row r="327" spans="1:7" s="2780" customFormat="1" ht="14.25" customHeight="1">
      <c r="A327" s="2951" t="s">
        <v>307</v>
      </c>
      <c r="B327" s="2942" t="s">
        <v>3148</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3149</v>
      </c>
      <c r="C329" s="2946">
        <v>2730</v>
      </c>
      <c r="D329" s="2946">
        <v>2690</v>
      </c>
      <c r="E329" s="2946">
        <v>3100</v>
      </c>
      <c r="F329" s="2946">
        <v>660</v>
      </c>
      <c r="G329" s="2946">
        <v>1610</v>
      </c>
    </row>
    <row r="330" spans="1:7" s="2780" customFormat="1" ht="14.25" customHeight="1">
      <c r="A330" s="2946" t="s">
        <v>307</v>
      </c>
      <c r="B330" s="2946" t="s">
        <v>3150</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2883</v>
      </c>
      <c r="C332" s="2946">
        <v>3520</v>
      </c>
      <c r="D332" s="2946">
        <v>3480</v>
      </c>
      <c r="E332" s="2946">
        <v>3830</v>
      </c>
      <c r="F332" s="2946">
        <v>720</v>
      </c>
      <c r="G332" s="2946">
        <v>2090</v>
      </c>
    </row>
    <row r="333" spans="1:7" s="2780" customFormat="1" ht="14.25" customHeight="1">
      <c r="A333" s="2946" t="s">
        <v>307</v>
      </c>
      <c r="B333" s="2946" t="s">
        <v>3151</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2893</v>
      </c>
      <c r="C336" s="2946">
        <v>3570</v>
      </c>
      <c r="D336" s="2946">
        <v>3530</v>
      </c>
      <c r="E336" s="2946">
        <v>3880</v>
      </c>
      <c r="F336" s="2946">
        <v>770</v>
      </c>
      <c r="G336" s="2946">
        <v>2110</v>
      </c>
    </row>
    <row r="337" spans="1:10" s="2780" customFormat="1" ht="14.25" customHeight="1">
      <c r="A337" s="2946" t="s">
        <v>307</v>
      </c>
      <c r="B337" s="2946" t="s">
        <v>3152</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3153</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3154</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2918</v>
      </c>
      <c r="C345" s="2946">
        <v>3190</v>
      </c>
      <c r="D345" s="2946">
        <v>3140</v>
      </c>
      <c r="E345" s="2946">
        <v>3450</v>
      </c>
      <c r="F345" s="2946">
        <v>720</v>
      </c>
      <c r="G345" s="2946">
        <v>1880</v>
      </c>
      <c r="J345" s="2780"/>
    </row>
    <row r="346" spans="1:10">
      <c r="A346" s="2946" t="s">
        <v>307</v>
      </c>
      <c r="B346" s="2946" t="s">
        <v>3155</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2927</v>
      </c>
      <c r="C348" s="2946">
        <v>4000</v>
      </c>
      <c r="D348" s="2946">
        <v>3950</v>
      </c>
      <c r="E348" s="2946">
        <v>4430</v>
      </c>
      <c r="F348" s="2946">
        <v>760</v>
      </c>
      <c r="G348" s="2946">
        <v>2360</v>
      </c>
      <c r="J348" s="2780"/>
    </row>
    <row r="349" spans="1:10">
      <c r="A349" s="2946" t="s">
        <v>307</v>
      </c>
      <c r="B349" s="2946" t="s">
        <v>2932</v>
      </c>
      <c r="C349" s="2946">
        <v>3820</v>
      </c>
      <c r="D349" s="2946">
        <v>3780</v>
      </c>
      <c r="E349" s="2946">
        <v>4170</v>
      </c>
      <c r="F349" s="2946">
        <v>710</v>
      </c>
      <c r="G349" s="2946">
        <v>2260</v>
      </c>
      <c r="J349" s="2780"/>
    </row>
    <row r="350" spans="1:10">
      <c r="A350" s="2946" t="s">
        <v>307</v>
      </c>
      <c r="B350" s="2946" t="s">
        <v>3156</v>
      </c>
      <c r="C350" s="2946">
        <v>3760</v>
      </c>
      <c r="D350" s="2946">
        <v>3730</v>
      </c>
      <c r="E350" s="2946">
        <v>4100</v>
      </c>
      <c r="F350" s="2946">
        <v>800</v>
      </c>
      <c r="G350" s="2946">
        <v>2230</v>
      </c>
      <c r="J350" s="2780"/>
    </row>
    <row r="351" spans="1:10">
      <c r="A351" s="2946" t="s">
        <v>307</v>
      </c>
      <c r="B351" s="2946" t="s">
        <v>2940</v>
      </c>
      <c r="C351" s="2946">
        <v>3610</v>
      </c>
      <c r="D351" s="2946">
        <v>3580</v>
      </c>
      <c r="E351" s="2946">
        <v>3930</v>
      </c>
      <c r="F351" s="2946">
        <v>700</v>
      </c>
      <c r="G351" s="2946">
        <v>2140</v>
      </c>
      <c r="J351" s="2780"/>
    </row>
    <row r="352" spans="1:10">
      <c r="A352" s="2946" t="s">
        <v>307</v>
      </c>
      <c r="B352" s="2946" t="s">
        <v>2945</v>
      </c>
      <c r="C352" s="2946">
        <v>3670</v>
      </c>
      <c r="D352" s="2946">
        <v>3630</v>
      </c>
      <c r="E352" s="2946">
        <v>4000</v>
      </c>
      <c r="F352" s="2946">
        <v>750</v>
      </c>
      <c r="G352" s="2946">
        <v>2180</v>
      </c>
    </row>
    <row r="353" spans="1:7" s="2781" customFormat="1">
      <c r="A353" s="2946" t="s">
        <v>307</v>
      </c>
      <c r="B353" s="2946" t="s">
        <v>3157</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2965</v>
      </c>
      <c r="C355" s="2946">
        <v>3650</v>
      </c>
      <c r="D355" s="2946">
        <v>3610</v>
      </c>
      <c r="E355" s="2946">
        <v>4200</v>
      </c>
      <c r="F355" s="2946">
        <v>640</v>
      </c>
      <c r="G355" s="2946">
        <v>2160</v>
      </c>
    </row>
    <row r="356" spans="1:7" s="2781" customFormat="1">
      <c r="A356" s="2946" t="s">
        <v>307</v>
      </c>
      <c r="B356" s="2946" t="s">
        <v>2972</v>
      </c>
      <c r="C356" s="2946">
        <v>3260</v>
      </c>
      <c r="D356" s="2946">
        <v>3230</v>
      </c>
      <c r="E356" s="2946">
        <v>3740</v>
      </c>
      <c r="F356" s="2946">
        <v>600</v>
      </c>
      <c r="G356" s="2946">
        <v>1930</v>
      </c>
    </row>
    <row r="357" spans="1:7" s="2781" customFormat="1" ht="12" thickBot="1">
      <c r="A357" s="2954" t="s">
        <v>307</v>
      </c>
      <c r="B357" s="2957" t="s">
        <v>3158</v>
      </c>
      <c r="C357" s="2957">
        <v>3690</v>
      </c>
      <c r="D357" s="2957">
        <v>3650</v>
      </c>
      <c r="E357" s="2957">
        <v>4020</v>
      </c>
      <c r="F357" s="2957">
        <v>700</v>
      </c>
      <c r="G357" s="2957">
        <v>2190</v>
      </c>
    </row>
    <row r="358" spans="1:7" s="2781" customFormat="1">
      <c r="A358" s="2951" t="s">
        <v>3159</v>
      </c>
      <c r="B358" s="2942" t="s">
        <v>3160</v>
      </c>
      <c r="C358" s="2942">
        <v>2080</v>
      </c>
      <c r="D358" s="2942">
        <v>2040</v>
      </c>
      <c r="E358" s="2942">
        <v>2010</v>
      </c>
      <c r="F358" s="2942">
        <v>530</v>
      </c>
      <c r="G358" s="2958">
        <v>1230</v>
      </c>
    </row>
    <row r="359" spans="1:7" s="2781" customFormat="1">
      <c r="A359" s="2946" t="s">
        <v>3159</v>
      </c>
      <c r="B359" s="2946" t="s">
        <v>3161</v>
      </c>
      <c r="C359" s="2946">
        <v>1850</v>
      </c>
      <c r="D359" s="2946">
        <v>1820</v>
      </c>
      <c r="E359" s="2946">
        <v>1780</v>
      </c>
      <c r="F359" s="2946">
        <v>520</v>
      </c>
      <c r="G359" s="2959">
        <v>1100</v>
      </c>
    </row>
    <row r="360" spans="1:7" s="2781" customFormat="1">
      <c r="A360" s="2946" t="s">
        <v>3159</v>
      </c>
      <c r="B360" s="2946" t="s">
        <v>3162</v>
      </c>
      <c r="C360" s="2946">
        <v>2020</v>
      </c>
      <c r="D360" s="2946">
        <v>1990</v>
      </c>
      <c r="E360" s="2946">
        <v>1950</v>
      </c>
      <c r="F360" s="2946">
        <v>500</v>
      </c>
      <c r="G360" s="2959">
        <v>1200</v>
      </c>
    </row>
    <row r="361" spans="1:7" s="2781" customFormat="1">
      <c r="A361" s="2946" t="s">
        <v>3159</v>
      </c>
      <c r="B361" s="2946" t="s">
        <v>153</v>
      </c>
      <c r="C361" s="2946">
        <v>2260</v>
      </c>
      <c r="D361" s="2946">
        <v>2220</v>
      </c>
      <c r="E361" s="2946">
        <v>2180</v>
      </c>
      <c r="F361" s="2946">
        <v>580</v>
      </c>
      <c r="G361" s="2959">
        <v>1340</v>
      </c>
    </row>
    <row r="362" spans="1:7" s="2781" customFormat="1">
      <c r="A362" s="2946" t="s">
        <v>3159</v>
      </c>
      <c r="B362" s="2946" t="s">
        <v>3163</v>
      </c>
      <c r="C362" s="2946">
        <v>2650</v>
      </c>
      <c r="D362" s="2946">
        <v>2610</v>
      </c>
      <c r="E362" s="2946">
        <v>2570</v>
      </c>
      <c r="F362" s="2946">
        <v>630</v>
      </c>
      <c r="G362" s="2959">
        <v>1570</v>
      </c>
    </row>
    <row r="363" spans="1:7" s="2781" customFormat="1">
      <c r="A363" s="2946" t="s">
        <v>3159</v>
      </c>
      <c r="B363" s="2946" t="s">
        <v>2884</v>
      </c>
      <c r="C363" s="2946">
        <v>2390</v>
      </c>
      <c r="D363" s="2946">
        <v>2360</v>
      </c>
      <c r="E363" s="2946">
        <v>2320</v>
      </c>
      <c r="F363" s="2946">
        <v>600</v>
      </c>
      <c r="G363" s="2959">
        <v>1420</v>
      </c>
    </row>
    <row r="364" spans="1:7" s="2781" customFormat="1">
      <c r="A364" s="2946" t="s">
        <v>3159</v>
      </c>
      <c r="B364" s="2946" t="s">
        <v>3164</v>
      </c>
      <c r="C364" s="2946">
        <v>2050</v>
      </c>
      <c r="D364" s="2946">
        <v>2030</v>
      </c>
      <c r="E364" s="2946">
        <v>1990</v>
      </c>
      <c r="F364" s="2946">
        <v>550</v>
      </c>
      <c r="G364" s="2959">
        <v>1220</v>
      </c>
    </row>
    <row r="365" spans="1:7" s="2781" customFormat="1">
      <c r="A365" s="2946" t="s">
        <v>3159</v>
      </c>
      <c r="B365" s="2946" t="s">
        <v>200</v>
      </c>
      <c r="C365" s="2946">
        <v>2140</v>
      </c>
      <c r="D365" s="2946">
        <v>2100</v>
      </c>
      <c r="E365" s="2946">
        <v>2060</v>
      </c>
      <c r="F365" s="2946">
        <v>540</v>
      </c>
      <c r="G365" s="2959">
        <v>1270</v>
      </c>
    </row>
    <row r="366" spans="1:7" s="2781" customFormat="1">
      <c r="A366" s="2946" t="s">
        <v>3159</v>
      </c>
      <c r="B366" s="2946" t="s">
        <v>2891</v>
      </c>
      <c r="C366" s="2946">
        <v>2410</v>
      </c>
      <c r="D366" s="2946">
        <v>2370</v>
      </c>
      <c r="E366" s="2946">
        <v>2330</v>
      </c>
      <c r="F366" s="2946">
        <v>570</v>
      </c>
      <c r="G366" s="2959">
        <v>1440</v>
      </c>
    </row>
    <row r="367" spans="1:7" s="2781" customFormat="1">
      <c r="A367" s="2946" t="s">
        <v>3159</v>
      </c>
      <c r="B367" s="2946" t="s">
        <v>3165</v>
      </c>
      <c r="C367" s="2946">
        <v>2300</v>
      </c>
      <c r="D367" s="2946">
        <v>2260</v>
      </c>
      <c r="E367" s="2946">
        <v>2220</v>
      </c>
      <c r="F367" s="2946">
        <v>560</v>
      </c>
      <c r="G367" s="2959">
        <v>1370</v>
      </c>
    </row>
    <row r="368" spans="1:7" s="2781" customFormat="1">
      <c r="A368" s="2946" t="s">
        <v>3159</v>
      </c>
      <c r="B368" s="2946" t="s">
        <v>3166</v>
      </c>
      <c r="C368" s="2946">
        <v>2430</v>
      </c>
      <c r="D368" s="2946">
        <v>2390</v>
      </c>
      <c r="E368" s="2946">
        <v>2350</v>
      </c>
      <c r="F368" s="2946">
        <v>570</v>
      </c>
      <c r="G368" s="2959">
        <v>1450</v>
      </c>
    </row>
    <row r="369" spans="1:7" s="2781" customFormat="1">
      <c r="A369" s="2946" t="s">
        <v>3159</v>
      </c>
      <c r="B369" s="2946" t="s">
        <v>214</v>
      </c>
      <c r="C369" s="2946">
        <v>2320</v>
      </c>
      <c r="D369" s="2946">
        <v>2290</v>
      </c>
      <c r="E369" s="2946">
        <v>2250</v>
      </c>
      <c r="F369" s="2946">
        <v>550</v>
      </c>
      <c r="G369" s="2959">
        <v>1380</v>
      </c>
    </row>
    <row r="370" spans="1:7" s="2781" customFormat="1">
      <c r="A370" s="2946" t="s">
        <v>3159</v>
      </c>
      <c r="B370" s="2946" t="s">
        <v>221</v>
      </c>
      <c r="C370" s="2946">
        <v>2190</v>
      </c>
      <c r="D370" s="2946">
        <v>2170</v>
      </c>
      <c r="E370" s="2946">
        <v>2130</v>
      </c>
      <c r="F370" s="2946">
        <v>530</v>
      </c>
      <c r="G370" s="2959">
        <v>1310</v>
      </c>
    </row>
    <row r="371" spans="1:7" s="2781" customFormat="1">
      <c r="A371" s="2946" t="s">
        <v>3159</v>
      </c>
      <c r="B371" s="2946" t="s">
        <v>229</v>
      </c>
      <c r="C371" s="2946">
        <v>2460</v>
      </c>
      <c r="D371" s="2946">
        <v>2420</v>
      </c>
      <c r="E371" s="2946">
        <v>2370</v>
      </c>
      <c r="F371" s="2946">
        <v>560</v>
      </c>
      <c r="G371" s="2959">
        <v>1470</v>
      </c>
    </row>
    <row r="372" spans="1:7" s="2781" customFormat="1">
      <c r="A372" s="2946" t="s">
        <v>3159</v>
      </c>
      <c r="B372" s="2946" t="s">
        <v>3167</v>
      </c>
      <c r="C372" s="2946">
        <v>2250</v>
      </c>
      <c r="D372" s="2946">
        <v>2210</v>
      </c>
      <c r="E372" s="2946">
        <v>2180</v>
      </c>
      <c r="F372" s="2946">
        <v>550</v>
      </c>
      <c r="G372" s="2959">
        <v>1340</v>
      </c>
    </row>
    <row r="373" spans="1:7" s="2781" customFormat="1">
      <c r="A373" s="2946" t="s">
        <v>3159</v>
      </c>
      <c r="B373" s="2946" t="s">
        <v>258</v>
      </c>
      <c r="C373" s="2946">
        <v>2210</v>
      </c>
      <c r="D373" s="2946">
        <v>2190</v>
      </c>
      <c r="E373" s="2946">
        <v>2150</v>
      </c>
      <c r="F373" s="2946">
        <v>530</v>
      </c>
      <c r="G373" s="2959">
        <v>1320</v>
      </c>
    </row>
    <row r="374" spans="1:7" s="2781" customFormat="1">
      <c r="A374" s="2946" t="s">
        <v>3159</v>
      </c>
      <c r="B374" s="2946" t="s">
        <v>266</v>
      </c>
      <c r="C374" s="2946">
        <v>2320</v>
      </c>
      <c r="D374" s="2946">
        <v>2280</v>
      </c>
      <c r="E374" s="2946">
        <v>2230</v>
      </c>
      <c r="F374" s="2946">
        <v>580</v>
      </c>
      <c r="G374" s="2959">
        <v>1380</v>
      </c>
    </row>
    <row r="375" spans="1:7" s="2781" customFormat="1">
      <c r="A375" s="2946" t="s">
        <v>3159</v>
      </c>
      <c r="B375" s="2946" t="s">
        <v>3168</v>
      </c>
      <c r="C375" s="2946">
        <v>2090</v>
      </c>
      <c r="D375" s="2946">
        <v>2050</v>
      </c>
      <c r="E375" s="2946">
        <v>2020</v>
      </c>
      <c r="F375" s="2946">
        <v>520</v>
      </c>
      <c r="G375" s="2959">
        <v>1240</v>
      </c>
    </row>
    <row r="376" spans="1:7" s="2781" customFormat="1">
      <c r="A376" s="2946" t="s">
        <v>3159</v>
      </c>
      <c r="B376" s="2946" t="s">
        <v>277</v>
      </c>
      <c r="C376" s="2946">
        <v>2010</v>
      </c>
      <c r="D376" s="2946">
        <v>1980</v>
      </c>
      <c r="E376" s="2946">
        <v>1940</v>
      </c>
      <c r="F376" s="2946">
        <v>540</v>
      </c>
      <c r="G376" s="2959">
        <v>1190</v>
      </c>
    </row>
    <row r="377" spans="1:7" s="2781" customFormat="1" ht="12" thickBot="1">
      <c r="A377" s="2954" t="s">
        <v>3159</v>
      </c>
      <c r="B377" s="2957" t="s">
        <v>2921</v>
      </c>
      <c r="C377" s="2957">
        <v>1930</v>
      </c>
      <c r="D377" s="2957">
        <v>1890</v>
      </c>
      <c r="E377" s="2957">
        <v>1860</v>
      </c>
      <c r="F377" s="2957">
        <v>530</v>
      </c>
      <c r="G377" s="2962">
        <v>1150</v>
      </c>
    </row>
    <row r="378" spans="1:7" s="2781" customFormat="1">
      <c r="A378" s="2963" t="s">
        <v>3169</v>
      </c>
      <c r="B378" s="2942" t="s">
        <v>3170</v>
      </c>
      <c r="C378" s="2942">
        <v>1520</v>
      </c>
      <c r="D378" s="2942">
        <v>1490</v>
      </c>
      <c r="E378" s="2942">
        <v>1460</v>
      </c>
      <c r="F378" s="2942">
        <v>460</v>
      </c>
      <c r="G378" s="2958">
        <v>940</v>
      </c>
    </row>
    <row r="379" spans="1:7" s="2781" customFormat="1">
      <c r="A379" s="2964" t="s">
        <v>3169</v>
      </c>
      <c r="B379" s="2946" t="s">
        <v>3171</v>
      </c>
      <c r="C379" s="2946">
        <v>1500</v>
      </c>
      <c r="D379" s="2946">
        <v>1470</v>
      </c>
      <c r="E379" s="2946">
        <v>1430</v>
      </c>
      <c r="F379" s="2946">
        <v>460</v>
      </c>
      <c r="G379" s="2959">
        <v>920</v>
      </c>
    </row>
    <row r="380" spans="1:7" s="2781" customFormat="1">
      <c r="A380" s="2964" t="s">
        <v>3169</v>
      </c>
      <c r="B380" s="2946" t="s">
        <v>3172</v>
      </c>
      <c r="C380" s="2946">
        <v>1620</v>
      </c>
      <c r="D380" s="2946">
        <v>1590</v>
      </c>
      <c r="E380" s="2946">
        <v>1560</v>
      </c>
      <c r="F380" s="2946">
        <v>480</v>
      </c>
      <c r="G380" s="2959">
        <v>1000</v>
      </c>
    </row>
    <row r="381" spans="1:7" s="2781" customFormat="1">
      <c r="A381" s="2964" t="s">
        <v>3169</v>
      </c>
      <c r="B381" s="2946" t="s">
        <v>3173</v>
      </c>
      <c r="C381" s="2946">
        <v>1460</v>
      </c>
      <c r="D381" s="2946">
        <v>1430</v>
      </c>
      <c r="E381" s="2946">
        <v>1390</v>
      </c>
      <c r="F381" s="2946">
        <v>450</v>
      </c>
      <c r="G381" s="2959">
        <v>900</v>
      </c>
    </row>
    <row r="382" spans="1:7" s="2781" customFormat="1">
      <c r="A382" s="2964" t="s">
        <v>3169</v>
      </c>
      <c r="B382" s="2946" t="s">
        <v>3174</v>
      </c>
      <c r="C382" s="2946">
        <v>1310</v>
      </c>
      <c r="D382" s="2946">
        <v>1280</v>
      </c>
      <c r="E382" s="2946">
        <v>1250</v>
      </c>
      <c r="F382" s="2946">
        <v>440</v>
      </c>
      <c r="G382" s="2959">
        <v>800</v>
      </c>
    </row>
    <row r="383" spans="1:7" s="2781" customFormat="1">
      <c r="A383" s="2964" t="s">
        <v>3169</v>
      </c>
      <c r="B383" s="2946" t="s">
        <v>3175</v>
      </c>
      <c r="C383" s="2946">
        <v>1260</v>
      </c>
      <c r="D383" s="2946">
        <v>1230</v>
      </c>
      <c r="E383" s="2946">
        <v>1200</v>
      </c>
      <c r="F383" s="2946">
        <v>420</v>
      </c>
      <c r="G383" s="2959">
        <v>770</v>
      </c>
    </row>
    <row r="384" spans="1:7" s="2781" customFormat="1" ht="12" thickBot="1">
      <c r="A384" s="2965" t="s">
        <v>3169</v>
      </c>
      <c r="B384" s="2953" t="s">
        <v>3176</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1" t="s">
        <v>3177</v>
      </c>
      <c r="B1" s="3491"/>
    </row>
    <row r="2" spans="1:7" ht="14.25" thickBot="1">
      <c r="A2" s="2967"/>
      <c r="B2" s="2967"/>
    </row>
    <row r="3" spans="1:7" ht="14.25" thickBot="1">
      <c r="A3" s="2967"/>
      <c r="B3" s="2967"/>
      <c r="C3" s="2968" t="s">
        <v>2805</v>
      </c>
      <c r="D3" s="2968" t="s">
        <v>2863</v>
      </c>
      <c r="E3" s="2968" t="s">
        <v>2807</v>
      </c>
      <c r="F3" s="2968" t="s">
        <v>2864</v>
      </c>
      <c r="G3" s="2968" t="s">
        <v>2625</v>
      </c>
    </row>
    <row r="4" spans="1:7" ht="14.25" thickBot="1">
      <c r="A4" s="2969" t="s">
        <v>2862</v>
      </c>
      <c r="B4" s="2970" t="s">
        <v>2868</v>
      </c>
      <c r="C4" s="2968"/>
      <c r="D4" s="2968"/>
      <c r="E4" s="2968"/>
      <c r="F4" s="2968"/>
      <c r="G4" s="2968"/>
    </row>
    <row r="5" spans="1:7">
      <c r="A5" s="2971" t="s">
        <v>2836</v>
      </c>
      <c r="B5" s="2972" t="s">
        <v>2850</v>
      </c>
      <c r="C5" s="2973">
        <v>9.8000000000000004E-2</v>
      </c>
      <c r="D5" s="2973">
        <v>8.6999999999999994E-2</v>
      </c>
      <c r="E5" s="2973">
        <v>8.6999999999999994E-2</v>
      </c>
      <c r="F5" s="2973">
        <v>9.8000000000000004E-2</v>
      </c>
      <c r="G5" s="2974">
        <v>9.5000000000000001E-2</v>
      </c>
    </row>
    <row r="6" spans="1:7">
      <c r="A6" s="2975" t="s">
        <v>144</v>
      </c>
      <c r="B6" s="2976" t="s">
        <v>2865</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2851</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2901</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2919</v>
      </c>
      <c r="C29" s="2985"/>
      <c r="D29" s="2981">
        <v>5.1999999999999998E-2</v>
      </c>
      <c r="E29" s="2981">
        <v>7.0000000000000007E-2</v>
      </c>
      <c r="F29" s="2985"/>
      <c r="G29" s="2983">
        <v>7.0999999999999994E-2</v>
      </c>
    </row>
    <row r="30" spans="1:7">
      <c r="A30" s="2986" t="s">
        <v>296</v>
      </c>
      <c r="B30" s="2972" t="s">
        <v>2852</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2838</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2922</v>
      </c>
      <c r="C50" s="2977">
        <v>9.8000000000000004E-2</v>
      </c>
      <c r="D50" s="2977">
        <v>7.2999999999999995E-2</v>
      </c>
      <c r="E50" s="2977">
        <v>7.0999999999999994E-2</v>
      </c>
      <c r="F50" s="2988"/>
      <c r="G50" s="2978">
        <v>7.2999999999999995E-2</v>
      </c>
    </row>
    <row r="51" spans="1:7">
      <c r="A51" s="2987" t="s">
        <v>296</v>
      </c>
      <c r="B51" s="2976" t="s">
        <v>2924</v>
      </c>
      <c r="C51" s="2977">
        <v>9.9000000000000005E-2</v>
      </c>
      <c r="D51" s="2977">
        <v>8.5000000000000006E-2</v>
      </c>
      <c r="E51" s="2977">
        <v>6.3E-2</v>
      </c>
      <c r="F51" s="2988"/>
      <c r="G51" s="2978">
        <v>9.6000000000000002E-2</v>
      </c>
    </row>
    <row r="52" spans="1:7">
      <c r="A52" s="2987" t="s">
        <v>296</v>
      </c>
      <c r="B52" s="2976" t="s">
        <v>2928</v>
      </c>
      <c r="C52" s="2977">
        <v>7.3999999999999996E-2</v>
      </c>
      <c r="D52" s="2977">
        <v>9.6000000000000002E-2</v>
      </c>
      <c r="E52" s="2977">
        <v>0.05</v>
      </c>
      <c r="F52" s="2988"/>
      <c r="G52" s="2978">
        <v>9.8000000000000004E-2</v>
      </c>
    </row>
    <row r="53" spans="1:7">
      <c r="A53" s="2987" t="s">
        <v>296</v>
      </c>
      <c r="B53" s="2976" t="s">
        <v>2933</v>
      </c>
      <c r="C53" s="2977">
        <v>8.5999999999999993E-2</v>
      </c>
      <c r="D53" s="2988"/>
      <c r="E53" s="2977">
        <v>9.1999999999999998E-2</v>
      </c>
      <c r="F53" s="2988"/>
      <c r="G53" s="2989"/>
    </row>
    <row r="54" spans="1:7" ht="14.25" thickBot="1">
      <c r="A54" s="2990" t="s">
        <v>296</v>
      </c>
      <c r="B54" s="2980" t="s">
        <v>2936</v>
      </c>
      <c r="C54" s="2981">
        <v>9.6000000000000002E-2</v>
      </c>
      <c r="D54" s="2982"/>
      <c r="E54" s="2991"/>
      <c r="F54" s="2982"/>
      <c r="G54" s="2992"/>
    </row>
    <row r="55" spans="1:7">
      <c r="A55" s="2986" t="s">
        <v>110</v>
      </c>
      <c r="B55" s="2972" t="s">
        <v>2853</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2934</v>
      </c>
      <c r="C78" s="2977">
        <v>0.1</v>
      </c>
      <c r="D78" s="2977">
        <v>8.5000000000000006E-2</v>
      </c>
      <c r="E78" s="2977">
        <v>9.6000000000000002E-2</v>
      </c>
      <c r="F78" s="2988"/>
      <c r="G78" s="2978">
        <v>9.6000000000000002E-2</v>
      </c>
    </row>
    <row r="79" spans="1:7">
      <c r="A79" s="2987" t="s">
        <v>110</v>
      </c>
      <c r="B79" s="2976" t="s">
        <v>2937</v>
      </c>
      <c r="C79" s="2977">
        <v>0.05</v>
      </c>
      <c r="D79" s="2977">
        <v>9.6000000000000002E-2</v>
      </c>
      <c r="E79" s="2977">
        <v>9.5000000000000001E-2</v>
      </c>
      <c r="F79" s="2988"/>
      <c r="G79" s="2978">
        <v>9.8000000000000004E-2</v>
      </c>
    </row>
    <row r="80" spans="1:7">
      <c r="A80" s="2987" t="s">
        <v>110</v>
      </c>
      <c r="B80" s="2976" t="s">
        <v>2941</v>
      </c>
      <c r="C80" s="2977">
        <v>8.5999999999999993E-2</v>
      </c>
      <c r="D80" s="2993"/>
      <c r="E80" s="2977">
        <v>0.1</v>
      </c>
      <c r="F80" s="2988"/>
      <c r="G80" s="2989"/>
    </row>
    <row r="81" spans="1:7">
      <c r="A81" s="2987" t="s">
        <v>110</v>
      </c>
      <c r="B81" s="2976" t="s">
        <v>2946</v>
      </c>
      <c r="C81" s="2977">
        <v>9.6000000000000002E-2</v>
      </c>
      <c r="D81" s="2988"/>
      <c r="E81" s="2977">
        <v>9.8000000000000004E-2</v>
      </c>
      <c r="F81" s="2988"/>
      <c r="G81" s="2989"/>
    </row>
    <row r="82" spans="1:7">
      <c r="A82" s="2987" t="s">
        <v>110</v>
      </c>
      <c r="B82" s="2976" t="s">
        <v>2953</v>
      </c>
      <c r="C82" s="2993"/>
      <c r="D82" s="2988"/>
      <c r="E82" s="2977">
        <v>7.6999999999999999E-2</v>
      </c>
      <c r="F82" s="2988"/>
      <c r="G82" s="2989"/>
    </row>
    <row r="83" spans="1:7">
      <c r="A83" s="2987" t="s">
        <v>110</v>
      </c>
      <c r="B83" s="2976" t="s">
        <v>2959</v>
      </c>
      <c r="C83" s="2988"/>
      <c r="D83" s="2988"/>
      <c r="E83" s="2988"/>
      <c r="F83" s="2977">
        <v>0.1</v>
      </c>
      <c r="G83" s="2994"/>
    </row>
    <row r="84" spans="1:7">
      <c r="A84" s="2987" t="s">
        <v>110</v>
      </c>
      <c r="B84" s="2976" t="s">
        <v>2966</v>
      </c>
      <c r="C84" s="2988"/>
      <c r="D84" s="2988"/>
      <c r="E84" s="2988"/>
      <c r="F84" s="2977">
        <v>0.1</v>
      </c>
      <c r="G84" s="2994"/>
    </row>
    <row r="85" spans="1:7">
      <c r="A85" s="2987" t="s">
        <v>110</v>
      </c>
      <c r="B85" s="2976" t="s">
        <v>2973</v>
      </c>
      <c r="C85" s="2988"/>
      <c r="D85" s="2988"/>
      <c r="E85" s="2988"/>
      <c r="F85" s="2977">
        <v>0.1</v>
      </c>
      <c r="G85" s="2994"/>
    </row>
    <row r="86" spans="1:7" ht="14.25" thickBot="1">
      <c r="A86" s="2990" t="s">
        <v>110</v>
      </c>
      <c r="B86" s="2980" t="s">
        <v>2978</v>
      </c>
      <c r="C86" s="2981">
        <v>9.8000000000000004E-2</v>
      </c>
      <c r="D86" s="2981">
        <v>9.8000000000000004E-2</v>
      </c>
      <c r="E86" s="2981">
        <v>9.6000000000000002E-2</v>
      </c>
      <c r="F86" s="2991"/>
      <c r="G86" s="2983">
        <v>0.1</v>
      </c>
    </row>
    <row r="87" spans="1:7">
      <c r="A87" s="2986" t="s">
        <v>303</v>
      </c>
      <c r="B87" s="2972" t="s">
        <v>2854</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2947</v>
      </c>
      <c r="C113" s="2977">
        <v>0.1</v>
      </c>
      <c r="D113" s="2977">
        <v>0.1</v>
      </c>
      <c r="E113" s="2988"/>
      <c r="F113" s="2988"/>
      <c r="G113" s="2978">
        <v>0.1</v>
      </c>
    </row>
    <row r="114" spans="1:7">
      <c r="A114" s="2987" t="s">
        <v>303</v>
      </c>
      <c r="B114" s="2976" t="s">
        <v>2954</v>
      </c>
      <c r="C114" s="2977">
        <v>9.7000000000000003E-2</v>
      </c>
      <c r="D114" s="2977">
        <v>9.7000000000000003E-2</v>
      </c>
      <c r="E114" s="2988"/>
      <c r="F114" s="2988"/>
      <c r="G114" s="2978">
        <v>9.9000000000000005E-2</v>
      </c>
    </row>
    <row r="115" spans="1:7">
      <c r="A115" s="2987" t="s">
        <v>303</v>
      </c>
      <c r="B115" s="2976" t="s">
        <v>2960</v>
      </c>
      <c r="C115" s="2977">
        <v>0.1</v>
      </c>
      <c r="D115" s="2977">
        <v>0.1</v>
      </c>
      <c r="E115" s="2988"/>
      <c r="F115" s="2988"/>
      <c r="G115" s="2978">
        <v>0.1</v>
      </c>
    </row>
    <row r="116" spans="1:7">
      <c r="A116" s="2987" t="s">
        <v>303</v>
      </c>
      <c r="B116" s="2976" t="s">
        <v>2967</v>
      </c>
      <c r="C116" s="2977">
        <v>0.1</v>
      </c>
      <c r="D116" s="2977">
        <v>0.1</v>
      </c>
      <c r="E116" s="2988"/>
      <c r="F116" s="2988"/>
      <c r="G116" s="2978">
        <v>0.1</v>
      </c>
    </row>
    <row r="117" spans="1:7">
      <c r="A117" s="2987" t="s">
        <v>303</v>
      </c>
      <c r="B117" s="2976" t="s">
        <v>2974</v>
      </c>
      <c r="C117" s="2977">
        <v>9.7000000000000003E-2</v>
      </c>
      <c r="D117" s="2977">
        <v>9.7000000000000003E-2</v>
      </c>
      <c r="E117" s="2988"/>
      <c r="F117" s="2988"/>
      <c r="G117" s="2978">
        <v>9.7000000000000003E-2</v>
      </c>
    </row>
    <row r="118" spans="1:7">
      <c r="A118" s="2987" t="s">
        <v>303</v>
      </c>
      <c r="B118" s="2976" t="s">
        <v>2979</v>
      </c>
      <c r="C118" s="2977">
        <v>0.1</v>
      </c>
      <c r="D118" s="2977">
        <v>0.1</v>
      </c>
      <c r="E118" s="2988"/>
      <c r="F118" s="2988"/>
      <c r="G118" s="2978">
        <v>0.1</v>
      </c>
    </row>
    <row r="119" spans="1:7">
      <c r="A119" s="2987" t="s">
        <v>303</v>
      </c>
      <c r="B119" s="2976" t="s">
        <v>2983</v>
      </c>
      <c r="C119" s="2977">
        <v>5.0999999999999997E-2</v>
      </c>
      <c r="D119" s="2977">
        <v>5.1999999999999998E-2</v>
      </c>
      <c r="E119" s="2988"/>
      <c r="F119" s="2993"/>
      <c r="G119" s="2978">
        <v>0.06</v>
      </c>
    </row>
    <row r="120" spans="1:7">
      <c r="A120" s="2987" t="s">
        <v>303</v>
      </c>
      <c r="B120" s="2976" t="s">
        <v>2987</v>
      </c>
      <c r="C120" s="2988"/>
      <c r="D120" s="2988"/>
      <c r="E120" s="2988"/>
      <c r="F120" s="2977">
        <v>0.1</v>
      </c>
      <c r="G120" s="2994"/>
    </row>
    <row r="121" spans="1:7">
      <c r="A121" s="2987" t="s">
        <v>303</v>
      </c>
      <c r="B121" s="2976" t="s">
        <v>2992</v>
      </c>
      <c r="C121" s="2988"/>
      <c r="D121" s="2988"/>
      <c r="E121" s="2988"/>
      <c r="F121" s="2977">
        <v>0.1</v>
      </c>
      <c r="G121" s="2994"/>
    </row>
    <row r="122" spans="1:7">
      <c r="A122" s="2987" t="s">
        <v>303</v>
      </c>
      <c r="B122" s="2976" t="s">
        <v>2997</v>
      </c>
      <c r="C122" s="2977">
        <v>0.1</v>
      </c>
      <c r="D122" s="2977">
        <v>0.1</v>
      </c>
      <c r="E122" s="2977">
        <v>9.8000000000000004E-2</v>
      </c>
      <c r="F122" s="2977">
        <v>0.1</v>
      </c>
      <c r="G122" s="2978">
        <v>0.1</v>
      </c>
    </row>
    <row r="123" spans="1:7">
      <c r="A123" s="2987" t="s">
        <v>303</v>
      </c>
      <c r="B123" s="2976" t="s">
        <v>3002</v>
      </c>
      <c r="C123" s="2977">
        <v>0.1</v>
      </c>
      <c r="D123" s="2977">
        <v>0.1</v>
      </c>
      <c r="E123" s="2977">
        <v>9.8000000000000004E-2</v>
      </c>
      <c r="F123" s="2977">
        <v>0.1</v>
      </c>
      <c r="G123" s="2978">
        <v>0.1</v>
      </c>
    </row>
    <row r="124" spans="1:7">
      <c r="A124" s="2987" t="s">
        <v>303</v>
      </c>
      <c r="B124" s="2976" t="s">
        <v>3007</v>
      </c>
      <c r="C124" s="2977">
        <v>0.1</v>
      </c>
      <c r="D124" s="2977">
        <v>0.1</v>
      </c>
      <c r="E124" s="2977">
        <v>9.8000000000000004E-2</v>
      </c>
      <c r="F124" s="2993"/>
      <c r="G124" s="2978">
        <v>0.1</v>
      </c>
    </row>
    <row r="125" spans="1:7">
      <c r="A125" s="2987" t="s">
        <v>303</v>
      </c>
      <c r="B125" s="2976" t="s">
        <v>3012</v>
      </c>
      <c r="C125" s="2977">
        <v>9.8000000000000004E-2</v>
      </c>
      <c r="D125" s="2977">
        <v>9.8000000000000004E-2</v>
      </c>
      <c r="E125" s="2977">
        <v>9.6000000000000002E-2</v>
      </c>
      <c r="F125" s="2993"/>
      <c r="G125" s="2978">
        <v>0.1</v>
      </c>
    </row>
    <row r="126" spans="1:7" ht="14.25" thickBot="1">
      <c r="A126" s="2990" t="s">
        <v>303</v>
      </c>
      <c r="B126" s="2980" t="s">
        <v>3178</v>
      </c>
      <c r="C126" s="2981">
        <v>0.1</v>
      </c>
      <c r="D126" s="2981">
        <v>0.1</v>
      </c>
      <c r="E126" s="2981">
        <v>9.8000000000000004E-2</v>
      </c>
      <c r="F126" s="2981">
        <v>0.1</v>
      </c>
      <c r="G126" s="2983">
        <v>0.1</v>
      </c>
    </row>
    <row r="127" spans="1:7">
      <c r="A127" s="2986" t="s">
        <v>29</v>
      </c>
      <c r="B127" s="2972" t="s">
        <v>2855</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2925</v>
      </c>
      <c r="C148" s="2977">
        <v>0.13</v>
      </c>
      <c r="D148" s="2977">
        <v>0.13</v>
      </c>
      <c r="E148" s="2977">
        <v>0.13</v>
      </c>
      <c r="F148" s="2988"/>
      <c r="G148" s="2978">
        <v>0.13</v>
      </c>
    </row>
    <row r="149" spans="1:7">
      <c r="A149" s="2987" t="s">
        <v>29</v>
      </c>
      <c r="B149" s="2976" t="s">
        <v>2929</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2948</v>
      </c>
      <c r="C153" s="2977">
        <v>0.13</v>
      </c>
      <c r="D153" s="2977">
        <v>0.13</v>
      </c>
      <c r="E153" s="2977">
        <v>0.13</v>
      </c>
      <c r="F153" s="2977">
        <v>0.13</v>
      </c>
      <c r="G153" s="2978">
        <v>0.13</v>
      </c>
    </row>
    <row r="154" spans="1:7">
      <c r="A154" s="2987" t="s">
        <v>29</v>
      </c>
      <c r="B154" s="2976" t="s">
        <v>2955</v>
      </c>
      <c r="C154" s="2977">
        <v>0.121</v>
      </c>
      <c r="D154" s="2977">
        <v>0.121</v>
      </c>
      <c r="E154" s="2977">
        <v>0.105</v>
      </c>
      <c r="F154" s="2977">
        <v>0.121</v>
      </c>
      <c r="G154" s="2978">
        <v>0.123</v>
      </c>
    </row>
    <row r="155" spans="1:7">
      <c r="A155" s="2987" t="s">
        <v>29</v>
      </c>
      <c r="B155" s="2976" t="s">
        <v>2961</v>
      </c>
      <c r="C155" s="2977">
        <v>0.1</v>
      </c>
      <c r="D155" s="2977">
        <v>0.1</v>
      </c>
      <c r="E155" s="2977">
        <v>0.1</v>
      </c>
      <c r="F155" s="2977">
        <v>0.1</v>
      </c>
      <c r="G155" s="2978">
        <v>0.1</v>
      </c>
    </row>
    <row r="156" spans="1:7">
      <c r="A156" s="2987" t="s">
        <v>29</v>
      </c>
      <c r="B156" s="2976" t="s">
        <v>2968</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2988</v>
      </c>
      <c r="C160" s="2977">
        <v>0.13</v>
      </c>
      <c r="D160" s="2977">
        <v>0.13</v>
      </c>
      <c r="E160" s="2977">
        <v>0.124</v>
      </c>
      <c r="F160" s="2977">
        <v>0.126</v>
      </c>
      <c r="G160" s="2978">
        <v>0.13</v>
      </c>
    </row>
    <row r="161" spans="1:7">
      <c r="A161" s="2987" t="s">
        <v>29</v>
      </c>
      <c r="B161" s="2976" t="s">
        <v>2993</v>
      </c>
      <c r="C161" s="2977">
        <v>0.13</v>
      </c>
      <c r="D161" s="2977">
        <v>0.13</v>
      </c>
      <c r="E161" s="2977">
        <v>0.124</v>
      </c>
      <c r="F161" s="2977">
        <v>0.127</v>
      </c>
      <c r="G161" s="2978">
        <v>0.13</v>
      </c>
    </row>
    <row r="162" spans="1:7">
      <c r="A162" s="2987" t="s">
        <v>29</v>
      </c>
      <c r="B162" s="2976" t="s">
        <v>2998</v>
      </c>
      <c r="C162" s="2977">
        <v>0.1</v>
      </c>
      <c r="D162" s="2977">
        <v>0.1</v>
      </c>
      <c r="E162" s="2977">
        <v>0.1</v>
      </c>
      <c r="F162" s="2977">
        <v>0.121</v>
      </c>
      <c r="G162" s="2978">
        <v>0.105</v>
      </c>
    </row>
    <row r="163" spans="1:7">
      <c r="A163" s="2987" t="s">
        <v>29</v>
      </c>
      <c r="B163" s="2976" t="s">
        <v>3003</v>
      </c>
      <c r="C163" s="2977">
        <v>0.1</v>
      </c>
      <c r="D163" s="2977">
        <v>0.1</v>
      </c>
      <c r="E163" s="2977">
        <v>0.1</v>
      </c>
      <c r="F163" s="2977">
        <v>0.1</v>
      </c>
      <c r="G163" s="2978">
        <v>0.1</v>
      </c>
    </row>
    <row r="164" spans="1:7">
      <c r="A164" s="2987" t="s">
        <v>29</v>
      </c>
      <c r="B164" s="2976" t="s">
        <v>3008</v>
      </c>
      <c r="C164" s="2993"/>
      <c r="D164" s="2993"/>
      <c r="E164" s="2993"/>
      <c r="F164" s="2977">
        <v>0.1</v>
      </c>
      <c r="G164" s="2989"/>
    </row>
    <row r="165" spans="1:7">
      <c r="A165" s="2987" t="s">
        <v>29</v>
      </c>
      <c r="B165" s="2976" t="s">
        <v>3179</v>
      </c>
      <c r="C165" s="2977">
        <v>0.126</v>
      </c>
      <c r="D165" s="2977">
        <v>0.126</v>
      </c>
      <c r="E165" s="2977">
        <v>0.11899999999999999</v>
      </c>
      <c r="F165" s="2977">
        <v>0.13</v>
      </c>
      <c r="G165" s="2978">
        <v>0.128</v>
      </c>
    </row>
    <row r="166" spans="1:7">
      <c r="A166" s="2987" t="s">
        <v>29</v>
      </c>
      <c r="B166" s="2976" t="s">
        <v>3018</v>
      </c>
      <c r="C166" s="2977">
        <v>0.129</v>
      </c>
      <c r="D166" s="2977">
        <v>0.129</v>
      </c>
      <c r="E166" s="2977">
        <v>0.123</v>
      </c>
      <c r="F166" s="2977">
        <v>0.128</v>
      </c>
      <c r="G166" s="2978">
        <v>0.13</v>
      </c>
    </row>
    <row r="167" spans="1:7">
      <c r="A167" s="2987" t="s">
        <v>29</v>
      </c>
      <c r="B167" s="2976" t="s">
        <v>3022</v>
      </c>
      <c r="C167" s="2977">
        <v>0.125</v>
      </c>
      <c r="D167" s="2977">
        <v>0.125</v>
      </c>
      <c r="E167" s="2977">
        <v>0.11700000000000001</v>
      </c>
      <c r="F167" s="2977">
        <v>0.13</v>
      </c>
      <c r="G167" s="2978">
        <v>0.126</v>
      </c>
    </row>
    <row r="168" spans="1:7">
      <c r="A168" s="2987" t="s">
        <v>29</v>
      </c>
      <c r="B168" s="2976" t="s">
        <v>3027</v>
      </c>
      <c r="C168" s="2977">
        <v>0.128</v>
      </c>
      <c r="D168" s="2977">
        <v>0.128</v>
      </c>
      <c r="E168" s="2977">
        <v>0.123</v>
      </c>
      <c r="F168" s="2988"/>
      <c r="G168" s="2978">
        <v>0.13</v>
      </c>
    </row>
    <row r="169" spans="1:7">
      <c r="A169" s="2987" t="s">
        <v>29</v>
      </c>
      <c r="B169" s="2976" t="s">
        <v>3180</v>
      </c>
      <c r="C169" s="2993"/>
      <c r="D169" s="2993"/>
      <c r="E169" s="2993"/>
      <c r="F169" s="2977">
        <v>0.05</v>
      </c>
      <c r="G169" s="2989"/>
    </row>
    <row r="170" spans="1:7">
      <c r="A170" s="2987" t="s">
        <v>29</v>
      </c>
      <c r="B170" s="2976" t="s">
        <v>3181</v>
      </c>
      <c r="C170" s="2993"/>
      <c r="D170" s="2993"/>
      <c r="E170" s="2993"/>
      <c r="F170" s="2977">
        <v>0.05</v>
      </c>
      <c r="G170" s="2989"/>
    </row>
    <row r="171" spans="1:7">
      <c r="A171" s="2987" t="s">
        <v>29</v>
      </c>
      <c r="B171" s="2976" t="s">
        <v>3182</v>
      </c>
      <c r="C171" s="2993"/>
      <c r="D171" s="2993"/>
      <c r="E171" s="2993"/>
      <c r="F171" s="2977">
        <v>0.05</v>
      </c>
      <c r="G171" s="2994"/>
    </row>
    <row r="172" spans="1:7">
      <c r="A172" s="2987" t="s">
        <v>29</v>
      </c>
      <c r="B172" s="2976" t="s">
        <v>3183</v>
      </c>
      <c r="C172" s="2993"/>
      <c r="D172" s="2993"/>
      <c r="E172" s="2993"/>
      <c r="F172" s="2977">
        <v>0.05</v>
      </c>
      <c r="G172" s="2994"/>
    </row>
    <row r="173" spans="1:7">
      <c r="A173" s="2987" t="s">
        <v>29</v>
      </c>
      <c r="B173" s="2976" t="s">
        <v>3184</v>
      </c>
      <c r="C173" s="2993"/>
      <c r="D173" s="2993"/>
      <c r="E173" s="2993"/>
      <c r="F173" s="2977">
        <v>0.05</v>
      </c>
      <c r="G173" s="2989"/>
    </row>
    <row r="174" spans="1:7">
      <c r="A174" s="2987" t="s">
        <v>29</v>
      </c>
      <c r="B174" s="2976" t="s">
        <v>3185</v>
      </c>
      <c r="C174" s="2993"/>
      <c r="D174" s="2993"/>
      <c r="E174" s="2993"/>
      <c r="F174" s="2977">
        <v>0.05</v>
      </c>
      <c r="G174" s="2989"/>
    </row>
    <row r="175" spans="1:7">
      <c r="A175" s="2987" t="s">
        <v>29</v>
      </c>
      <c r="B175" s="2976" t="s">
        <v>3186</v>
      </c>
      <c r="C175" s="2993"/>
      <c r="D175" s="2993"/>
      <c r="E175" s="2993"/>
      <c r="F175" s="2977">
        <v>0.05</v>
      </c>
      <c r="G175" s="2989"/>
    </row>
    <row r="176" spans="1:7">
      <c r="A176" s="2987" t="s">
        <v>29</v>
      </c>
      <c r="B176" s="2976" t="s">
        <v>3187</v>
      </c>
      <c r="C176" s="2993"/>
      <c r="D176" s="2993"/>
      <c r="E176" s="2993"/>
      <c r="F176" s="2977">
        <v>0.05</v>
      </c>
      <c r="G176" s="2989"/>
    </row>
    <row r="177" spans="1:7">
      <c r="A177" s="2987" t="s">
        <v>29</v>
      </c>
      <c r="B177" s="2976" t="s">
        <v>3188</v>
      </c>
      <c r="C177" s="2988"/>
      <c r="D177" s="2988"/>
      <c r="E177" s="2988"/>
      <c r="F177" s="2977">
        <v>0.05</v>
      </c>
      <c r="G177" s="2994"/>
    </row>
    <row r="178" spans="1:7">
      <c r="A178" s="2987" t="s">
        <v>29</v>
      </c>
      <c r="B178" s="2976" t="s">
        <v>3189</v>
      </c>
      <c r="C178" s="2988"/>
      <c r="D178" s="2988"/>
      <c r="E178" s="2988"/>
      <c r="F178" s="2977">
        <v>0.05</v>
      </c>
      <c r="G178" s="2994"/>
    </row>
    <row r="179" spans="1:7">
      <c r="A179" s="2987" t="s">
        <v>29</v>
      </c>
      <c r="B179" s="2976" t="s">
        <v>3190</v>
      </c>
      <c r="C179" s="2988"/>
      <c r="D179" s="2988"/>
      <c r="E179" s="2988"/>
      <c r="F179" s="2977">
        <v>0.05</v>
      </c>
      <c r="G179" s="2994"/>
    </row>
    <row r="180" spans="1:7">
      <c r="A180" s="2987" t="s">
        <v>29</v>
      </c>
      <c r="B180" s="2976" t="s">
        <v>3191</v>
      </c>
      <c r="C180" s="2988"/>
      <c r="D180" s="2988"/>
      <c r="E180" s="2988"/>
      <c r="F180" s="2977">
        <v>0.05</v>
      </c>
      <c r="G180" s="2994"/>
    </row>
    <row r="181" spans="1:7">
      <c r="A181" s="2987" t="s">
        <v>29</v>
      </c>
      <c r="B181" s="2976" t="s">
        <v>3192</v>
      </c>
      <c r="C181" s="2988"/>
      <c r="D181" s="2988"/>
      <c r="E181" s="2988"/>
      <c r="F181" s="2977">
        <v>0.05</v>
      </c>
      <c r="G181" s="2994"/>
    </row>
    <row r="182" spans="1:7">
      <c r="A182" s="2987" t="s">
        <v>29</v>
      </c>
      <c r="B182" s="2976" t="s">
        <v>3193</v>
      </c>
      <c r="C182" s="2988"/>
      <c r="D182" s="2988"/>
      <c r="E182" s="2988"/>
      <c r="F182" s="2977">
        <v>0.05</v>
      </c>
      <c r="G182" s="2994"/>
    </row>
    <row r="183" spans="1:7">
      <c r="A183" s="2987" t="s">
        <v>29</v>
      </c>
      <c r="B183" s="2976" t="s">
        <v>3194</v>
      </c>
      <c r="C183" s="2988"/>
      <c r="D183" s="2988"/>
      <c r="E183" s="2988"/>
      <c r="F183" s="2977">
        <v>0.05</v>
      </c>
      <c r="G183" s="2994"/>
    </row>
    <row r="184" spans="1:7">
      <c r="A184" s="2987" t="s">
        <v>29</v>
      </c>
      <c r="B184" s="2976" t="s">
        <v>3195</v>
      </c>
      <c r="C184" s="2988"/>
      <c r="D184" s="2988"/>
      <c r="E184" s="2988"/>
      <c r="F184" s="2977">
        <v>0.05</v>
      </c>
      <c r="G184" s="2994"/>
    </row>
    <row r="185" spans="1:7">
      <c r="A185" s="2987" t="s">
        <v>29</v>
      </c>
      <c r="B185" s="2976" t="s">
        <v>3196</v>
      </c>
      <c r="C185" s="2988"/>
      <c r="D185" s="2988"/>
      <c r="E185" s="2988"/>
      <c r="F185" s="2977">
        <v>0.05</v>
      </c>
      <c r="G185" s="2994"/>
    </row>
    <row r="186" spans="1:7">
      <c r="A186" s="2987" t="s">
        <v>29</v>
      </c>
      <c r="B186" s="2976" t="s">
        <v>3197</v>
      </c>
      <c r="C186" s="2988"/>
      <c r="D186" s="2988"/>
      <c r="E186" s="2988"/>
      <c r="F186" s="2977">
        <v>0.05</v>
      </c>
      <c r="G186" s="2994"/>
    </row>
    <row r="187" spans="1:7">
      <c r="A187" s="2987" t="s">
        <v>29</v>
      </c>
      <c r="B187" s="2976" t="s">
        <v>3198</v>
      </c>
      <c r="C187" s="2988"/>
      <c r="D187" s="2988"/>
      <c r="E187" s="2988"/>
      <c r="F187" s="2977">
        <v>0.05</v>
      </c>
      <c r="G187" s="2994"/>
    </row>
    <row r="188" spans="1:7">
      <c r="A188" s="2987" t="s">
        <v>29</v>
      </c>
      <c r="B188" s="2976" t="s">
        <v>3199</v>
      </c>
      <c r="C188" s="2988"/>
      <c r="D188" s="2988"/>
      <c r="E188" s="2988"/>
      <c r="F188" s="2977">
        <v>0.05</v>
      </c>
      <c r="G188" s="2994"/>
    </row>
    <row r="189" spans="1:7" ht="14.25" thickBot="1">
      <c r="A189" s="2990" t="s">
        <v>29</v>
      </c>
      <c r="B189" s="2980" t="s">
        <v>3200</v>
      </c>
      <c r="C189" s="2982"/>
      <c r="D189" s="2982"/>
      <c r="E189" s="2982"/>
      <c r="F189" s="2981">
        <v>0.05</v>
      </c>
      <c r="G189" s="2995"/>
    </row>
    <row r="190" spans="1:7">
      <c r="A190" s="2986" t="s">
        <v>304</v>
      </c>
      <c r="B190" s="2972" t="s">
        <v>2856</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2892</v>
      </c>
      <c r="C199" s="2977">
        <v>0.13</v>
      </c>
      <c r="D199" s="2977">
        <v>0.13</v>
      </c>
      <c r="E199" s="2977">
        <v>0.13</v>
      </c>
      <c r="F199" s="2977">
        <v>0.13</v>
      </c>
      <c r="G199" s="2978">
        <v>0.13</v>
      </c>
    </row>
    <row r="200" spans="1:7">
      <c r="A200" s="2987" t="s">
        <v>304</v>
      </c>
      <c r="B200" s="2976" t="s">
        <v>2895</v>
      </c>
      <c r="C200" s="2993"/>
      <c r="D200" s="2993"/>
      <c r="E200" s="2993"/>
      <c r="F200" s="2977">
        <v>0.13</v>
      </c>
      <c r="G200" s="2989"/>
    </row>
    <row r="201" spans="1:7">
      <c r="A201" s="2987" t="s">
        <v>304</v>
      </c>
      <c r="B201" s="2976" t="s">
        <v>2900</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2903</v>
      </c>
      <c r="C203" s="2977">
        <v>0.129</v>
      </c>
      <c r="D203" s="2977">
        <v>0.129</v>
      </c>
      <c r="E203" s="2977">
        <v>0.13</v>
      </c>
      <c r="F203" s="2977">
        <v>0.13</v>
      </c>
      <c r="G203" s="2978">
        <v>0.13</v>
      </c>
    </row>
    <row r="204" spans="1:7">
      <c r="A204" s="2987" t="s">
        <v>304</v>
      </c>
      <c r="B204" s="2976" t="s">
        <v>2906</v>
      </c>
      <c r="C204" s="2977">
        <v>0.129</v>
      </c>
      <c r="D204" s="2977">
        <v>0.129</v>
      </c>
      <c r="E204" s="2977">
        <v>0.123</v>
      </c>
      <c r="F204" s="2977">
        <v>0.13</v>
      </c>
      <c r="G204" s="2978">
        <v>0.13</v>
      </c>
    </row>
    <row r="205" spans="1:7">
      <c r="A205" s="2987" t="s">
        <v>304</v>
      </c>
      <c r="B205" s="2976" t="s">
        <v>2908</v>
      </c>
      <c r="C205" s="2977">
        <v>0.13</v>
      </c>
      <c r="D205" s="2977">
        <v>0.13</v>
      </c>
      <c r="E205" s="2977">
        <v>0.13</v>
      </c>
      <c r="F205" s="2977">
        <v>0.13</v>
      </c>
      <c r="G205" s="2978">
        <v>0.13</v>
      </c>
    </row>
    <row r="206" spans="1:7">
      <c r="A206" s="2987" t="s">
        <v>304</v>
      </c>
      <c r="B206" s="2976" t="s">
        <v>2911</v>
      </c>
      <c r="C206" s="2977">
        <v>0.13</v>
      </c>
      <c r="D206" s="2977">
        <v>0.13</v>
      </c>
      <c r="E206" s="2977">
        <v>0.13</v>
      </c>
      <c r="F206" s="2977">
        <v>0.128</v>
      </c>
      <c r="G206" s="2978">
        <v>0.13</v>
      </c>
    </row>
    <row r="207" spans="1:7">
      <c r="A207" s="2987" t="s">
        <v>304</v>
      </c>
      <c r="B207" s="2976" t="s">
        <v>2913</v>
      </c>
      <c r="C207" s="2977">
        <v>0.13</v>
      </c>
      <c r="D207" s="2977">
        <v>0.13</v>
      </c>
      <c r="E207" s="2977">
        <v>0.13</v>
      </c>
      <c r="F207" s="2977">
        <v>0.13</v>
      </c>
      <c r="G207" s="2978">
        <v>0.13</v>
      </c>
    </row>
    <row r="208" spans="1:7">
      <c r="A208" s="2987" t="s">
        <v>304</v>
      </c>
      <c r="B208" s="2976" t="s">
        <v>2916</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2923</v>
      </c>
      <c r="C210" s="2977">
        <v>0.121</v>
      </c>
      <c r="D210" s="2977">
        <v>0.121</v>
      </c>
      <c r="E210" s="2977">
        <v>0.125</v>
      </c>
      <c r="F210" s="2977">
        <v>0.13</v>
      </c>
      <c r="G210" s="2978">
        <v>0.123</v>
      </c>
    </row>
    <row r="211" spans="1:7">
      <c r="A211" s="2987" t="s">
        <v>304</v>
      </c>
      <c r="B211" s="2976" t="s">
        <v>2926</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2938</v>
      </c>
      <c r="C214" s="2977">
        <v>0.128</v>
      </c>
      <c r="D214" s="2977">
        <v>0.128</v>
      </c>
      <c r="E214" s="2977">
        <v>0.13</v>
      </c>
      <c r="F214" s="2977">
        <v>0.13</v>
      </c>
      <c r="G214" s="2978">
        <v>0.13</v>
      </c>
    </row>
    <row r="215" spans="1:7">
      <c r="A215" s="2987" t="s">
        <v>304</v>
      </c>
      <c r="B215" s="2976" t="s">
        <v>2942</v>
      </c>
      <c r="C215" s="2977">
        <v>0.13</v>
      </c>
      <c r="D215" s="2977">
        <v>0.13</v>
      </c>
      <c r="E215" s="2977">
        <v>0.13</v>
      </c>
      <c r="F215" s="2977">
        <v>0.129</v>
      </c>
      <c r="G215" s="2978">
        <v>0.13</v>
      </c>
    </row>
    <row r="216" spans="1:7">
      <c r="A216" s="2987" t="s">
        <v>304</v>
      </c>
      <c r="B216" s="2976" t="s">
        <v>2949</v>
      </c>
      <c r="C216" s="2977">
        <v>0.13</v>
      </c>
      <c r="D216" s="2977">
        <v>0.13</v>
      </c>
      <c r="E216" s="2977">
        <v>0.13</v>
      </c>
      <c r="F216" s="2977">
        <v>0.13</v>
      </c>
      <c r="G216" s="2978">
        <v>0.13</v>
      </c>
    </row>
    <row r="217" spans="1:7">
      <c r="A217" s="2987" t="s">
        <v>304</v>
      </c>
      <c r="B217" s="2976" t="s">
        <v>2956</v>
      </c>
      <c r="C217" s="2977">
        <v>0.129</v>
      </c>
      <c r="D217" s="2977">
        <v>0.129</v>
      </c>
      <c r="E217" s="2977">
        <v>0.13</v>
      </c>
      <c r="F217" s="2977">
        <v>0.13</v>
      </c>
      <c r="G217" s="2978">
        <v>0.13</v>
      </c>
    </row>
    <row r="218" spans="1:7">
      <c r="A218" s="2987" t="s">
        <v>304</v>
      </c>
      <c r="B218" s="2976" t="s">
        <v>2962</v>
      </c>
      <c r="C218" s="2988"/>
      <c r="D218" s="2988"/>
      <c r="E218" s="2988"/>
      <c r="F218" s="2977">
        <v>0.05</v>
      </c>
      <c r="G218" s="2994"/>
    </row>
    <row r="219" spans="1:7">
      <c r="A219" s="2987" t="s">
        <v>304</v>
      </c>
      <c r="B219" s="2976" t="s">
        <v>2969</v>
      </c>
      <c r="C219" s="2988"/>
      <c r="D219" s="2988"/>
      <c r="E219" s="2988"/>
      <c r="F219" s="2977">
        <v>0.05</v>
      </c>
      <c r="G219" s="2994"/>
    </row>
    <row r="220" spans="1:7">
      <c r="A220" s="2987" t="s">
        <v>304</v>
      </c>
      <c r="B220" s="2976" t="s">
        <v>2975</v>
      </c>
      <c r="C220" s="2988"/>
      <c r="D220" s="2988"/>
      <c r="E220" s="2988"/>
      <c r="F220" s="2977">
        <v>0.05</v>
      </c>
      <c r="G220" s="2994"/>
    </row>
    <row r="221" spans="1:7">
      <c r="A221" s="2987" t="s">
        <v>304</v>
      </c>
      <c r="B221" s="2976" t="s">
        <v>2980</v>
      </c>
      <c r="C221" s="2988"/>
      <c r="D221" s="2988"/>
      <c r="E221" s="2988"/>
      <c r="F221" s="2977">
        <v>0.05</v>
      </c>
      <c r="G221" s="2994"/>
    </row>
    <row r="222" spans="1:7">
      <c r="A222" s="2987" t="s">
        <v>304</v>
      </c>
      <c r="B222" s="2976" t="s">
        <v>2984</v>
      </c>
      <c r="C222" s="2988"/>
      <c r="D222" s="2988"/>
      <c r="E222" s="2988"/>
      <c r="F222" s="2977">
        <v>0.05</v>
      </c>
      <c r="G222" s="2994"/>
    </row>
    <row r="223" spans="1:7">
      <c r="A223" s="2987" t="s">
        <v>304</v>
      </c>
      <c r="B223" s="2976" t="s">
        <v>2989</v>
      </c>
      <c r="C223" s="2988"/>
      <c r="D223" s="2988"/>
      <c r="E223" s="2988"/>
      <c r="F223" s="2977">
        <v>0.05</v>
      </c>
      <c r="G223" s="2994"/>
    </row>
    <row r="224" spans="1:7">
      <c r="A224" s="2987" t="s">
        <v>304</v>
      </c>
      <c r="B224" s="2976" t="s">
        <v>2994</v>
      </c>
      <c r="C224" s="2988"/>
      <c r="D224" s="2988"/>
      <c r="E224" s="2988"/>
      <c r="F224" s="2977">
        <v>0.05</v>
      </c>
      <c r="G224" s="2994"/>
    </row>
    <row r="225" spans="1:7">
      <c r="A225" s="2987" t="s">
        <v>304</v>
      </c>
      <c r="B225" s="2976" t="s">
        <v>2999</v>
      </c>
      <c r="C225" s="2988"/>
      <c r="D225" s="2988"/>
      <c r="E225" s="2988"/>
      <c r="F225" s="2977">
        <v>0.05</v>
      </c>
      <c r="G225" s="2994"/>
    </row>
    <row r="226" spans="1:7">
      <c r="A226" s="2987" t="s">
        <v>304</v>
      </c>
      <c r="B226" s="2976" t="s">
        <v>3201</v>
      </c>
      <c r="C226" s="2988"/>
      <c r="D226" s="2988"/>
      <c r="E226" s="2988"/>
      <c r="F226" s="2977">
        <v>0.05</v>
      </c>
      <c r="G226" s="2994"/>
    </row>
    <row r="227" spans="1:7">
      <c r="A227" s="2987" t="s">
        <v>304</v>
      </c>
      <c r="B227" s="2976" t="s">
        <v>3202</v>
      </c>
      <c r="C227" s="2988"/>
      <c r="D227" s="2988"/>
      <c r="E227" s="2988"/>
      <c r="F227" s="2977">
        <v>0.05</v>
      </c>
      <c r="G227" s="2994"/>
    </row>
    <row r="228" spans="1:7">
      <c r="A228" s="2987" t="s">
        <v>304</v>
      </c>
      <c r="B228" s="2976" t="s">
        <v>3203</v>
      </c>
      <c r="C228" s="2988"/>
      <c r="D228" s="2988"/>
      <c r="E228" s="2988"/>
      <c r="F228" s="2977">
        <v>0.05</v>
      </c>
      <c r="G228" s="2994"/>
    </row>
    <row r="229" spans="1:7">
      <c r="A229" s="2987" t="s">
        <v>304</v>
      </c>
      <c r="B229" s="2976" t="s">
        <v>3204</v>
      </c>
      <c r="C229" s="2988"/>
      <c r="D229" s="2988"/>
      <c r="E229" s="2988"/>
      <c r="F229" s="2977">
        <v>0.05</v>
      </c>
      <c r="G229" s="2994"/>
    </row>
    <row r="230" spans="1:7">
      <c r="A230" s="2987" t="s">
        <v>304</v>
      </c>
      <c r="B230" s="2976" t="s">
        <v>3205</v>
      </c>
      <c r="C230" s="2988"/>
      <c r="D230" s="2988"/>
      <c r="E230" s="2988"/>
      <c r="F230" s="2977">
        <v>0.05</v>
      </c>
      <c r="G230" s="2994"/>
    </row>
    <row r="231" spans="1:7">
      <c r="A231" s="2987" t="s">
        <v>304</v>
      </c>
      <c r="B231" s="2976" t="s">
        <v>3206</v>
      </c>
      <c r="C231" s="2988"/>
      <c r="D231" s="2988"/>
      <c r="E231" s="2988"/>
      <c r="F231" s="2977">
        <v>0.05</v>
      </c>
      <c r="G231" s="2994"/>
    </row>
    <row r="232" spans="1:7">
      <c r="A232" s="2987" t="s">
        <v>304</v>
      </c>
      <c r="B232" s="2976" t="s">
        <v>3207</v>
      </c>
      <c r="C232" s="2988"/>
      <c r="D232" s="2988"/>
      <c r="E232" s="2988"/>
      <c r="F232" s="2977">
        <v>0.05</v>
      </c>
      <c r="G232" s="2994"/>
    </row>
    <row r="233" spans="1:7" ht="14.25" thickBot="1">
      <c r="A233" s="2990" t="s">
        <v>304</v>
      </c>
      <c r="B233" s="2980" t="s">
        <v>3208</v>
      </c>
      <c r="C233" s="2982"/>
      <c r="D233" s="2982"/>
      <c r="E233" s="2982"/>
      <c r="F233" s="2981">
        <v>0.05</v>
      </c>
      <c r="G233" s="2995"/>
    </row>
    <row r="234" spans="1:7">
      <c r="A234" s="2986" t="s">
        <v>305</v>
      </c>
      <c r="B234" s="2972" t="s">
        <v>2857</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2877</v>
      </c>
      <c r="C238" s="2977">
        <v>0.14899999999999999</v>
      </c>
      <c r="D238" s="2977">
        <v>0.14899999999999999</v>
      </c>
      <c r="E238" s="2977">
        <v>0.15</v>
      </c>
      <c r="F238" s="2977">
        <v>0.15</v>
      </c>
      <c r="G238" s="2978">
        <v>0.15</v>
      </c>
    </row>
    <row r="239" spans="1:7">
      <c r="A239" s="2987" t="s">
        <v>305</v>
      </c>
      <c r="B239" s="2976" t="s">
        <v>2881</v>
      </c>
      <c r="C239" s="2977">
        <v>0.15</v>
      </c>
      <c r="D239" s="2977">
        <v>0.15</v>
      </c>
      <c r="E239" s="2977">
        <v>0.15</v>
      </c>
      <c r="F239" s="2977">
        <v>0.15</v>
      </c>
      <c r="G239" s="2978">
        <v>0.15</v>
      </c>
    </row>
    <row r="240" spans="1:7">
      <c r="A240" s="2987" t="s">
        <v>305</v>
      </c>
      <c r="B240" s="2976" t="s">
        <v>2886</v>
      </c>
      <c r="C240" s="2977">
        <v>0.15</v>
      </c>
      <c r="D240" s="2977">
        <v>0.15</v>
      </c>
      <c r="E240" s="2977">
        <v>0.15</v>
      </c>
      <c r="F240" s="2977">
        <v>0.15</v>
      </c>
      <c r="G240" s="2978">
        <v>0.15</v>
      </c>
    </row>
    <row r="241" spans="1:7">
      <c r="A241" s="2987" t="s">
        <v>305</v>
      </c>
      <c r="B241" s="2976" t="s">
        <v>2890</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2896</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2904</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2909</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2917</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2930</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2939</v>
      </c>
      <c r="C258" s="2977">
        <v>0.14299999999999999</v>
      </c>
      <c r="D258" s="2977">
        <v>0.14299999999999999</v>
      </c>
      <c r="E258" s="2977">
        <v>0.15</v>
      </c>
      <c r="F258" s="2977">
        <v>0.14799999999999999</v>
      </c>
      <c r="G258" s="2978">
        <v>0.14599999999999999</v>
      </c>
    </row>
    <row r="259" spans="1:7">
      <c r="A259" s="2987" t="s">
        <v>305</v>
      </c>
      <c r="B259" s="2976" t="s">
        <v>2943</v>
      </c>
      <c r="C259" s="2977">
        <v>0.14399999999999999</v>
      </c>
      <c r="D259" s="2977">
        <v>0.14399999999999999</v>
      </c>
      <c r="E259" s="2977">
        <v>0.14899999999999999</v>
      </c>
      <c r="F259" s="2977">
        <v>0.14699999999999999</v>
      </c>
      <c r="G259" s="2978">
        <v>0.14599999999999999</v>
      </c>
    </row>
    <row r="260" spans="1:7">
      <c r="A260" s="2987" t="s">
        <v>305</v>
      </c>
      <c r="B260" s="2976" t="s">
        <v>2950</v>
      </c>
      <c r="C260" s="2977">
        <v>0.109</v>
      </c>
      <c r="D260" s="2977">
        <v>0.111</v>
      </c>
      <c r="E260" s="2977">
        <v>0.13100000000000001</v>
      </c>
      <c r="F260" s="2977">
        <v>0.126</v>
      </c>
      <c r="G260" s="2978">
        <v>0.11899999999999999</v>
      </c>
    </row>
    <row r="261" spans="1:7">
      <c r="A261" s="2987" t="s">
        <v>305</v>
      </c>
      <c r="B261" s="2976" t="s">
        <v>2957</v>
      </c>
      <c r="C261" s="2977">
        <v>0.1</v>
      </c>
      <c r="D261" s="2977">
        <v>0.1</v>
      </c>
      <c r="E261" s="2977">
        <v>0.11799999999999999</v>
      </c>
      <c r="F261" s="2977">
        <v>0.108</v>
      </c>
      <c r="G261" s="2978">
        <v>0.107</v>
      </c>
    </row>
    <row r="262" spans="1:7">
      <c r="A262" s="2987" t="s">
        <v>305</v>
      </c>
      <c r="B262" s="2976" t="s">
        <v>2963</v>
      </c>
      <c r="C262" s="2977">
        <v>0.1</v>
      </c>
      <c r="D262" s="2977">
        <v>0.1</v>
      </c>
      <c r="E262" s="2977">
        <v>0.1</v>
      </c>
      <c r="F262" s="2977">
        <v>0.14099999999999999</v>
      </c>
      <c r="G262" s="2978">
        <v>0.1</v>
      </c>
    </row>
    <row r="263" spans="1:7">
      <c r="A263" s="2987" t="s">
        <v>305</v>
      </c>
      <c r="B263" s="2976" t="s">
        <v>2970</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2981</v>
      </c>
      <c r="C265" s="2988"/>
      <c r="D265" s="2988"/>
      <c r="E265" s="2988"/>
      <c r="F265" s="2977">
        <v>0.05</v>
      </c>
      <c r="G265" s="2994"/>
    </row>
    <row r="266" spans="1:7">
      <c r="A266" s="2987" t="s">
        <v>305</v>
      </c>
      <c r="B266" s="2976" t="s">
        <v>2985</v>
      </c>
      <c r="C266" s="2988"/>
      <c r="D266" s="2988"/>
      <c r="E266" s="2988"/>
      <c r="F266" s="2977">
        <v>0.05</v>
      </c>
      <c r="G266" s="2994"/>
    </row>
    <row r="267" spans="1:7">
      <c r="A267" s="2987" t="s">
        <v>305</v>
      </c>
      <c r="B267" s="2976" t="s">
        <v>2990</v>
      </c>
      <c r="C267" s="2988"/>
      <c r="D267" s="2988"/>
      <c r="E267" s="2988"/>
      <c r="F267" s="2977">
        <v>0.05</v>
      </c>
      <c r="G267" s="2994"/>
    </row>
    <row r="268" spans="1:7">
      <c r="A268" s="2987" t="s">
        <v>305</v>
      </c>
      <c r="B268" s="2976" t="s">
        <v>2995</v>
      </c>
      <c r="C268" s="2988"/>
      <c r="D268" s="2988"/>
      <c r="E268" s="2988"/>
      <c r="F268" s="2977">
        <v>0.05</v>
      </c>
      <c r="G268" s="2994"/>
    </row>
    <row r="269" spans="1:7">
      <c r="A269" s="2987" t="s">
        <v>305</v>
      </c>
      <c r="B269" s="2976" t="s">
        <v>3000</v>
      </c>
      <c r="C269" s="2988"/>
      <c r="D269" s="2988"/>
      <c r="E269" s="2988"/>
      <c r="F269" s="2977">
        <v>0.05</v>
      </c>
      <c r="G269" s="2994"/>
    </row>
    <row r="270" spans="1:7">
      <c r="A270" s="2987" t="s">
        <v>305</v>
      </c>
      <c r="B270" s="2976" t="s">
        <v>3005</v>
      </c>
      <c r="C270" s="2988"/>
      <c r="D270" s="2988"/>
      <c r="E270" s="2988"/>
      <c r="F270" s="2977">
        <v>0.05</v>
      </c>
      <c r="G270" s="2994"/>
    </row>
    <row r="271" spans="1:7">
      <c r="A271" s="2987" t="s">
        <v>305</v>
      </c>
      <c r="B271" s="2976" t="s">
        <v>3209</v>
      </c>
      <c r="C271" s="2988"/>
      <c r="D271" s="2988"/>
      <c r="E271" s="2988"/>
      <c r="F271" s="2977">
        <v>0.05</v>
      </c>
      <c r="G271" s="2994"/>
    </row>
    <row r="272" spans="1:7">
      <c r="A272" s="2987" t="s">
        <v>305</v>
      </c>
      <c r="B272" s="2976" t="s">
        <v>3210</v>
      </c>
      <c r="C272" s="2988"/>
      <c r="D272" s="2988"/>
      <c r="E272" s="2988"/>
      <c r="F272" s="2977">
        <v>0.05</v>
      </c>
      <c r="G272" s="2994"/>
    </row>
    <row r="273" spans="1:7">
      <c r="A273" s="2987" t="s">
        <v>305</v>
      </c>
      <c r="B273" s="2976" t="s">
        <v>3211</v>
      </c>
      <c r="C273" s="2988"/>
      <c r="D273" s="2988"/>
      <c r="E273" s="2988"/>
      <c r="F273" s="2977">
        <v>0.05</v>
      </c>
      <c r="G273" s="2994"/>
    </row>
    <row r="274" spans="1:7">
      <c r="A274" s="2987" t="s">
        <v>305</v>
      </c>
      <c r="B274" s="2976" t="s">
        <v>3212</v>
      </c>
      <c r="C274" s="2988"/>
      <c r="D274" s="2988"/>
      <c r="E274" s="2988"/>
      <c r="F274" s="2977">
        <v>0.05</v>
      </c>
      <c r="G274" s="2994"/>
    </row>
    <row r="275" spans="1:7">
      <c r="A275" s="2987" t="s">
        <v>305</v>
      </c>
      <c r="B275" s="2976" t="s">
        <v>3213</v>
      </c>
      <c r="C275" s="2988"/>
      <c r="D275" s="2988"/>
      <c r="E275" s="2988"/>
      <c r="F275" s="2977">
        <v>0.05</v>
      </c>
      <c r="G275" s="2994"/>
    </row>
    <row r="276" spans="1:7" ht="14.25" thickBot="1">
      <c r="A276" s="2990" t="s">
        <v>305</v>
      </c>
      <c r="B276" s="2980" t="s">
        <v>3214</v>
      </c>
      <c r="C276" s="2982"/>
      <c r="D276" s="2982"/>
      <c r="E276" s="2982"/>
      <c r="F276" s="2981">
        <v>0.05</v>
      </c>
      <c r="G276" s="2995"/>
    </row>
    <row r="277" spans="1:7">
      <c r="A277" s="2986" t="s">
        <v>306</v>
      </c>
      <c r="B277" s="2972" t="s">
        <v>2858</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2870</v>
      </c>
      <c r="C279" s="2977">
        <v>0.15</v>
      </c>
      <c r="D279" s="2977">
        <v>0.15</v>
      </c>
      <c r="E279" s="2977">
        <v>0.15</v>
      </c>
      <c r="F279" s="2977">
        <v>0.15</v>
      </c>
      <c r="G279" s="2978">
        <v>0.15</v>
      </c>
    </row>
    <row r="280" spans="1:7">
      <c r="A280" s="2987" t="s">
        <v>306</v>
      </c>
      <c r="B280" s="2976" t="s">
        <v>2874</v>
      </c>
      <c r="C280" s="2977">
        <v>0.15</v>
      </c>
      <c r="D280" s="2977">
        <v>0.15</v>
      </c>
      <c r="E280" s="2977">
        <v>0.15</v>
      </c>
      <c r="F280" s="2977">
        <v>0.15</v>
      </c>
      <c r="G280" s="2978">
        <v>0.15</v>
      </c>
    </row>
    <row r="281" spans="1:7">
      <c r="A281" s="2987" t="s">
        <v>306</v>
      </c>
      <c r="B281" s="2976" t="s">
        <v>2878</v>
      </c>
      <c r="C281" s="2977">
        <v>0.15</v>
      </c>
      <c r="D281" s="2977">
        <v>0.15</v>
      </c>
      <c r="E281" s="2977">
        <v>0.15</v>
      </c>
      <c r="F281" s="2977">
        <v>0.15</v>
      </c>
      <c r="G281" s="2978">
        <v>0.15</v>
      </c>
    </row>
    <row r="282" spans="1:7">
      <c r="A282" s="2987" t="s">
        <v>306</v>
      </c>
      <c r="B282" s="2976" t="s">
        <v>2882</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2897</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2902</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2912</v>
      </c>
      <c r="C293" s="2977">
        <v>0.15</v>
      </c>
      <c r="D293" s="2977">
        <v>0.15</v>
      </c>
      <c r="E293" s="2977">
        <v>0.15</v>
      </c>
      <c r="F293" s="2977">
        <v>0.14499999999999999</v>
      </c>
      <c r="G293" s="2978">
        <v>0.15</v>
      </c>
    </row>
    <row r="294" spans="1:7">
      <c r="A294" s="2987" t="s">
        <v>306</v>
      </c>
      <c r="B294" s="2976" t="s">
        <v>2914</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2931</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2944</v>
      </c>
      <c r="C302" s="2977">
        <v>0.15</v>
      </c>
      <c r="D302" s="2977">
        <v>0.15</v>
      </c>
      <c r="E302" s="2977">
        <v>0.15</v>
      </c>
      <c r="F302" s="2977">
        <v>0.14699999999999999</v>
      </c>
      <c r="G302" s="2978">
        <v>0.15</v>
      </c>
    </row>
    <row r="303" spans="1:7">
      <c r="A303" s="2987" t="s">
        <v>306</v>
      </c>
      <c r="B303" s="2976" t="s">
        <v>2951</v>
      </c>
      <c r="C303" s="2977">
        <v>0.15</v>
      </c>
      <c r="D303" s="2977">
        <v>0.15</v>
      </c>
      <c r="E303" s="2977">
        <v>0.15</v>
      </c>
      <c r="F303" s="2977">
        <v>0.14199999999999999</v>
      </c>
      <c r="G303" s="2978">
        <v>0.15</v>
      </c>
    </row>
    <row r="304" spans="1:7">
      <c r="A304" s="2987" t="s">
        <v>306</v>
      </c>
      <c r="B304" s="2976" t="s">
        <v>2958</v>
      </c>
      <c r="C304" s="2977">
        <v>0.15</v>
      </c>
      <c r="D304" s="2977">
        <v>0.15</v>
      </c>
      <c r="E304" s="2977">
        <v>0.15</v>
      </c>
      <c r="F304" s="2977">
        <v>0.14499999999999999</v>
      </c>
      <c r="G304" s="2978">
        <v>0.15</v>
      </c>
    </row>
    <row r="305" spans="1:7">
      <c r="A305" s="2987" t="s">
        <v>306</v>
      </c>
      <c r="B305" s="2976" t="s">
        <v>2964</v>
      </c>
      <c r="C305" s="2977">
        <v>0.15</v>
      </c>
      <c r="D305" s="2977">
        <v>0.15</v>
      </c>
      <c r="E305" s="2977">
        <v>0.15</v>
      </c>
      <c r="F305" s="2977">
        <v>0.111</v>
      </c>
      <c r="G305" s="2978">
        <v>0.15</v>
      </c>
    </row>
    <row r="306" spans="1:7">
      <c r="A306" s="2987" t="s">
        <v>306</v>
      </c>
      <c r="B306" s="2976" t="s">
        <v>2971</v>
      </c>
      <c r="C306" s="2977">
        <v>0.15</v>
      </c>
      <c r="D306" s="2977">
        <v>0.15</v>
      </c>
      <c r="E306" s="2977">
        <v>0.15</v>
      </c>
      <c r="F306" s="2977">
        <v>0.126</v>
      </c>
      <c r="G306" s="2978">
        <v>0.15</v>
      </c>
    </row>
    <row r="307" spans="1:7">
      <c r="A307" s="2987" t="s">
        <v>306</v>
      </c>
      <c r="B307" s="2976" t="s">
        <v>2976</v>
      </c>
      <c r="C307" s="2977">
        <v>0.15</v>
      </c>
      <c r="D307" s="2977">
        <v>0.15</v>
      </c>
      <c r="E307" s="2977">
        <v>0.15</v>
      </c>
      <c r="F307" s="2977">
        <v>0.12</v>
      </c>
      <c r="G307" s="2978">
        <v>0.15</v>
      </c>
    </row>
    <row r="308" spans="1:7">
      <c r="A308" s="2987" t="s">
        <v>306</v>
      </c>
      <c r="B308" s="2976" t="s">
        <v>2982</v>
      </c>
      <c r="C308" s="2977">
        <v>0.15</v>
      </c>
      <c r="D308" s="2977">
        <v>0.15</v>
      </c>
      <c r="E308" s="2977">
        <v>0.15</v>
      </c>
      <c r="F308" s="2977">
        <v>0.13</v>
      </c>
      <c r="G308" s="2978">
        <v>0.15</v>
      </c>
    </row>
    <row r="309" spans="1:7">
      <c r="A309" s="2987" t="s">
        <v>306</v>
      </c>
      <c r="B309" s="2976" t="s">
        <v>2986</v>
      </c>
      <c r="C309" s="2977">
        <v>0.15</v>
      </c>
      <c r="D309" s="2977">
        <v>0.15</v>
      </c>
      <c r="E309" s="2977">
        <v>0.15</v>
      </c>
      <c r="F309" s="2977">
        <v>0.14099999999999999</v>
      </c>
      <c r="G309" s="2978">
        <v>0.15</v>
      </c>
    </row>
    <row r="310" spans="1:7">
      <c r="A310" s="2987" t="s">
        <v>306</v>
      </c>
      <c r="B310" s="2976" t="s">
        <v>2991</v>
      </c>
      <c r="C310" s="2977">
        <v>0.15</v>
      </c>
      <c r="D310" s="2977">
        <v>0.15</v>
      </c>
      <c r="E310" s="2977">
        <v>0.15</v>
      </c>
      <c r="F310" s="2977">
        <v>0.15</v>
      </c>
      <c r="G310" s="2978">
        <v>0.15</v>
      </c>
    </row>
    <row r="311" spans="1:7">
      <c r="A311" s="2987" t="s">
        <v>306</v>
      </c>
      <c r="B311" s="2976" t="s">
        <v>2996</v>
      </c>
      <c r="C311" s="2977">
        <v>0.13200000000000001</v>
      </c>
      <c r="D311" s="2977">
        <v>0.13300000000000001</v>
      </c>
      <c r="E311" s="2977">
        <v>0.14499999999999999</v>
      </c>
      <c r="F311" s="2977">
        <v>0.14199999999999999</v>
      </c>
      <c r="G311" s="2978">
        <v>0.14000000000000001</v>
      </c>
    </row>
    <row r="312" spans="1:7">
      <c r="A312" s="2987" t="s">
        <v>306</v>
      </c>
      <c r="B312" s="2976" t="s">
        <v>3001</v>
      </c>
      <c r="C312" s="2977">
        <v>0.13800000000000001</v>
      </c>
      <c r="D312" s="2977">
        <v>0.14000000000000001</v>
      </c>
      <c r="E312" s="2977">
        <v>0.14599999999999999</v>
      </c>
      <c r="F312" s="2977">
        <v>0.14899999999999999</v>
      </c>
      <c r="G312" s="2978">
        <v>0.14199999999999999</v>
      </c>
    </row>
    <row r="313" spans="1:7">
      <c r="A313" s="2987" t="s">
        <v>306</v>
      </c>
      <c r="B313" s="2976" t="s">
        <v>3006</v>
      </c>
      <c r="C313" s="2977">
        <v>0.125</v>
      </c>
      <c r="D313" s="2977">
        <v>0.127</v>
      </c>
      <c r="E313" s="2977">
        <v>0.14399999999999999</v>
      </c>
      <c r="F313" s="2977">
        <v>0.115</v>
      </c>
      <c r="G313" s="2978">
        <v>0.13600000000000001</v>
      </c>
    </row>
    <row r="314" spans="1:7">
      <c r="A314" s="2987" t="s">
        <v>306</v>
      </c>
      <c r="B314" s="2976" t="s">
        <v>3215</v>
      </c>
      <c r="C314" s="2993"/>
      <c r="D314" s="2993"/>
      <c r="E314" s="2993"/>
      <c r="F314" s="2977">
        <v>0.05</v>
      </c>
      <c r="G314" s="2994"/>
    </row>
    <row r="315" spans="1:7">
      <c r="A315" s="2987" t="s">
        <v>306</v>
      </c>
      <c r="B315" s="2976" t="s">
        <v>3216</v>
      </c>
      <c r="C315" s="2993"/>
      <c r="D315" s="2993"/>
      <c r="E315" s="2993"/>
      <c r="F315" s="2977">
        <v>0.05</v>
      </c>
      <c r="G315" s="2994"/>
    </row>
    <row r="316" spans="1:7">
      <c r="A316" s="2987" t="s">
        <v>306</v>
      </c>
      <c r="B316" s="2976" t="s">
        <v>3217</v>
      </c>
      <c r="C316" s="2988"/>
      <c r="D316" s="2988"/>
      <c r="E316" s="2988"/>
      <c r="F316" s="2977">
        <v>0.05</v>
      </c>
      <c r="G316" s="2994"/>
    </row>
    <row r="317" spans="1:7">
      <c r="A317" s="2987" t="s">
        <v>306</v>
      </c>
      <c r="B317" s="2976" t="s">
        <v>3218</v>
      </c>
      <c r="C317" s="2988"/>
      <c r="D317" s="2988"/>
      <c r="E317" s="2988"/>
      <c r="F317" s="2977">
        <v>0.05</v>
      </c>
      <c r="G317" s="2994"/>
    </row>
    <row r="318" spans="1:7">
      <c r="A318" s="2987" t="s">
        <v>306</v>
      </c>
      <c r="B318" s="2976" t="s">
        <v>3219</v>
      </c>
      <c r="C318" s="2988"/>
      <c r="D318" s="2988"/>
      <c r="E318" s="2988"/>
      <c r="F318" s="2977">
        <v>0.05</v>
      </c>
      <c r="G318" s="2994"/>
    </row>
    <row r="319" spans="1:7">
      <c r="A319" s="2987" t="s">
        <v>306</v>
      </c>
      <c r="B319" s="2976" t="s">
        <v>3220</v>
      </c>
      <c r="C319" s="2988"/>
      <c r="D319" s="2988"/>
      <c r="E319" s="2988"/>
      <c r="F319" s="2977">
        <v>0.05</v>
      </c>
      <c r="G319" s="2994"/>
    </row>
    <row r="320" spans="1:7">
      <c r="A320" s="2987" t="s">
        <v>306</v>
      </c>
      <c r="B320" s="2976" t="s">
        <v>3221</v>
      </c>
      <c r="C320" s="2988"/>
      <c r="D320" s="2988"/>
      <c r="E320" s="2988"/>
      <c r="F320" s="2977">
        <v>0.05</v>
      </c>
      <c r="G320" s="2994"/>
    </row>
    <row r="321" spans="1:7">
      <c r="A321" s="2987" t="s">
        <v>306</v>
      </c>
      <c r="B321" s="2976" t="s">
        <v>3222</v>
      </c>
      <c r="C321" s="2988"/>
      <c r="D321" s="2988"/>
      <c r="E321" s="2988"/>
      <c r="F321" s="2977">
        <v>0.05</v>
      </c>
      <c r="G321" s="2994"/>
    </row>
    <row r="322" spans="1:7">
      <c r="A322" s="2987" t="s">
        <v>306</v>
      </c>
      <c r="B322" s="2976" t="s">
        <v>3223</v>
      </c>
      <c r="C322" s="2988"/>
      <c r="D322" s="2988"/>
      <c r="E322" s="2988"/>
      <c r="F322" s="2977">
        <v>0.05</v>
      </c>
      <c r="G322" s="2994"/>
    </row>
    <row r="323" spans="1:7">
      <c r="A323" s="2987" t="s">
        <v>306</v>
      </c>
      <c r="B323" s="2976" t="s">
        <v>3224</v>
      </c>
      <c r="C323" s="2988"/>
      <c r="D323" s="2988"/>
      <c r="E323" s="2988"/>
      <c r="F323" s="2977">
        <v>0.05</v>
      </c>
      <c r="G323" s="2994"/>
    </row>
    <row r="324" spans="1:7">
      <c r="A324" s="2987" t="s">
        <v>306</v>
      </c>
      <c r="B324" s="2976" t="s">
        <v>3225</v>
      </c>
      <c r="C324" s="2988"/>
      <c r="D324" s="2988"/>
      <c r="E324" s="2988"/>
      <c r="F324" s="2977">
        <v>0.05</v>
      </c>
      <c r="G324" s="2994"/>
    </row>
    <row r="325" spans="1:7">
      <c r="A325" s="2987" t="s">
        <v>306</v>
      </c>
      <c r="B325" s="2976" t="s">
        <v>3226</v>
      </c>
      <c r="C325" s="2988"/>
      <c r="D325" s="2988"/>
      <c r="E325" s="2988"/>
      <c r="F325" s="2977">
        <v>0.05</v>
      </c>
      <c r="G325" s="2994"/>
    </row>
    <row r="326" spans="1:7" ht="14.25" thickBot="1">
      <c r="A326" s="2990" t="s">
        <v>306</v>
      </c>
      <c r="B326" s="2980" t="s">
        <v>3227</v>
      </c>
      <c r="C326" s="2982"/>
      <c r="D326" s="2982"/>
      <c r="E326" s="2982"/>
      <c r="F326" s="2981">
        <v>0.05</v>
      </c>
      <c r="G326" s="2995"/>
    </row>
    <row r="327" spans="1:7">
      <c r="A327" s="2986" t="s">
        <v>307</v>
      </c>
      <c r="B327" s="2972" t="s">
        <v>2859</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2871</v>
      </c>
      <c r="C329" s="2977">
        <v>0.15</v>
      </c>
      <c r="D329" s="2977">
        <v>0.15</v>
      </c>
      <c r="E329" s="2977">
        <v>0.15</v>
      </c>
      <c r="F329" s="2977">
        <v>0.15</v>
      </c>
      <c r="G329" s="2978">
        <v>0.15</v>
      </c>
    </row>
    <row r="330" spans="1:7">
      <c r="A330" s="2987" t="s">
        <v>307</v>
      </c>
      <c r="B330" s="2976" t="s">
        <v>2875</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2883</v>
      </c>
      <c r="C332" s="2977">
        <v>0.15</v>
      </c>
      <c r="D332" s="2977">
        <v>0.15</v>
      </c>
      <c r="E332" s="2977">
        <v>0.15</v>
      </c>
      <c r="F332" s="2977">
        <v>0.15</v>
      </c>
      <c r="G332" s="2978">
        <v>0.15</v>
      </c>
    </row>
    <row r="333" spans="1:7">
      <c r="A333" s="2987" t="s">
        <v>307</v>
      </c>
      <c r="B333" s="2976" t="s">
        <v>2887</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2893</v>
      </c>
      <c r="C336" s="2977">
        <v>0.15</v>
      </c>
      <c r="D336" s="2977">
        <v>0.15</v>
      </c>
      <c r="E336" s="2977">
        <v>0.15</v>
      </c>
      <c r="F336" s="2977">
        <v>0.14199999999999999</v>
      </c>
      <c r="G336" s="2978">
        <v>0.15</v>
      </c>
    </row>
    <row r="337" spans="1:7">
      <c r="A337" s="2987" t="s">
        <v>307</v>
      </c>
      <c r="B337" s="2976" t="s">
        <v>2898</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2905</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2910</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2918</v>
      </c>
      <c r="C345" s="2977">
        <v>0.15</v>
      </c>
      <c r="D345" s="2977">
        <v>0.15</v>
      </c>
      <c r="E345" s="2977">
        <v>0.15</v>
      </c>
      <c r="F345" s="2977">
        <v>0.13800000000000001</v>
      </c>
      <c r="G345" s="2978">
        <v>0.15</v>
      </c>
    </row>
    <row r="346" spans="1:7">
      <c r="A346" s="2987" t="s">
        <v>307</v>
      </c>
      <c r="B346" s="2976" t="s">
        <v>2920</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2927</v>
      </c>
      <c r="C348" s="2977">
        <v>0.15</v>
      </c>
      <c r="D348" s="2977">
        <v>0.15</v>
      </c>
      <c r="E348" s="2977">
        <v>0.15</v>
      </c>
      <c r="F348" s="2977">
        <v>0.14399999999999999</v>
      </c>
      <c r="G348" s="2978">
        <v>0.15</v>
      </c>
    </row>
    <row r="349" spans="1:7">
      <c r="A349" s="2987" t="s">
        <v>307</v>
      </c>
      <c r="B349" s="2976" t="s">
        <v>2932</v>
      </c>
      <c r="C349" s="2977">
        <v>0.15</v>
      </c>
      <c r="D349" s="2977">
        <v>0.15</v>
      </c>
      <c r="E349" s="2977">
        <v>0.15</v>
      </c>
      <c r="F349" s="2977">
        <v>0.15</v>
      </c>
      <c r="G349" s="2978">
        <v>0.15</v>
      </c>
    </row>
    <row r="350" spans="1:7">
      <c r="A350" s="2987" t="s">
        <v>307</v>
      </c>
      <c r="B350" s="2976" t="s">
        <v>2935</v>
      </c>
      <c r="C350" s="2977">
        <v>0.15</v>
      </c>
      <c r="D350" s="2977">
        <v>0.15</v>
      </c>
      <c r="E350" s="2977">
        <v>0.15</v>
      </c>
      <c r="F350" s="2977">
        <v>0.14699999999999999</v>
      </c>
      <c r="G350" s="2978">
        <v>0.15</v>
      </c>
    </row>
    <row r="351" spans="1:7">
      <c r="A351" s="2987" t="s">
        <v>307</v>
      </c>
      <c r="B351" s="2976" t="s">
        <v>2940</v>
      </c>
      <c r="C351" s="2977">
        <v>0.15</v>
      </c>
      <c r="D351" s="2977">
        <v>0.15</v>
      </c>
      <c r="E351" s="2977">
        <v>0.15</v>
      </c>
      <c r="F351" s="2977">
        <v>0.13</v>
      </c>
      <c r="G351" s="2978">
        <v>0.15</v>
      </c>
    </row>
    <row r="352" spans="1:7">
      <c r="A352" s="2987" t="s">
        <v>307</v>
      </c>
      <c r="B352" s="2976" t="s">
        <v>2945</v>
      </c>
      <c r="C352" s="2977">
        <v>0.15</v>
      </c>
      <c r="D352" s="2977">
        <v>0.15</v>
      </c>
      <c r="E352" s="2977">
        <v>0.15</v>
      </c>
      <c r="F352" s="2977">
        <v>0.14599999999999999</v>
      </c>
      <c r="G352" s="2978">
        <v>0.15</v>
      </c>
    </row>
    <row r="353" spans="1:7">
      <c r="A353" s="2987" t="s">
        <v>307</v>
      </c>
      <c r="B353" s="2976" t="s">
        <v>2952</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2965</v>
      </c>
      <c r="C355" s="2977">
        <v>0.15</v>
      </c>
      <c r="D355" s="2977">
        <v>0.15</v>
      </c>
      <c r="E355" s="2977">
        <v>0.15</v>
      </c>
      <c r="F355" s="2977">
        <v>0.15</v>
      </c>
      <c r="G355" s="2978">
        <v>0.15</v>
      </c>
    </row>
    <row r="356" spans="1:7">
      <c r="A356" s="2987" t="s">
        <v>307</v>
      </c>
      <c r="B356" s="2976" t="s">
        <v>2972</v>
      </c>
      <c r="C356" s="2977">
        <v>0.15</v>
      </c>
      <c r="D356" s="2977">
        <v>0.15</v>
      </c>
      <c r="E356" s="2977">
        <v>0.15</v>
      </c>
      <c r="F356" s="2977">
        <v>0.15</v>
      </c>
      <c r="G356" s="2978">
        <v>0.15</v>
      </c>
    </row>
    <row r="357" spans="1:7" ht="14.25" thickBot="1">
      <c r="A357" s="2990" t="s">
        <v>307</v>
      </c>
      <c r="B357" s="2980" t="s">
        <v>2977</v>
      </c>
      <c r="C357" s="2981">
        <v>0.126</v>
      </c>
      <c r="D357" s="2981">
        <v>0.127</v>
      </c>
      <c r="E357" s="2981">
        <v>0.14299999999999999</v>
      </c>
      <c r="F357" s="2981">
        <v>0.125</v>
      </c>
      <c r="G357" s="2983">
        <v>0.129</v>
      </c>
    </row>
    <row r="358" spans="1:7">
      <c r="A358" s="2986" t="s">
        <v>2846</v>
      </c>
      <c r="B358" s="2972" t="s">
        <v>2860</v>
      </c>
      <c r="C358" s="2973">
        <v>0.15</v>
      </c>
      <c r="D358" s="2973">
        <v>0.15</v>
      </c>
      <c r="E358" s="2973">
        <v>0.15</v>
      </c>
      <c r="F358" s="2973">
        <v>0.15</v>
      </c>
      <c r="G358" s="2974">
        <v>0.15</v>
      </c>
    </row>
    <row r="359" spans="1:7">
      <c r="A359" s="2987" t="s">
        <v>2846</v>
      </c>
      <c r="B359" s="2976" t="s">
        <v>2866</v>
      </c>
      <c r="C359" s="2977">
        <v>0.1</v>
      </c>
      <c r="D359" s="2977">
        <v>0.1</v>
      </c>
      <c r="E359" s="2977">
        <v>0.1</v>
      </c>
      <c r="F359" s="2977">
        <v>0.1</v>
      </c>
      <c r="G359" s="2978">
        <v>0.1</v>
      </c>
    </row>
    <row r="360" spans="1:7">
      <c r="A360" s="2987" t="s">
        <v>2846</v>
      </c>
      <c r="B360" s="2976" t="s">
        <v>2872</v>
      </c>
      <c r="C360" s="2977">
        <v>0.15</v>
      </c>
      <c r="D360" s="2977">
        <v>0.15</v>
      </c>
      <c r="E360" s="2977">
        <v>0.15</v>
      </c>
      <c r="F360" s="2977">
        <v>0.14899999999999999</v>
      </c>
      <c r="G360" s="2978">
        <v>0.15</v>
      </c>
    </row>
    <row r="361" spans="1:7">
      <c r="A361" s="2987" t="s">
        <v>2846</v>
      </c>
      <c r="B361" s="2976" t="s">
        <v>153</v>
      </c>
      <c r="C361" s="2977">
        <v>0.15</v>
      </c>
      <c r="D361" s="2977">
        <v>0.15</v>
      </c>
      <c r="E361" s="2977">
        <v>0.15</v>
      </c>
      <c r="F361" s="2977">
        <v>0.115</v>
      </c>
      <c r="G361" s="2978">
        <v>0.15</v>
      </c>
    </row>
    <row r="362" spans="1:7">
      <c r="A362" s="2987" t="s">
        <v>2846</v>
      </c>
      <c r="B362" s="2976" t="s">
        <v>2879</v>
      </c>
      <c r="C362" s="2977">
        <v>0.15</v>
      </c>
      <c r="D362" s="2977">
        <v>0.15</v>
      </c>
      <c r="E362" s="2977">
        <v>0.15</v>
      </c>
      <c r="F362" s="2977">
        <v>0.106</v>
      </c>
      <c r="G362" s="2978">
        <v>0.15</v>
      </c>
    </row>
    <row r="363" spans="1:7">
      <c r="A363" s="2987" t="s">
        <v>2846</v>
      </c>
      <c r="B363" s="2976" t="s">
        <v>2884</v>
      </c>
      <c r="C363" s="2977">
        <v>0.15</v>
      </c>
      <c r="D363" s="2977">
        <v>0.15</v>
      </c>
      <c r="E363" s="2977">
        <v>0.15</v>
      </c>
      <c r="F363" s="2977">
        <v>0.14699999999999999</v>
      </c>
      <c r="G363" s="2978">
        <v>0.15</v>
      </c>
    </row>
    <row r="364" spans="1:7">
      <c r="A364" s="2987" t="s">
        <v>2846</v>
      </c>
      <c r="B364" s="2976" t="s">
        <v>2888</v>
      </c>
      <c r="C364" s="2977">
        <v>0.15</v>
      </c>
      <c r="D364" s="2977">
        <v>0.15</v>
      </c>
      <c r="E364" s="2977">
        <v>0.15</v>
      </c>
      <c r="F364" s="2977">
        <v>0.14799999999999999</v>
      </c>
      <c r="G364" s="2978">
        <v>0.15</v>
      </c>
    </row>
    <row r="365" spans="1:7">
      <c r="A365" s="2987" t="s">
        <v>2846</v>
      </c>
      <c r="B365" s="2976" t="s">
        <v>200</v>
      </c>
      <c r="C365" s="2977">
        <v>0.15</v>
      </c>
      <c r="D365" s="2977">
        <v>0.15</v>
      </c>
      <c r="E365" s="2977">
        <v>0.15</v>
      </c>
      <c r="F365" s="2977">
        <v>0.15</v>
      </c>
      <c r="G365" s="2978">
        <v>0.15</v>
      </c>
    </row>
    <row r="366" spans="1:7">
      <c r="A366" s="2987" t="s">
        <v>2846</v>
      </c>
      <c r="B366" s="2976" t="s">
        <v>2891</v>
      </c>
      <c r="C366" s="2977">
        <v>0.15</v>
      </c>
      <c r="D366" s="2977">
        <v>0.15</v>
      </c>
      <c r="E366" s="2977">
        <v>0.15</v>
      </c>
      <c r="F366" s="2977">
        <v>0.15</v>
      </c>
      <c r="G366" s="2978">
        <v>0.15</v>
      </c>
    </row>
    <row r="367" spans="1:7">
      <c r="A367" s="2987" t="s">
        <v>2846</v>
      </c>
      <c r="B367" s="2976" t="s">
        <v>2894</v>
      </c>
      <c r="C367" s="2977">
        <v>0.15</v>
      </c>
      <c r="D367" s="2977">
        <v>0.15</v>
      </c>
      <c r="E367" s="2977">
        <v>0.15</v>
      </c>
      <c r="F367" s="2977">
        <v>0.14699999999999999</v>
      </c>
      <c r="G367" s="2978">
        <v>0.15</v>
      </c>
    </row>
    <row r="368" spans="1:7">
      <c r="A368" s="2987" t="s">
        <v>2846</v>
      </c>
      <c r="B368" s="2976" t="s">
        <v>2899</v>
      </c>
      <c r="C368" s="2977">
        <v>0.15</v>
      </c>
      <c r="D368" s="2977">
        <v>0.15</v>
      </c>
      <c r="E368" s="2977">
        <v>0.15</v>
      </c>
      <c r="F368" s="2977">
        <v>0.13600000000000001</v>
      </c>
      <c r="G368" s="2978">
        <v>0.15</v>
      </c>
    </row>
    <row r="369" spans="1:7">
      <c r="A369" s="2987" t="s">
        <v>2846</v>
      </c>
      <c r="B369" s="2976" t="s">
        <v>214</v>
      </c>
      <c r="C369" s="2977">
        <v>0.15</v>
      </c>
      <c r="D369" s="2977">
        <v>0.15</v>
      </c>
      <c r="E369" s="2977">
        <v>0.15</v>
      </c>
      <c r="F369" s="2977">
        <v>0.14399999999999999</v>
      </c>
      <c r="G369" s="2978">
        <v>0.15</v>
      </c>
    </row>
    <row r="370" spans="1:7">
      <c r="A370" s="2987" t="s">
        <v>2846</v>
      </c>
      <c r="B370" s="2976" t="s">
        <v>221</v>
      </c>
      <c r="C370" s="2977">
        <v>0.15</v>
      </c>
      <c r="D370" s="2977">
        <v>0.15</v>
      </c>
      <c r="E370" s="2977">
        <v>0.15</v>
      </c>
      <c r="F370" s="2977">
        <v>0.14599999999999999</v>
      </c>
      <c r="G370" s="2978">
        <v>0.15</v>
      </c>
    </row>
    <row r="371" spans="1:7">
      <c r="A371" s="2987" t="s">
        <v>2846</v>
      </c>
      <c r="B371" s="2976" t="s">
        <v>229</v>
      </c>
      <c r="C371" s="2977">
        <v>0.15</v>
      </c>
      <c r="D371" s="2977">
        <v>0.15</v>
      </c>
      <c r="E371" s="2977">
        <v>0.15</v>
      </c>
      <c r="F371" s="2977">
        <v>0.12</v>
      </c>
      <c r="G371" s="2978">
        <v>0.15</v>
      </c>
    </row>
    <row r="372" spans="1:7">
      <c r="A372" s="2987" t="s">
        <v>2846</v>
      </c>
      <c r="B372" s="2976" t="s">
        <v>2907</v>
      </c>
      <c r="C372" s="2977">
        <v>0.15</v>
      </c>
      <c r="D372" s="2977">
        <v>0.15</v>
      </c>
      <c r="E372" s="2977">
        <v>0.15</v>
      </c>
      <c r="F372" s="2977">
        <v>0.14299999999999999</v>
      </c>
      <c r="G372" s="2978">
        <v>0.15</v>
      </c>
    </row>
    <row r="373" spans="1:7">
      <c r="A373" s="2987" t="s">
        <v>2846</v>
      </c>
      <c r="B373" s="2976" t="s">
        <v>258</v>
      </c>
      <c r="C373" s="2977">
        <v>0.15</v>
      </c>
      <c r="D373" s="2977">
        <v>0.15</v>
      </c>
      <c r="E373" s="2977">
        <v>0.15</v>
      </c>
      <c r="F373" s="2977">
        <v>0.14599999999999999</v>
      </c>
      <c r="G373" s="2978">
        <v>0.15</v>
      </c>
    </row>
    <row r="374" spans="1:7">
      <c r="A374" s="2987" t="s">
        <v>2846</v>
      </c>
      <c r="B374" s="2976" t="s">
        <v>266</v>
      </c>
      <c r="C374" s="2977">
        <v>0.15</v>
      </c>
      <c r="D374" s="2977">
        <v>0.15</v>
      </c>
      <c r="E374" s="2977">
        <v>0.15</v>
      </c>
      <c r="F374" s="2977">
        <v>0.14399999999999999</v>
      </c>
      <c r="G374" s="2978">
        <v>0.15</v>
      </c>
    </row>
    <row r="375" spans="1:7">
      <c r="A375" s="2987" t="s">
        <v>2846</v>
      </c>
      <c r="B375" s="2976" t="s">
        <v>2915</v>
      </c>
      <c r="C375" s="2977">
        <v>0.15</v>
      </c>
      <c r="D375" s="2977">
        <v>0.15</v>
      </c>
      <c r="E375" s="2977">
        <v>0.15</v>
      </c>
      <c r="F375" s="2977">
        <v>0.13</v>
      </c>
      <c r="G375" s="2978">
        <v>0.15</v>
      </c>
    </row>
    <row r="376" spans="1:7">
      <c r="A376" s="2987" t="s">
        <v>2846</v>
      </c>
      <c r="B376" s="2976" t="s">
        <v>277</v>
      </c>
      <c r="C376" s="2977">
        <v>0.15</v>
      </c>
      <c r="D376" s="2977">
        <v>0.15</v>
      </c>
      <c r="E376" s="2977">
        <v>0.15</v>
      </c>
      <c r="F376" s="2977">
        <v>0.14199999999999999</v>
      </c>
      <c r="G376" s="2978">
        <v>0.15</v>
      </c>
    </row>
    <row r="377" spans="1:7" ht="14.25" thickBot="1">
      <c r="A377" s="2990" t="s">
        <v>2846</v>
      </c>
      <c r="B377" s="2980" t="s">
        <v>2921</v>
      </c>
      <c r="C377" s="2981">
        <v>0.15</v>
      </c>
      <c r="D377" s="2981">
        <v>0.15</v>
      </c>
      <c r="E377" s="2981">
        <v>0.15</v>
      </c>
      <c r="F377" s="2981">
        <v>0.14000000000000001</v>
      </c>
      <c r="G377" s="2983">
        <v>0.15</v>
      </c>
    </row>
    <row r="378" spans="1:7">
      <c r="A378" s="2986" t="s">
        <v>2847</v>
      </c>
      <c r="B378" s="2972" t="s">
        <v>2861</v>
      </c>
      <c r="C378" s="2973">
        <v>0.15</v>
      </c>
      <c r="D378" s="2973">
        <v>0.15</v>
      </c>
      <c r="E378" s="2973">
        <v>0.15</v>
      </c>
      <c r="F378" s="2973">
        <v>0.107</v>
      </c>
      <c r="G378" s="2974">
        <v>0.15</v>
      </c>
    </row>
    <row r="379" spans="1:7">
      <c r="A379" s="2987" t="s">
        <v>2847</v>
      </c>
      <c r="B379" s="2976" t="s">
        <v>2867</v>
      </c>
      <c r="C379" s="2977">
        <v>0.15</v>
      </c>
      <c r="D379" s="2977">
        <v>0.15</v>
      </c>
      <c r="E379" s="2977">
        <v>0.15</v>
      </c>
      <c r="F379" s="2977">
        <v>0.115</v>
      </c>
      <c r="G379" s="2978">
        <v>0.14899999999999999</v>
      </c>
    </row>
    <row r="380" spans="1:7">
      <c r="A380" s="2987" t="s">
        <v>2847</v>
      </c>
      <c r="B380" s="2976" t="s">
        <v>2873</v>
      </c>
      <c r="C380" s="2977">
        <v>0.15</v>
      </c>
      <c r="D380" s="2977">
        <v>0.15</v>
      </c>
      <c r="E380" s="2977">
        <v>0.15</v>
      </c>
      <c r="F380" s="2977">
        <v>0.1</v>
      </c>
      <c r="G380" s="2978">
        <v>0.14799999999999999</v>
      </c>
    </row>
    <row r="381" spans="1:7">
      <c r="A381" s="2987" t="s">
        <v>2847</v>
      </c>
      <c r="B381" s="2976" t="s">
        <v>2876</v>
      </c>
      <c r="C381" s="2977">
        <v>0.15</v>
      </c>
      <c r="D381" s="2977">
        <v>0.15</v>
      </c>
      <c r="E381" s="2977">
        <v>0.15</v>
      </c>
      <c r="F381" s="2977">
        <v>0.126</v>
      </c>
      <c r="G381" s="2978">
        <v>0.15</v>
      </c>
    </row>
    <row r="382" spans="1:7">
      <c r="A382" s="2987" t="s">
        <v>2847</v>
      </c>
      <c r="B382" s="2976" t="s">
        <v>2880</v>
      </c>
      <c r="C382" s="2977">
        <v>0.15</v>
      </c>
      <c r="D382" s="2977">
        <v>0.15</v>
      </c>
      <c r="E382" s="2977">
        <v>0.15</v>
      </c>
      <c r="F382" s="2977">
        <v>0.15</v>
      </c>
      <c r="G382" s="2978">
        <v>0.15</v>
      </c>
    </row>
    <row r="383" spans="1:7">
      <c r="A383" s="2987" t="s">
        <v>2847</v>
      </c>
      <c r="B383" s="2976" t="s">
        <v>2885</v>
      </c>
      <c r="C383" s="2977">
        <v>0.15</v>
      </c>
      <c r="D383" s="2977">
        <v>0.15</v>
      </c>
      <c r="E383" s="2977">
        <v>0.15</v>
      </c>
      <c r="F383" s="2977">
        <v>0.14699999999999999</v>
      </c>
      <c r="G383" s="2978">
        <v>0.15</v>
      </c>
    </row>
    <row r="384" spans="1:7" ht="14.25" thickBot="1">
      <c r="A384" s="2997" t="s">
        <v>2847</v>
      </c>
      <c r="B384" s="2998" t="s">
        <v>2889</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2" t="s">
        <v>3228</v>
      </c>
      <c r="B1" s="3492"/>
      <c r="C1" s="3492"/>
      <c r="D1" s="3492"/>
      <c r="E1" s="3492"/>
      <c r="F1" s="3493"/>
    </row>
    <row r="2" spans="1:6">
      <c r="A2" s="3001" t="s">
        <v>3229</v>
      </c>
    </row>
    <row r="3" spans="1:6">
      <c r="A3" s="3001" t="s">
        <v>3230</v>
      </c>
      <c r="F3" s="3002" t="s">
        <v>3231</v>
      </c>
    </row>
    <row r="4" spans="1:6">
      <c r="A4" s="3003" t="s">
        <v>672</v>
      </c>
      <c r="B4" s="3003" t="s">
        <v>673</v>
      </c>
      <c r="C4" s="3003" t="s">
        <v>21</v>
      </c>
      <c r="D4" s="3003" t="s">
        <v>674</v>
      </c>
      <c r="E4" s="3003" t="s">
        <v>3</v>
      </c>
      <c r="F4" s="3003" t="s">
        <v>3232</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6">
        <f>基准地价修正!G23</f>
        <v>45065</v>
      </c>
      <c r="B1" s="2928" t="s">
        <v>2834</v>
      </c>
      <c r="C1" s="2929"/>
      <c r="D1" s="2929"/>
      <c r="E1" s="2929"/>
      <c r="F1" s="2929"/>
      <c r="G1" s="2929"/>
      <c r="H1" s="2929"/>
      <c r="I1" s="2929"/>
      <c r="J1" s="2895"/>
      <c r="K1" s="2929" t="s">
        <v>454</v>
      </c>
      <c r="L1" s="2929"/>
      <c r="M1" s="2929"/>
      <c r="N1" s="2929"/>
      <c r="O1" s="2929"/>
      <c r="P1" s="2929"/>
      <c r="Q1" s="2895"/>
      <c r="R1" s="3494" t="s">
        <v>456</v>
      </c>
      <c r="S1" s="3495"/>
      <c r="T1" s="3495"/>
      <c r="U1" s="3495"/>
      <c r="V1" s="3495"/>
      <c r="W1" s="3495"/>
      <c r="X1" s="2895"/>
      <c r="Y1" s="3494" t="s">
        <v>457</v>
      </c>
      <c r="Z1" s="3495"/>
      <c r="AA1" s="3495"/>
      <c r="AB1" s="3495"/>
      <c r="AC1" s="3495"/>
      <c r="AD1" s="3495"/>
    </row>
    <row r="2" spans="1:30" s="2008" customFormat="1" ht="14.25" thickBot="1">
      <c r="B2" s="2880"/>
      <c r="C2" s="2881"/>
      <c r="D2" s="2009" t="s">
        <v>2804</v>
      </c>
      <c r="E2" s="2010" t="s">
        <v>2805</v>
      </c>
      <c r="F2" s="2010" t="s">
        <v>2806</v>
      </c>
      <c r="G2" s="2010" t="s">
        <v>2807</v>
      </c>
      <c r="H2" s="2010" t="s">
        <v>2808</v>
      </c>
      <c r="I2" s="2010" t="s">
        <v>2625</v>
      </c>
      <c r="J2" s="2882"/>
      <c r="K2" s="2009" t="s">
        <v>2804</v>
      </c>
      <c r="L2" s="2010" t="s">
        <v>2805</v>
      </c>
      <c r="M2" s="2010" t="s">
        <v>2806</v>
      </c>
      <c r="N2" s="2010" t="s">
        <v>2807</v>
      </c>
      <c r="O2" s="2010" t="s">
        <v>2809</v>
      </c>
      <c r="P2" s="2010" t="s">
        <v>2625</v>
      </c>
      <c r="Q2" s="2882"/>
      <c r="R2" s="2009" t="s">
        <v>2804</v>
      </c>
      <c r="S2" s="2010" t="s">
        <v>2805</v>
      </c>
      <c r="T2" s="2010" t="s">
        <v>2806</v>
      </c>
      <c r="U2" s="2010" t="s">
        <v>2810</v>
      </c>
      <c r="V2" s="2010" t="s">
        <v>2811</v>
      </c>
      <c r="W2" s="2010" t="s">
        <v>2625</v>
      </c>
      <c r="X2" s="2882"/>
      <c r="Y2" s="2009" t="s">
        <v>2804</v>
      </c>
      <c r="Z2" s="2010" t="s">
        <v>2805</v>
      </c>
      <c r="AA2" s="2010" t="s">
        <v>2806</v>
      </c>
      <c r="AB2" s="2010" t="s">
        <v>2812</v>
      </c>
      <c r="AC2" s="2010" t="s">
        <v>2811</v>
      </c>
      <c r="AD2" s="2010" t="s">
        <v>2625</v>
      </c>
    </row>
    <row r="3" spans="1:30" s="2885" customFormat="1" ht="12.75">
      <c r="A3" s="2883" t="s">
        <v>2813</v>
      </c>
      <c r="B3" s="2884"/>
      <c r="D3" s="2885">
        <f>ROUND(AVERAGEIF(D4:D16,"&lt;&gt;0"),2)</f>
        <v>0.82</v>
      </c>
      <c r="E3" s="2885">
        <f>ROUND(AVERAGEIF(E4:E16,"&lt;&gt;0"),2)</f>
        <v>0.38</v>
      </c>
      <c r="F3" s="2885">
        <f>ROUND(AVERAGEIF(F4:F16,"&lt;&gt;0"),2)</f>
        <v>0.2</v>
      </c>
      <c r="G3" s="2885">
        <f>ROUND(AVERAGEIF(G4:G16,"&lt;&gt;0"),2)</f>
        <v>0.89</v>
      </c>
      <c r="H3" s="2885">
        <f>ROUND(AVERAGEIF(H4:H16,"&lt;&gt;0"),2)</f>
        <v>0.64</v>
      </c>
      <c r="I3" s="2885">
        <f>F3</f>
        <v>0.2</v>
      </c>
      <c r="J3" s="2886"/>
      <c r="K3" s="2887">
        <f>ROUND(AVERAGEIF(K4:K16,"&lt;&gt;0"),4)</f>
        <v>8.2000000000000007E-3</v>
      </c>
      <c r="L3" s="2888">
        <f>ROUND(AVERAGEIF(L4:L16,"&lt;&gt;0"),4)</f>
        <v>3.8E-3</v>
      </c>
      <c r="M3" s="2888">
        <f>ROUND(AVERAGEIF(M4:M16,"&lt;&gt;0"),4)</f>
        <v>2E-3</v>
      </c>
      <c r="N3" s="2888">
        <f>ROUND(AVERAGEIF(N4:N16,"&lt;&gt;0"),4)</f>
        <v>8.8999999999999999E-3</v>
      </c>
      <c r="O3" s="2888">
        <f>ROUND(AVERAGEIF(O4:O16,"&lt;&gt;0"),4)</f>
        <v>6.4000000000000003E-3</v>
      </c>
      <c r="P3" s="2888">
        <f>M3</f>
        <v>2E-3</v>
      </c>
      <c r="Q3" s="2886"/>
      <c r="R3" s="2889">
        <f>ROUND(SUMPRODUCT(PRODUCT(1+K4:K16)),4)</f>
        <v>1.0763</v>
      </c>
      <c r="S3" s="2890">
        <f>ROUND(SUMPRODUCT(PRODUCT(1+L4:L16)),4)</f>
        <v>1.0343</v>
      </c>
      <c r="T3" s="2890">
        <f>ROUND(SUMPRODUCT(PRODUCT(1+M4:M16)),4)</f>
        <v>1.0177</v>
      </c>
      <c r="U3" s="2890">
        <f>ROUND(SUMPRODUCT(PRODUCT(1+N4:N16)),4)</f>
        <v>1.0833999999999999</v>
      </c>
      <c r="V3" s="2890">
        <f>ROUND(SUMPRODUCT(PRODUCT(1+O4:O16)),4)</f>
        <v>1.0592999999999999</v>
      </c>
      <c r="W3" s="2889">
        <f>T3</f>
        <v>1.0177</v>
      </c>
      <c r="X3" s="2886"/>
      <c r="Y3" s="2891">
        <f>ROUND(AVERAGEIF(Y5:Y16,"&lt;&gt;0"),4)</f>
        <v>8.6999999999999994E-3</v>
      </c>
      <c r="Z3" s="2892">
        <f>ROUND(AVERAGEIF(Z5:Z16,"&lt;&gt;0"),4)</f>
        <v>3.5000000000000001E-3</v>
      </c>
      <c r="AA3" s="2893">
        <f>ROUND(AVERAGEIF(AA5:AA16,"&lt;&gt;0"),4)</f>
        <v>8.9999999999999998E-4</v>
      </c>
      <c r="AB3" s="2891">
        <f>ROUND(AVERAGEIF(AB5:AB16,"&lt;&gt;0"),4)</f>
        <v>9.4999999999999998E-3</v>
      </c>
      <c r="AC3" s="2894">
        <f>ROUND(AVERAGEIF(AC5:AC16,"&lt;&gt;0"),4)</f>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904" t="s">
        <v>3365</v>
      </c>
      <c r="B5" s="2029">
        <v>2023</v>
      </c>
      <c r="C5" s="2040">
        <v>4</v>
      </c>
      <c r="D5" s="2005">
        <v>0</v>
      </c>
      <c r="E5" s="2005">
        <v>0</v>
      </c>
      <c r="F5" s="2005">
        <v>0</v>
      </c>
      <c r="G5" s="2005">
        <v>0</v>
      </c>
      <c r="H5" s="2005">
        <v>0</v>
      </c>
      <c r="I5" s="2006">
        <f t="shared" ref="I5:I16" si="0">F5</f>
        <v>0</v>
      </c>
      <c r="J5" s="2905"/>
      <c r="K5" s="2041">
        <f t="shared" ref="K5:O16" si="1">D5/100</f>
        <v>0</v>
      </c>
      <c r="L5" s="2026">
        <f t="shared" si="1"/>
        <v>0</v>
      </c>
      <c r="M5" s="2026">
        <f t="shared" si="1"/>
        <v>0</v>
      </c>
      <c r="N5" s="2026">
        <f t="shared" si="1"/>
        <v>0</v>
      </c>
      <c r="O5" s="2026">
        <f t="shared" si="1"/>
        <v>0</v>
      </c>
      <c r="P5" s="2026">
        <f>M5</f>
        <v>0</v>
      </c>
      <c r="Q5" s="2905"/>
      <c r="R5" s="2025">
        <f>ROUND(IF(项目基本情况!$B$8="出让",SUMPRODUCT(PRODUCT(1+K5:$K$16)),SUMPRODUCT(PRODUCT(1+K5:$K$15))),4)</f>
        <v>1.0659000000000001</v>
      </c>
      <c r="S5" s="2025">
        <f>ROUND(IF(项目基本情况!$B$8="出让",SUMPRODUCT(PRODUCT(1+L5:$L$16)),SUMPRODUCT(PRODUCT(1+L5:$L$15))),4)</f>
        <v>1.0326</v>
      </c>
      <c r="T5" s="2025">
        <f>ROUND(IF(项目基本情况!$B$8="出让",SUMPRODUCT(PRODUCT(1+M5:$M$16)),SUMPRODUCT(PRODUCT(1+M5:$M$15))),4)</f>
        <v>1.0203</v>
      </c>
      <c r="U5" s="2025">
        <f>ROUND(IF(项目基本情况!$B$8="出让",SUMPRODUCT(PRODUCT(1+N5:$N$16)),SUMPRODUCT(PRODUCT(1+N5:$N$15))),4)</f>
        <v>1.0714999999999999</v>
      </c>
      <c r="V5" s="2025">
        <f>ROUND(IF(项目基本情况!$B$8="出让",SUMPRODUCT(PRODUCT(1+O5:$O$16)),SUMPRODUCT(PRODUCT(1+O5:$O$15))),4)</f>
        <v>1.0555000000000001</v>
      </c>
      <c r="W5" s="2025">
        <f>T5</f>
        <v>1.0203</v>
      </c>
      <c r="X5" s="2905"/>
      <c r="Y5" s="2026">
        <f>IF(D5=0,0,ROUND(AVERAGE(D5:D16)/100,4))</f>
        <v>0</v>
      </c>
      <c r="Z5" s="2026">
        <f>IF(E5=0,0,ROUND(AVERAGE(E5:E16)/100,4))</f>
        <v>0</v>
      </c>
      <c r="AA5" s="2026">
        <f>IF(F5=0,0,ROUND(AVERAGE(F5:F16)/100,4))</f>
        <v>0</v>
      </c>
      <c r="AB5" s="2026">
        <f>IF(G5=0,0,ROUND(AVERAGE(G5:G16)/100,4))</f>
        <v>0</v>
      </c>
      <c r="AC5" s="2026">
        <f>IF(H5=0,0,ROUND(AVERAGE(H5:H16)/100,4))</f>
        <v>0</v>
      </c>
      <c r="AD5" s="2026">
        <f t="shared" ref="AD5:AD15" si="2">AA5</f>
        <v>0</v>
      </c>
    </row>
    <row r="6" spans="1:30" s="2043" customFormat="1" ht="12.75">
      <c r="A6" s="2904" t="s">
        <v>3366</v>
      </c>
      <c r="B6" s="2029">
        <v>2023</v>
      </c>
      <c r="C6" s="2040">
        <v>3</v>
      </c>
      <c r="D6" s="2005">
        <v>0</v>
      </c>
      <c r="E6" s="2005">
        <v>0</v>
      </c>
      <c r="F6" s="2005">
        <v>0</v>
      </c>
      <c r="G6" s="2005">
        <v>0</v>
      </c>
      <c r="H6" s="2005">
        <v>0</v>
      </c>
      <c r="I6" s="2006">
        <f t="shared" si="0"/>
        <v>0</v>
      </c>
      <c r="J6" s="2905"/>
      <c r="K6" s="2041">
        <f t="shared" ref="K6:O8" si="3">D6/100</f>
        <v>0</v>
      </c>
      <c r="L6" s="2026">
        <f t="shared" si="3"/>
        <v>0</v>
      </c>
      <c r="M6" s="2026">
        <f t="shared" si="3"/>
        <v>0</v>
      </c>
      <c r="N6" s="2026">
        <f t="shared" si="3"/>
        <v>0</v>
      </c>
      <c r="O6" s="2026">
        <f t="shared" si="3"/>
        <v>0</v>
      </c>
      <c r="P6" s="2026">
        <f>M6</f>
        <v>0</v>
      </c>
      <c r="Q6" s="2905"/>
      <c r="R6" s="2025">
        <f>ROUND(IF(项目基本情况!$B$8="出让",SUMPRODUCT(PRODUCT(1+K6:$K$16)),SUMPRODUCT(PRODUCT(1+K6:$K$15))),4)</f>
        <v>1.0659000000000001</v>
      </c>
      <c r="S6" s="2025">
        <f>ROUND(IF(项目基本情况!$B$8="出让",SUMPRODUCT(PRODUCT(1+L6:$L$16)),SUMPRODUCT(PRODUCT(1+L6:$L$15))),4)</f>
        <v>1.0326</v>
      </c>
      <c r="T6" s="2025">
        <f>ROUND(IF(项目基本情况!$B$8="出让",SUMPRODUCT(PRODUCT(1+M6:$M$16)),SUMPRODUCT(PRODUCT(1+M6:$M$15))),4)</f>
        <v>1.0203</v>
      </c>
      <c r="U6" s="2025">
        <f>ROUND(IF(项目基本情况!$B$8="出让",SUMPRODUCT(PRODUCT(1+N6:$N$16)),SUMPRODUCT(PRODUCT(1+N6:$N$15))),4)</f>
        <v>1.0714999999999999</v>
      </c>
      <c r="V6" s="2025">
        <f>ROUND(IF(项目基本情况!$B$8="出让",SUMPRODUCT(PRODUCT(1+O6:$O$16)),SUMPRODUCT(PRODUCT(1+O6:$O$15))),4)</f>
        <v>1.0555000000000001</v>
      </c>
      <c r="W6" s="2025">
        <f>T6</f>
        <v>1.0203</v>
      </c>
      <c r="X6" s="2905"/>
      <c r="Y6" s="2026"/>
      <c r="Z6" s="2026"/>
      <c r="AA6" s="2026"/>
      <c r="AB6" s="2026"/>
      <c r="AC6" s="2026"/>
      <c r="AD6" s="2026"/>
    </row>
    <row r="7" spans="1:30" s="2043" customFormat="1" ht="12.75">
      <c r="A7" s="2904" t="s">
        <v>3364</v>
      </c>
      <c r="B7" s="2029">
        <v>2023</v>
      </c>
      <c r="C7" s="2040">
        <v>2</v>
      </c>
      <c r="D7" s="2005">
        <v>0</v>
      </c>
      <c r="E7" s="2005">
        <v>0</v>
      </c>
      <c r="F7" s="2005">
        <v>0</v>
      </c>
      <c r="G7" s="2005">
        <v>0</v>
      </c>
      <c r="H7" s="2005">
        <v>0</v>
      </c>
      <c r="I7" s="2006">
        <f t="shared" si="0"/>
        <v>0</v>
      </c>
      <c r="J7" s="2905"/>
      <c r="K7" s="2041">
        <f t="shared" si="3"/>
        <v>0</v>
      </c>
      <c r="L7" s="2026">
        <f t="shared" si="3"/>
        <v>0</v>
      </c>
      <c r="M7" s="2026">
        <f t="shared" si="3"/>
        <v>0</v>
      </c>
      <c r="N7" s="2026">
        <f t="shared" si="3"/>
        <v>0</v>
      </c>
      <c r="O7" s="2026">
        <f t="shared" si="3"/>
        <v>0</v>
      </c>
      <c r="P7" s="2026">
        <f>M7</f>
        <v>0</v>
      </c>
      <c r="Q7" s="2905"/>
      <c r="R7" s="2025">
        <f>ROUND(IF(项目基本情况!$B$8="出让",SUMPRODUCT(PRODUCT(1+K7:$K$16)),SUMPRODUCT(PRODUCT(1+K7:$K$15))),4)</f>
        <v>1.0659000000000001</v>
      </c>
      <c r="S7" s="2025">
        <f>ROUND(IF(项目基本情况!$B$8="出让",SUMPRODUCT(PRODUCT(1+L7:$L$16)),SUMPRODUCT(PRODUCT(1+L7:$L$15))),4)</f>
        <v>1.0326</v>
      </c>
      <c r="T7" s="2025">
        <f>ROUND(IF(项目基本情况!$B$8="出让",SUMPRODUCT(PRODUCT(1+M7:$M$16)),SUMPRODUCT(PRODUCT(1+M7:$M$15))),4)</f>
        <v>1.0203</v>
      </c>
      <c r="U7" s="2025">
        <f>ROUND(IF(项目基本情况!$B$8="出让",SUMPRODUCT(PRODUCT(1+N7:$N$16)),SUMPRODUCT(PRODUCT(1+N7:$N$15))),4)</f>
        <v>1.0714999999999999</v>
      </c>
      <c r="V7" s="2025">
        <f>ROUND(IF(项目基本情况!$B$8="出让",SUMPRODUCT(PRODUCT(1+O7:$O$16)),SUMPRODUCT(PRODUCT(1+O7:$O$15))),4)</f>
        <v>1.0555000000000001</v>
      </c>
      <c r="W7" s="2025">
        <f>T7</f>
        <v>1.0203</v>
      </c>
      <c r="X7" s="2905"/>
      <c r="Y7" s="2026"/>
      <c r="Z7" s="2026"/>
      <c r="AA7" s="2026"/>
      <c r="AB7" s="2026"/>
      <c r="AC7" s="2026"/>
      <c r="AD7" s="2026"/>
    </row>
    <row r="8" spans="1:30" s="2915" customFormat="1" ht="12.75">
      <c r="A8" s="2906" t="s">
        <v>3367</v>
      </c>
      <c r="B8" s="2907">
        <v>2023</v>
      </c>
      <c r="C8" s="2908">
        <v>1</v>
      </c>
      <c r="D8" s="2909">
        <v>0.89</v>
      </c>
      <c r="E8" s="2909">
        <v>0.74</v>
      </c>
      <c r="F8" s="2909">
        <v>0.56999999999999995</v>
      </c>
      <c r="G8" s="2909">
        <v>0.92</v>
      </c>
      <c r="H8" s="2910">
        <v>0.5</v>
      </c>
      <c r="I8" s="2911">
        <f t="shared" si="0"/>
        <v>0.56999999999999995</v>
      </c>
      <c r="J8" s="2912"/>
      <c r="K8" s="2913">
        <f t="shared" si="3"/>
        <v>8.8999999999999999E-3</v>
      </c>
      <c r="L8" s="2914">
        <f t="shared" si="3"/>
        <v>7.4000000000000003E-3</v>
      </c>
      <c r="M8" s="2914">
        <f t="shared" si="3"/>
        <v>5.6999999999999993E-3</v>
      </c>
      <c r="N8" s="2914">
        <f t="shared" si="3"/>
        <v>9.1999999999999998E-3</v>
      </c>
      <c r="O8" s="2914">
        <f t="shared" si="3"/>
        <v>5.0000000000000001E-3</v>
      </c>
      <c r="P8" s="2914">
        <f>M8</f>
        <v>5.6999999999999993E-3</v>
      </c>
      <c r="Q8" s="2912"/>
      <c r="R8" s="2912">
        <f>ROUND(IF(项目基本情况!$B$8="出让",SUMPRODUCT(PRODUCT(1+K8:$K$16)),SUMPRODUCT(PRODUCT(1+K8:$K$15))),4)</f>
        <v>1.0659000000000001</v>
      </c>
      <c r="S8" s="2912">
        <f>ROUND(IF(项目基本情况!$B$8="出让",SUMPRODUCT(PRODUCT(1+L8:$L$16)),SUMPRODUCT(PRODUCT(1+L8:$L$15))),4)</f>
        <v>1.0326</v>
      </c>
      <c r="T8" s="2912">
        <f>ROUND(IF(项目基本情况!$B$8="出让",SUMPRODUCT(PRODUCT(1+M8:$M$16)),SUMPRODUCT(PRODUCT(1+M8:$M$15))),4)</f>
        <v>1.0203</v>
      </c>
      <c r="U8" s="2912">
        <f>ROUND(IF(项目基本情况!$B$8="出让",SUMPRODUCT(PRODUCT(1+N8:$N$16)),SUMPRODUCT(PRODUCT(1+N8:$N$15))),4)</f>
        <v>1.0714999999999999</v>
      </c>
      <c r="V8" s="2912">
        <f>ROUND(IF(项目基本情况!$B$8="出让",SUMPRODUCT(PRODUCT(1+O8:$O$16)),SUMPRODUCT(PRODUCT(1+O8:$O$15))),4)</f>
        <v>1.0555000000000001</v>
      </c>
      <c r="W8" s="2912">
        <f>T8</f>
        <v>1.0203</v>
      </c>
      <c r="X8" s="2912"/>
      <c r="Y8" s="2914"/>
      <c r="Z8" s="2914"/>
      <c r="AA8" s="2914"/>
      <c r="AB8" s="2914"/>
      <c r="AC8" s="2914"/>
      <c r="AD8" s="2914"/>
    </row>
    <row r="9" spans="1:30" s="2043" customFormat="1" ht="12.75">
      <c r="A9" s="2904" t="s">
        <v>3368</v>
      </c>
      <c r="B9" s="2029">
        <v>2022</v>
      </c>
      <c r="C9" s="2040">
        <v>4</v>
      </c>
      <c r="D9" s="2005">
        <v>0.62</v>
      </c>
      <c r="E9" s="2005">
        <v>0.2</v>
      </c>
      <c r="F9" s="2005">
        <v>0.11</v>
      </c>
      <c r="G9" s="2005">
        <v>0.69</v>
      </c>
      <c r="H9" s="2916">
        <v>0.53</v>
      </c>
      <c r="I9" s="2006">
        <f t="shared" si="0"/>
        <v>0.11</v>
      </c>
      <c r="J9" s="2905"/>
      <c r="K9" s="2041">
        <f t="shared" si="1"/>
        <v>6.1999999999999998E-3</v>
      </c>
      <c r="L9" s="2026">
        <f t="shared" si="1"/>
        <v>2E-3</v>
      </c>
      <c r="M9" s="2026">
        <f t="shared" si="1"/>
        <v>1.1000000000000001E-3</v>
      </c>
      <c r="N9" s="2026">
        <f t="shared" si="1"/>
        <v>6.8999999999999999E-3</v>
      </c>
      <c r="O9" s="2026">
        <f t="shared" si="1"/>
        <v>5.3E-3</v>
      </c>
      <c r="P9" s="2026">
        <f t="shared" ref="P9:P16" si="4">M9</f>
        <v>1.1000000000000001E-3</v>
      </c>
      <c r="Q9" s="2905"/>
      <c r="R9" s="2025">
        <f>ROUND(IF([2]项目基本情况!B8="出让",SUMPRODUCT(PRODUCT(1+K9:K16)),SUMPRODUCT(PRODUCT(1+K9:K15))),4)</f>
        <v>1.0565</v>
      </c>
      <c r="S9" s="2025">
        <f>ROUND(IF([2]项目基本情况!B8="出让",SUMPRODUCT(PRODUCT(1+L9:L16)),SUMPRODUCT(PRODUCT(1+L9:L15))),4)</f>
        <v>1.0250999999999999</v>
      </c>
      <c r="T9" s="2025">
        <f>ROUND(IF([2]项目基本情况!B8="出让",SUMPRODUCT(PRODUCT(1+M9:M16)),SUMPRODUCT(PRODUCT(1+M9:M15))),4)</f>
        <v>1.0145</v>
      </c>
      <c r="U9" s="2025">
        <f>ROUND(IF([2]项目基本情况!B8="出让",SUMPRODUCT(PRODUCT(1+N9:N16)),SUMPRODUCT(PRODUCT(1+N9:N15))),4)</f>
        <v>1.0618000000000001</v>
      </c>
      <c r="V9" s="2025">
        <f>ROUND(IF([2]项目基本情况!B8="出让",SUMPRODUCT(PRODUCT(1+O9:O16)),SUMPRODUCT(PRODUCT(1+O9:O15))),4)</f>
        <v>1.0502</v>
      </c>
      <c r="W9" s="2025">
        <f t="shared" ref="W9:W16" si="5">T9</f>
        <v>1.0145</v>
      </c>
      <c r="X9" s="2905"/>
      <c r="Y9" s="2026">
        <f>IF(D9=0,0,ROUND(AVERAGE(D9:D17)/100,4))</f>
        <v>8.0999999999999996E-3</v>
      </c>
      <c r="Z9" s="2026">
        <f>IF(E9=0,0,ROUND(AVERAGE(E9:E16)/100,4))</f>
        <v>3.3E-3</v>
      </c>
      <c r="AA9" s="2026">
        <f>IF(F9=0,0,ROUND(AVERAGE(F9:F16)/100,4))</f>
        <v>1.5E-3</v>
      </c>
      <c r="AB9" s="2026">
        <f>IF(G9=0,0,ROUND(AVERAGE(G9:G16)/100,4))</f>
        <v>8.8999999999999999E-3</v>
      </c>
      <c r="AC9" s="2026">
        <f>IF(H9=0,0,ROUND(AVERAGE(H9:H16)/100,4))</f>
        <v>6.6E-3</v>
      </c>
      <c r="AD9" s="2026">
        <f t="shared" si="2"/>
        <v>1.5E-3</v>
      </c>
    </row>
    <row r="10" spans="1:30" s="2043" customFormat="1" ht="12.75">
      <c r="A10" s="2904" t="s">
        <v>3360</v>
      </c>
      <c r="B10" s="2029">
        <v>2022</v>
      </c>
      <c r="C10" s="2040">
        <v>3</v>
      </c>
      <c r="D10" s="2005">
        <v>0.66</v>
      </c>
      <c r="E10" s="2005">
        <v>0.32</v>
      </c>
      <c r="F10" s="2005">
        <v>0.23</v>
      </c>
      <c r="G10" s="2005">
        <v>0.72</v>
      </c>
      <c r="H10" s="2916">
        <v>0.63</v>
      </c>
      <c r="I10" s="2006">
        <f t="shared" si="0"/>
        <v>0.23</v>
      </c>
      <c r="J10" s="2905"/>
      <c r="K10" s="2041">
        <f t="shared" si="1"/>
        <v>6.6E-3</v>
      </c>
      <c r="L10" s="2026">
        <f t="shared" si="1"/>
        <v>3.2000000000000002E-3</v>
      </c>
      <c r="M10" s="2026">
        <f t="shared" si="1"/>
        <v>2.3E-3</v>
      </c>
      <c r="N10" s="2026">
        <f t="shared" si="1"/>
        <v>7.1999999999999998E-3</v>
      </c>
      <c r="O10" s="2026">
        <f t="shared" si="1"/>
        <v>6.3E-3</v>
      </c>
      <c r="P10" s="2026">
        <f t="shared" si="4"/>
        <v>2.3E-3</v>
      </c>
      <c r="Q10" s="2905"/>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5"/>
        <v>1.0134000000000001</v>
      </c>
      <c r="X10" s="2905"/>
      <c r="Y10" s="2026">
        <f>IF(D10=0,0,ROUND(AVERAGE(D10:D16)/100,4))</f>
        <v>8.3999999999999995E-3</v>
      </c>
      <c r="Z10" s="2026">
        <f>IF(E10=0,0,ROUND(AVERAGE(E10:E16)/100,4))</f>
        <v>3.5000000000000001E-3</v>
      </c>
      <c r="AA10" s="2026">
        <f>IF(F10=0,0,ROUND(AVERAGE(F10:F16)/100,4))</f>
        <v>1.5E-3</v>
      </c>
      <c r="AB10" s="2026">
        <f>IF(G10=0,0,ROUND(AVERAGE(G10:G16)/100,4))</f>
        <v>9.1999999999999998E-3</v>
      </c>
      <c r="AC10" s="2026">
        <f>IF(H10=0,0,ROUND(AVERAGE(H10:H16)/100,4))</f>
        <v>6.7999999999999996E-3</v>
      </c>
      <c r="AD10" s="2026">
        <f t="shared" si="2"/>
        <v>1.5E-3</v>
      </c>
    </row>
    <row r="11" spans="1:30" s="2043" customFormat="1" ht="12.75">
      <c r="A11" s="2904" t="s">
        <v>3351</v>
      </c>
      <c r="B11" s="2029">
        <v>2022</v>
      </c>
      <c r="C11" s="2040">
        <v>2</v>
      </c>
      <c r="D11" s="2005">
        <v>0.93</v>
      </c>
      <c r="E11" s="2005">
        <v>0.15</v>
      </c>
      <c r="F11" s="2005">
        <v>0.01</v>
      </c>
      <c r="G11" s="2005">
        <v>1.05</v>
      </c>
      <c r="H11" s="2916">
        <v>1.08</v>
      </c>
      <c r="I11" s="2006">
        <f t="shared" si="0"/>
        <v>0.01</v>
      </c>
      <c r="J11" s="2905"/>
      <c r="K11" s="2041">
        <f t="shared" si="1"/>
        <v>9.300000000000001E-3</v>
      </c>
      <c r="L11" s="2026">
        <f t="shared" si="1"/>
        <v>1.5E-3</v>
      </c>
      <c r="M11" s="2026">
        <f t="shared" si="1"/>
        <v>1E-4</v>
      </c>
      <c r="N11" s="2026">
        <f t="shared" si="1"/>
        <v>1.0500000000000001E-2</v>
      </c>
      <c r="O11" s="2026">
        <f t="shared" si="1"/>
        <v>1.0800000000000001E-2</v>
      </c>
      <c r="P11" s="2026">
        <f t="shared" si="4"/>
        <v>1E-4</v>
      </c>
      <c r="Q11" s="2905"/>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5"/>
        <v>1.0109999999999999</v>
      </c>
      <c r="X11" s="2905"/>
      <c r="Y11" s="2026">
        <f>IF(D11=0,0,ROUND(AVERAGE(D11:D16)/100,4))</f>
        <v>8.6999999999999994E-3</v>
      </c>
      <c r="Z11" s="2026">
        <f>IF(E11=0,0,ROUND(AVERAGE(E11:E16)/100,4))</f>
        <v>3.5000000000000001E-3</v>
      </c>
      <c r="AA11" s="2026">
        <f>IF(F11=0,0,ROUND(AVERAGE(F11:F16)/100,4))</f>
        <v>1.4E-3</v>
      </c>
      <c r="AB11" s="2026">
        <f>IF(G11=0,0,ROUND(AVERAGE(G11:G16)/100,4))</f>
        <v>9.4999999999999998E-3</v>
      </c>
      <c r="AC11" s="2026">
        <f>IF(H11=0,0,ROUND(AVERAGE(H11:H16)/100,4))</f>
        <v>6.8999999999999999E-3</v>
      </c>
      <c r="AD11" s="2026">
        <f t="shared" si="2"/>
        <v>1.4E-3</v>
      </c>
    </row>
    <row r="12" spans="1:30" s="2043" customFormat="1" ht="12.75">
      <c r="A12" s="2904" t="s">
        <v>2814</v>
      </c>
      <c r="B12" s="2029">
        <v>2022</v>
      </c>
      <c r="C12" s="2040">
        <v>1</v>
      </c>
      <c r="D12" s="2005">
        <v>0.89</v>
      </c>
      <c r="E12" s="2005">
        <v>0.44</v>
      </c>
      <c r="F12" s="2005">
        <v>0.37</v>
      </c>
      <c r="G12" s="2005">
        <v>0.96</v>
      </c>
      <c r="H12" s="2916">
        <v>0.64</v>
      </c>
      <c r="I12" s="2006">
        <f t="shared" si="0"/>
        <v>0.37</v>
      </c>
      <c r="J12" s="2905"/>
      <c r="K12" s="2041">
        <f t="shared" si="1"/>
        <v>8.8999999999999999E-3</v>
      </c>
      <c r="L12" s="2026">
        <f t="shared" si="1"/>
        <v>4.4000000000000003E-3</v>
      </c>
      <c r="M12" s="2026">
        <f t="shared" si="1"/>
        <v>3.7000000000000002E-3</v>
      </c>
      <c r="N12" s="2026">
        <f t="shared" si="1"/>
        <v>9.5999999999999992E-3</v>
      </c>
      <c r="O12" s="2026">
        <f t="shared" si="1"/>
        <v>6.4000000000000003E-3</v>
      </c>
      <c r="P12" s="2026">
        <f t="shared" si="4"/>
        <v>3.7000000000000002E-3</v>
      </c>
      <c r="Q12" s="2905"/>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5"/>
        <v>1.0108999999999999</v>
      </c>
      <c r="X12" s="2905"/>
      <c r="Y12" s="2026">
        <f>IF(D12=0,0,ROUND(AVERAGE(D12:D16)/100,4))</f>
        <v>8.6E-3</v>
      </c>
      <c r="Z12" s="2026">
        <f>IF(E12=0,0,ROUND(AVERAGE(E12:E16)/100,4))</f>
        <v>3.8999999999999998E-3</v>
      </c>
      <c r="AA12" s="2026">
        <f>IF(F12=0,0,ROUND(AVERAGE(F12:F16)/100,4))</f>
        <v>1.6999999999999999E-3</v>
      </c>
      <c r="AB12" s="2026">
        <f>IF(G12=0,0,ROUND(AVERAGE(G12:G16)/100,4))</f>
        <v>9.2999999999999992E-3</v>
      </c>
      <c r="AC12" s="2026">
        <f>IF(H12=0,0,ROUND(AVERAGE(H12:H16)/100,4))</f>
        <v>6.1000000000000004E-3</v>
      </c>
      <c r="AD12" s="2026">
        <f t="shared" si="2"/>
        <v>1.6999999999999999E-3</v>
      </c>
    </row>
    <row r="13" spans="1:30" s="2043" customFormat="1" ht="12.75">
      <c r="A13" s="2904" t="s">
        <v>2815</v>
      </c>
      <c r="B13" s="2029">
        <v>2021</v>
      </c>
      <c r="C13" s="2040">
        <v>4</v>
      </c>
      <c r="D13" s="2005">
        <v>1.03</v>
      </c>
      <c r="E13" s="2005">
        <v>0.24</v>
      </c>
      <c r="F13" s="2005">
        <v>7.0000000000000007E-2</v>
      </c>
      <c r="G13" s="2005">
        <v>1.17</v>
      </c>
      <c r="H13" s="2916">
        <v>0.55000000000000004</v>
      </c>
      <c r="I13" s="2006">
        <f t="shared" si="0"/>
        <v>7.0000000000000007E-2</v>
      </c>
      <c r="J13" s="2905"/>
      <c r="K13" s="2041">
        <f t="shared" si="1"/>
        <v>1.03E-2</v>
      </c>
      <c r="L13" s="2026">
        <f t="shared" si="1"/>
        <v>2.3999999999999998E-3</v>
      </c>
      <c r="M13" s="2026">
        <f t="shared" si="1"/>
        <v>7.000000000000001E-4</v>
      </c>
      <c r="N13" s="2026">
        <f t="shared" si="1"/>
        <v>1.1699999999999999E-2</v>
      </c>
      <c r="O13" s="2026">
        <f t="shared" si="1"/>
        <v>5.5000000000000005E-3</v>
      </c>
      <c r="P13" s="2026">
        <f t="shared" si="4"/>
        <v>7.000000000000001E-4</v>
      </c>
      <c r="Q13" s="2905"/>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5"/>
        <v>1.0072000000000001</v>
      </c>
      <c r="X13" s="2905"/>
      <c r="Y13" s="2026">
        <f>IF(D13=0,0,ROUND(AVERAGE(D13:D16)/100,4))</f>
        <v>8.5000000000000006E-3</v>
      </c>
      <c r="Z13" s="2026">
        <f>IF(E13=0,0,ROUND(AVERAGE(E13:E16)/100,4))</f>
        <v>3.8E-3</v>
      </c>
      <c r="AA13" s="2026">
        <f>IF(F13=0,0,ROUND(AVERAGE(F13:F16)/100,4))</f>
        <v>1.1999999999999999E-3</v>
      </c>
      <c r="AB13" s="2026">
        <f>IF(G13=0,0,ROUND(AVERAGE(G13:G16)/100,4))</f>
        <v>9.2999999999999992E-3</v>
      </c>
      <c r="AC13" s="2026">
        <f>IF(H13=0,0,ROUND(AVERAGE(H13:H16)/100,4))</f>
        <v>6.0000000000000001E-3</v>
      </c>
      <c r="AD13" s="2026">
        <f t="shared" si="2"/>
        <v>1.1999999999999999E-3</v>
      </c>
    </row>
    <row r="14" spans="1:30" s="2043" customFormat="1" ht="12.75">
      <c r="A14" s="2904" t="s">
        <v>2816</v>
      </c>
      <c r="B14" s="2029">
        <v>2021</v>
      </c>
      <c r="C14" s="2040">
        <v>3</v>
      </c>
      <c r="D14" s="2005">
        <v>0.47</v>
      </c>
      <c r="E14" s="2005">
        <v>0.41</v>
      </c>
      <c r="F14" s="2005">
        <v>0.24</v>
      </c>
      <c r="G14" s="2005">
        <v>0.48</v>
      </c>
      <c r="H14" s="2916">
        <v>0.48</v>
      </c>
      <c r="I14" s="2006">
        <f t="shared" si="0"/>
        <v>0.24</v>
      </c>
      <c r="J14" s="2905"/>
      <c r="K14" s="2041">
        <f t="shared" si="1"/>
        <v>4.6999999999999993E-3</v>
      </c>
      <c r="L14" s="2026">
        <f t="shared" si="1"/>
        <v>4.0999999999999995E-3</v>
      </c>
      <c r="M14" s="2026">
        <f t="shared" si="1"/>
        <v>2.3999999999999998E-3</v>
      </c>
      <c r="N14" s="2026">
        <f t="shared" si="1"/>
        <v>4.7999999999999996E-3</v>
      </c>
      <c r="O14" s="2026">
        <f t="shared" si="1"/>
        <v>4.7999999999999996E-3</v>
      </c>
      <c r="P14" s="2026">
        <f t="shared" si="4"/>
        <v>2.3999999999999998E-3</v>
      </c>
      <c r="Q14" s="2905"/>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5"/>
        <v>1.0065</v>
      </c>
      <c r="X14" s="2905"/>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2"/>
        <v>1.2999999999999999E-3</v>
      </c>
    </row>
    <row r="15" spans="1:30" s="2043" customFormat="1" ht="12.75">
      <c r="A15" s="2904" t="s">
        <v>2817</v>
      </c>
      <c r="B15" s="2029">
        <v>2021</v>
      </c>
      <c r="C15" s="2040">
        <v>2</v>
      </c>
      <c r="D15" s="2005">
        <v>0.92</v>
      </c>
      <c r="E15" s="2005">
        <v>0.72</v>
      </c>
      <c r="F15" s="2005">
        <v>0.41</v>
      </c>
      <c r="G15" s="2005">
        <v>0.95</v>
      </c>
      <c r="H15" s="2916">
        <v>1.01</v>
      </c>
      <c r="I15" s="2006">
        <f t="shared" si="0"/>
        <v>0.41</v>
      </c>
      <c r="J15" s="2905"/>
      <c r="K15" s="2041">
        <f t="shared" si="1"/>
        <v>9.1999999999999998E-3</v>
      </c>
      <c r="L15" s="2026">
        <f t="shared" si="1"/>
        <v>7.1999999999999998E-3</v>
      </c>
      <c r="M15" s="2026">
        <f t="shared" si="1"/>
        <v>4.0999999999999995E-3</v>
      </c>
      <c r="N15" s="2026">
        <f t="shared" si="1"/>
        <v>9.4999999999999998E-3</v>
      </c>
      <c r="O15" s="2026">
        <f t="shared" si="1"/>
        <v>1.01E-2</v>
      </c>
      <c r="P15" s="2026">
        <f t="shared" si="4"/>
        <v>4.0999999999999995E-3</v>
      </c>
      <c r="Q15" s="2905"/>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5"/>
        <v>1.0041</v>
      </c>
      <c r="X15" s="2905"/>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2"/>
        <v>8.0000000000000004E-4</v>
      </c>
    </row>
    <row r="16" spans="1:30" s="2927" customFormat="1" thickBot="1">
      <c r="A16" s="2917" t="s">
        <v>2818</v>
      </c>
      <c r="B16" s="2918">
        <v>2021</v>
      </c>
      <c r="C16" s="2919">
        <v>1</v>
      </c>
      <c r="D16" s="2920">
        <v>0.97</v>
      </c>
      <c r="E16" s="2920">
        <v>0.16</v>
      </c>
      <c r="F16" s="2920">
        <v>-0.25</v>
      </c>
      <c r="G16" s="2920">
        <v>1.1100000000000001</v>
      </c>
      <c r="H16" s="2921">
        <v>0.36</v>
      </c>
      <c r="I16" s="2922">
        <f t="shared" si="0"/>
        <v>-0.25</v>
      </c>
      <c r="J16" s="2923"/>
      <c r="K16" s="2924">
        <f t="shared" si="1"/>
        <v>9.7000000000000003E-3</v>
      </c>
      <c r="L16" s="2925">
        <f t="shared" si="1"/>
        <v>1.6000000000000001E-3</v>
      </c>
      <c r="M16" s="2925">
        <f>F16/100</f>
        <v>-2.5000000000000001E-3</v>
      </c>
      <c r="N16" s="2925">
        <f t="shared" si="1"/>
        <v>1.11E-2</v>
      </c>
      <c r="O16" s="2925">
        <f t="shared" si="1"/>
        <v>3.5999999999999999E-3</v>
      </c>
      <c r="P16" s="2925">
        <f t="shared" si="4"/>
        <v>-2.5000000000000001E-3</v>
      </c>
      <c r="Q16" s="2923"/>
      <c r="R16" s="2926">
        <v>1</v>
      </c>
      <c r="S16" s="2926">
        <v>1</v>
      </c>
      <c r="T16" s="2926">
        <v>1</v>
      </c>
      <c r="U16" s="2926">
        <v>1</v>
      </c>
      <c r="V16" s="2926">
        <v>1</v>
      </c>
      <c r="W16" s="2926">
        <f t="shared" si="5"/>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3362</v>
      </c>
    </row>
    <row r="19" spans="1:30">
      <c r="I19" s="1403" t="s">
        <v>2819</v>
      </c>
    </row>
    <row r="21" spans="1:30" s="2007" customFormat="1" ht="12.75">
      <c r="B21" s="2928" t="s">
        <v>2820</v>
      </c>
      <c r="C21" s="2929"/>
      <c r="D21" s="2929"/>
      <c r="E21" s="2929"/>
      <c r="F21" s="2929"/>
      <c r="G21" s="2929"/>
      <c r="H21" s="2929"/>
      <c r="I21" s="2929"/>
      <c r="J21" s="2895"/>
      <c r="K21" s="2929" t="s">
        <v>2821</v>
      </c>
      <c r="L21" s="2929"/>
      <c r="M21" s="2929"/>
      <c r="N21" s="2929"/>
      <c r="O21" s="2929"/>
      <c r="P21" s="2929"/>
      <c r="Q21" s="2895"/>
      <c r="R21" s="3494" t="s">
        <v>2822</v>
      </c>
      <c r="S21" s="3495"/>
      <c r="T21" s="3495"/>
      <c r="U21" s="3495"/>
      <c r="V21" s="3495"/>
      <c r="W21" s="3495"/>
      <c r="X21" s="2895"/>
      <c r="Y21" s="3494" t="s">
        <v>2823</v>
      </c>
      <c r="Z21" s="3495"/>
      <c r="AA21" s="3495"/>
      <c r="AB21" s="3495"/>
      <c r="AC21" s="3495"/>
      <c r="AD21" s="3495"/>
    </row>
    <row r="22" spans="1:30" s="2008" customFormat="1" ht="14.25" thickBot="1">
      <c r="B22" s="2880"/>
      <c r="C22" s="2881"/>
      <c r="D22" s="2009" t="s">
        <v>2824</v>
      </c>
      <c r="E22" s="2010" t="s">
        <v>2825</v>
      </c>
      <c r="F22" s="2010" t="s">
        <v>2826</v>
      </c>
      <c r="G22" s="2010" t="s">
        <v>2827</v>
      </c>
      <c r="H22" s="2010"/>
      <c r="I22" s="2010" t="s">
        <v>2828</v>
      </c>
      <c r="J22" s="2882"/>
      <c r="K22" s="2009" t="s">
        <v>2824</v>
      </c>
      <c r="L22" s="2010" t="s">
        <v>2825</v>
      </c>
      <c r="M22" s="2010" t="s">
        <v>2826</v>
      </c>
      <c r="N22" s="2010" t="s">
        <v>2827</v>
      </c>
      <c r="O22" s="2010"/>
      <c r="P22" s="2010" t="s">
        <v>2828</v>
      </c>
      <c r="Q22" s="2882"/>
      <c r="R22" s="2009" t="s">
        <v>2824</v>
      </c>
      <c r="S22" s="2010" t="s">
        <v>2825</v>
      </c>
      <c r="T22" s="2010" t="s">
        <v>2826</v>
      </c>
      <c r="U22" s="2010" t="s">
        <v>2827</v>
      </c>
      <c r="V22" s="2010"/>
      <c r="W22" s="2010" t="s">
        <v>2828</v>
      </c>
      <c r="X22" s="2882"/>
      <c r="Y22" s="2009" t="s">
        <v>2824</v>
      </c>
      <c r="Z22" s="2010" t="s">
        <v>2825</v>
      </c>
      <c r="AA22" s="2010" t="s">
        <v>2826</v>
      </c>
      <c r="AB22" s="2010" t="s">
        <v>2827</v>
      </c>
      <c r="AC22" s="2010"/>
      <c r="AD22" s="2010" t="s">
        <v>2828</v>
      </c>
    </row>
    <row r="23" spans="1:30" s="2885" customFormat="1" ht="12.75">
      <c r="A23" s="2883" t="s">
        <v>2829</v>
      </c>
      <c r="B23" s="2884"/>
      <c r="E23" s="2885">
        <f>ROUND(AVERAGEIF(E24:E36,"&lt;&gt;0"),2)</f>
        <v>0.42</v>
      </c>
      <c r="F23" s="2885">
        <f>ROUND(AVERAGEIF(F24:F36,"&lt;&gt;0"),2)</f>
        <v>0.3</v>
      </c>
      <c r="G23" s="2885">
        <f>ROUND(AVERAGEIF(G24:G36,"&lt;&gt;0"),2)</f>
        <v>0.73</v>
      </c>
      <c r="I23" s="2885">
        <f>F23</f>
        <v>0.3</v>
      </c>
      <c r="J23" s="2886"/>
      <c r="K23" s="2887"/>
      <c r="L23" s="2888">
        <f>ROUND(AVERAGEIF(L24:L36,"&lt;&gt;0"),4)</f>
        <v>4.1999999999999997E-3</v>
      </c>
      <c r="M23" s="2888">
        <f>ROUND(AVERAGEIF(M24:M36,"&lt;&gt;0"),4)</f>
        <v>3.0000000000000001E-3</v>
      </c>
      <c r="N23" s="2888">
        <f>ROUND(AVERAGEIF(N24:N36,"&lt;&gt;0"),4)</f>
        <v>7.3000000000000001E-3</v>
      </c>
      <c r="O23" s="2888"/>
      <c r="P23" s="2888">
        <f>M23</f>
        <v>3.0000000000000001E-3</v>
      </c>
      <c r="Q23" s="2886"/>
      <c r="R23" s="2889"/>
      <c r="S23" s="2890">
        <f>ROUND(SUMPRODUCT(PRODUCT(1+L24:L36)),4)</f>
        <v>1.038</v>
      </c>
      <c r="T23" s="2890">
        <f>ROUND(SUMPRODUCT(PRODUCT(1+M24:M36)),4)</f>
        <v>1.0273000000000001</v>
      </c>
      <c r="U23" s="2890">
        <f>ROUND(SUMPRODUCT(PRODUCT(1+N24:N36)),4)</f>
        <v>1.0677000000000001</v>
      </c>
      <c r="V23" s="2890"/>
      <c r="W23" s="2889">
        <f>T23</f>
        <v>1.0273000000000001</v>
      </c>
      <c r="X23" s="2886"/>
      <c r="Y23" s="2891"/>
      <c r="Z23" s="2892">
        <f>ROUND(AVERAGEIF(Z24:Z36,"&lt;&gt;0"),4)</f>
        <v>4.3E-3</v>
      </c>
      <c r="AA23" s="2893">
        <f>ROUND(AVERAGEIF(AA24:AA36,"&lt;&gt;0"),4)</f>
        <v>3.5999999999999999E-3</v>
      </c>
      <c r="AB23" s="2891">
        <f>ROUND(AVERAGEIF(AB24:AB36,"&lt;&gt;0"),4)</f>
        <v>8.8999999999999999E-3</v>
      </c>
      <c r="AC23" s="2894"/>
      <c r="AD23" s="2891">
        <f>AA23</f>
        <v>3.5999999999999999E-3</v>
      </c>
    </row>
    <row r="24" spans="1:30" s="2007" customFormat="1" ht="12.75">
      <c r="B24" s="2023"/>
      <c r="J24" s="2895"/>
      <c r="K24" s="2896"/>
      <c r="L24" s="2897"/>
      <c r="M24" s="2897"/>
      <c r="N24" s="2897"/>
      <c r="O24" s="2897"/>
      <c r="P24" s="2897"/>
      <c r="Q24" s="2895"/>
      <c r="R24" s="2025"/>
      <c r="S24" s="2898"/>
      <c r="T24" s="2899"/>
      <c r="U24" s="2025"/>
      <c r="V24" s="2900"/>
      <c r="W24" s="2025"/>
      <c r="X24" s="2895"/>
      <c r="Y24" s="2026"/>
      <c r="Z24" s="2901"/>
      <c r="AA24" s="2902"/>
      <c r="AB24" s="2026"/>
      <c r="AC24" s="2903"/>
      <c r="AD24" s="2026"/>
    </row>
    <row r="25" spans="1:30" s="2043" customFormat="1" ht="12.75">
      <c r="A25" s="2904" t="s">
        <v>3365</v>
      </c>
      <c r="B25" s="2029">
        <v>2023</v>
      </c>
      <c r="C25" s="2040">
        <v>4</v>
      </c>
      <c r="D25" s="2005"/>
      <c r="E25" s="2005">
        <v>0</v>
      </c>
      <c r="F25" s="2005">
        <v>0</v>
      </c>
      <c r="G25" s="2005">
        <v>0</v>
      </c>
      <c r="H25" s="2005"/>
      <c r="I25" s="2006">
        <f t="shared" ref="I25:I36" si="6">F25</f>
        <v>0</v>
      </c>
      <c r="J25" s="2905"/>
      <c r="K25" s="2041"/>
      <c r="L25" s="2026">
        <f t="shared" ref="L25:N36" si="7">E25/100</f>
        <v>0</v>
      </c>
      <c r="M25" s="2026">
        <f t="shared" si="7"/>
        <v>0</v>
      </c>
      <c r="N25" s="2026">
        <f t="shared" si="7"/>
        <v>0</v>
      </c>
      <c r="O25" s="2026"/>
      <c r="P25" s="2026">
        <f>M25</f>
        <v>0</v>
      </c>
      <c r="Q25" s="2905"/>
      <c r="R25" s="2025"/>
      <c r="S25" s="2025">
        <f>ROUND(IF([2]项目基本情况!$B$8="出让",SUMPRODUCT(PRODUCT(1+L25:L$36)),SUMPRODUCT(PRODUCT(1+L25:L$35))),4)</f>
        <v>1.0344</v>
      </c>
      <c r="T25" s="2025">
        <f>ROUND(IF([2]项目基本情况!$B$8="出让",SUMPRODUCT(PRODUCT(1+M25:M$36)),SUMPRODUCT(PRODUCT(1+M25:M$35))),4)</f>
        <v>1.0224</v>
      </c>
      <c r="U25" s="2025">
        <f>ROUND(IF([2]项目基本情况!$B$8="出让",SUMPRODUCT(PRODUCT(1+N25:N$36)),SUMPRODUCT(PRODUCT(1+N25:N$35))),4)</f>
        <v>1.0573999999999999</v>
      </c>
      <c r="V25" s="2025"/>
      <c r="W25" s="2025">
        <f>T25</f>
        <v>1.0224</v>
      </c>
      <c r="X25" s="2905"/>
      <c r="Y25" s="2026"/>
      <c r="Z25" s="2901">
        <f>IF(E25=0,0,ROUND(AVERAGE(E25:E36)/100,4))</f>
        <v>0</v>
      </c>
      <c r="AA25" s="2901">
        <f>IF(F25=0,0,ROUND(AVERAGE(F25:F36)/100,4))</f>
        <v>0</v>
      </c>
      <c r="AB25" s="2901">
        <f>IF(G25=0,0,ROUND(AVERAGE(G25:G36)/100,4))</f>
        <v>0</v>
      </c>
      <c r="AC25" s="2903"/>
      <c r="AD25" s="2026">
        <f>IF(I25=0,0,ROUND(AVERAGE(I25:I36)/100,4))</f>
        <v>0</v>
      </c>
    </row>
    <row r="26" spans="1:30" s="2043" customFormat="1" ht="12.75">
      <c r="A26" s="2904" t="s">
        <v>3366</v>
      </c>
      <c r="B26" s="2029">
        <v>2023</v>
      </c>
      <c r="C26" s="2040">
        <v>3</v>
      </c>
      <c r="D26" s="2005"/>
      <c r="E26" s="2005">
        <v>0</v>
      </c>
      <c r="F26" s="2005">
        <v>0</v>
      </c>
      <c r="G26" s="2005">
        <v>0</v>
      </c>
      <c r="H26" s="2916"/>
      <c r="I26" s="2006">
        <f t="shared" si="6"/>
        <v>0</v>
      </c>
      <c r="J26" s="2905"/>
      <c r="K26" s="2041"/>
      <c r="L26" s="2026">
        <f t="shared" ref="L26:N28" si="8">E26/100</f>
        <v>0</v>
      </c>
      <c r="M26" s="2026">
        <f t="shared" si="8"/>
        <v>0</v>
      </c>
      <c r="N26" s="2026">
        <f t="shared" si="8"/>
        <v>0</v>
      </c>
      <c r="O26" s="2026"/>
      <c r="P26" s="2026">
        <f>M26</f>
        <v>0</v>
      </c>
      <c r="Q26" s="2905"/>
      <c r="R26" s="2025"/>
      <c r="S26" s="2025">
        <f>ROUND(IF([2]项目基本情况!$B$8="出让",SUMPRODUCT(PRODUCT(1+L26:L$36)),SUMPRODUCT(PRODUCT(1+L26:L$35))),4)</f>
        <v>1.0344</v>
      </c>
      <c r="T26" s="2025">
        <f>ROUND(IF([2]项目基本情况!$B$8="出让",SUMPRODUCT(PRODUCT(1+M26:M$36)),SUMPRODUCT(PRODUCT(1+M26:M$35))),4)</f>
        <v>1.0224</v>
      </c>
      <c r="U26" s="2025">
        <f>ROUND(IF([2]项目基本情况!$B$8="出让",SUMPRODUCT(PRODUCT(1+N26:N$36)),SUMPRODUCT(PRODUCT(1+N26:N$35))),4)</f>
        <v>1.0573999999999999</v>
      </c>
      <c r="V26" s="2025"/>
      <c r="W26" s="2025">
        <f>T26</f>
        <v>1.0224</v>
      </c>
      <c r="X26" s="2905"/>
      <c r="Y26" s="2026"/>
      <c r="Z26" s="2901"/>
      <c r="AA26" s="2026"/>
      <c r="AB26" s="2026"/>
      <c r="AC26" s="2903"/>
      <c r="AD26" s="2026"/>
    </row>
    <row r="27" spans="1:30" s="2043" customFormat="1" ht="12.75">
      <c r="A27" s="2904" t="s">
        <v>3364</v>
      </c>
      <c r="B27" s="2029">
        <v>2023</v>
      </c>
      <c r="C27" s="2040">
        <v>2</v>
      </c>
      <c r="D27" s="2005"/>
      <c r="E27" s="2005">
        <v>0</v>
      </c>
      <c r="F27" s="2005">
        <v>0</v>
      </c>
      <c r="G27" s="2005">
        <v>0</v>
      </c>
      <c r="H27" s="2916"/>
      <c r="I27" s="2006">
        <f t="shared" si="6"/>
        <v>0</v>
      </c>
      <c r="J27" s="2905"/>
      <c r="K27" s="2041"/>
      <c r="L27" s="2026">
        <f t="shared" si="8"/>
        <v>0</v>
      </c>
      <c r="M27" s="2026">
        <f t="shared" si="8"/>
        <v>0</v>
      </c>
      <c r="N27" s="2026">
        <f t="shared" si="8"/>
        <v>0</v>
      </c>
      <c r="O27" s="2026"/>
      <c r="P27" s="2026">
        <f>M27</f>
        <v>0</v>
      </c>
      <c r="Q27" s="2905"/>
      <c r="R27" s="2025"/>
      <c r="S27" s="2025">
        <f>ROUND(IF([2]项目基本情况!$B$8="出让",SUMPRODUCT(PRODUCT(1+L27:L$36)),SUMPRODUCT(PRODUCT(1+L27:L$35))),4)</f>
        <v>1.0344</v>
      </c>
      <c r="T27" s="2025">
        <f>ROUND(IF([2]项目基本情况!$B$8="出让",SUMPRODUCT(PRODUCT(1+M27:M$36)),SUMPRODUCT(PRODUCT(1+M27:M$35))),4)</f>
        <v>1.0224</v>
      </c>
      <c r="U27" s="2025">
        <f>ROUND(IF([2]项目基本情况!$B$8="出让",SUMPRODUCT(PRODUCT(1+N27:N$36)),SUMPRODUCT(PRODUCT(1+N27:N$35))),4)</f>
        <v>1.0573999999999999</v>
      </c>
      <c r="V27" s="2025"/>
      <c r="W27" s="2025">
        <f>T27</f>
        <v>1.0224</v>
      </c>
      <c r="X27" s="2905"/>
      <c r="Y27" s="2026"/>
      <c r="Z27" s="2901"/>
      <c r="AA27" s="2026"/>
      <c r="AB27" s="2026"/>
      <c r="AC27" s="2903"/>
      <c r="AD27" s="2026"/>
    </row>
    <row r="28" spans="1:30" s="2915" customFormat="1" ht="12.75">
      <c r="A28" s="2906" t="s">
        <v>3367</v>
      </c>
      <c r="B28" s="2907">
        <v>2023</v>
      </c>
      <c r="C28" s="2908">
        <v>1</v>
      </c>
      <c r="D28" s="2909"/>
      <c r="E28" s="2909">
        <v>0.55000000000000004</v>
      </c>
      <c r="F28" s="2909">
        <v>0.59</v>
      </c>
      <c r="G28" s="2909">
        <v>0.64</v>
      </c>
      <c r="H28" s="2910"/>
      <c r="I28" s="2911">
        <f t="shared" si="6"/>
        <v>0.59</v>
      </c>
      <c r="J28" s="2912"/>
      <c r="K28" s="2913"/>
      <c r="L28" s="2914">
        <f t="shared" si="8"/>
        <v>5.5000000000000005E-3</v>
      </c>
      <c r="M28" s="2914">
        <f t="shared" si="8"/>
        <v>5.8999999999999999E-3</v>
      </c>
      <c r="N28" s="2914">
        <f t="shared" si="8"/>
        <v>6.4000000000000003E-3</v>
      </c>
      <c r="O28" s="2914"/>
      <c r="P28" s="2914">
        <f>M28</f>
        <v>5.8999999999999999E-3</v>
      </c>
      <c r="Q28" s="2912"/>
      <c r="R28" s="2912"/>
      <c r="S28" s="2912">
        <f>ROUND(IF([2]项目基本情况!$B$8="出让",SUMPRODUCT(PRODUCT(1+L28:L$36)),SUMPRODUCT(PRODUCT(1+L28:L$35))),4)</f>
        <v>1.0344</v>
      </c>
      <c r="T28" s="2912">
        <f>ROUND(IF([2]项目基本情况!$B$8="出让",SUMPRODUCT(PRODUCT(1+M28:M$36)),SUMPRODUCT(PRODUCT(1+M28:M$35))),4)</f>
        <v>1.0224</v>
      </c>
      <c r="U28" s="2912">
        <f>ROUND(IF([2]项目基本情况!$B$8="出让",SUMPRODUCT(PRODUCT(1+N28:N$36)),SUMPRODUCT(PRODUCT(1+N28:N$35))),4)</f>
        <v>1.0573999999999999</v>
      </c>
      <c r="V28" s="2912"/>
      <c r="W28" s="2912">
        <f>T28</f>
        <v>1.0224</v>
      </c>
      <c r="X28" s="2912"/>
      <c r="Y28" s="2914"/>
      <c r="Z28" s="2930"/>
      <c r="AA28" s="2931"/>
      <c r="AB28" s="2914"/>
      <c r="AC28" s="2932"/>
      <c r="AD28" s="2914"/>
    </row>
    <row r="29" spans="1:30" s="2043" customFormat="1" ht="12.75">
      <c r="A29" s="2904" t="s">
        <v>3368</v>
      </c>
      <c r="B29" s="2029">
        <v>2022</v>
      </c>
      <c r="C29" s="2040">
        <v>4</v>
      </c>
      <c r="D29" s="2005"/>
      <c r="E29" s="2005">
        <v>0.45</v>
      </c>
      <c r="F29" s="2005">
        <v>0.2</v>
      </c>
      <c r="G29" s="2005">
        <v>0.38</v>
      </c>
      <c r="H29" s="2916"/>
      <c r="I29" s="2006">
        <f t="shared" si="6"/>
        <v>0.2</v>
      </c>
      <c r="J29" s="2905"/>
      <c r="K29" s="2041"/>
      <c r="L29" s="2026">
        <f t="shared" si="7"/>
        <v>4.5000000000000005E-3</v>
      </c>
      <c r="M29" s="2026">
        <f t="shared" si="7"/>
        <v>2E-3</v>
      </c>
      <c r="N29" s="2026">
        <f t="shared" si="7"/>
        <v>3.8E-3</v>
      </c>
      <c r="O29" s="2026"/>
      <c r="P29" s="2026">
        <f t="shared" ref="P29:P36" si="9">M29</f>
        <v>2E-3</v>
      </c>
      <c r="Q29" s="2905"/>
      <c r="R29" s="2025"/>
      <c r="S29" s="2025">
        <f>ROUND(IF([2]项目基本情况!$B$8="出让",SUMPRODUCT(PRODUCT(1+L29:L$36)),SUMPRODUCT(PRODUCT(1+L29:L$35))),4)</f>
        <v>1.0286999999999999</v>
      </c>
      <c r="T29" s="2025">
        <f>ROUND(IF([2]项目基本情况!$B$8="出让",SUMPRODUCT(PRODUCT(1+M29:M$36)),SUMPRODUCT(PRODUCT(1+M29:M$35))),4)</f>
        <v>1.0164</v>
      </c>
      <c r="U29" s="2025">
        <f>ROUND(IF([2]项目基本情况!$B$8="出让",SUMPRODUCT(PRODUCT(1+N29:N$36)),SUMPRODUCT(PRODUCT(1+N29:N$35))),4)</f>
        <v>1.0506</v>
      </c>
      <c r="V29" s="2025"/>
      <c r="W29" s="2025">
        <f t="shared" ref="W29:W36" si="10">T29</f>
        <v>1.0164</v>
      </c>
      <c r="X29" s="2905"/>
      <c r="Y29" s="2026"/>
      <c r="Z29" s="2901">
        <f t="shared" ref="Z29:AD36" si="11">IF(E29=0,0,ROUND(AVERAGE(E29:E37)/100,4))</f>
        <v>4.0000000000000001E-3</v>
      </c>
      <c r="AA29" s="2902">
        <f t="shared" si="11"/>
        <v>2.5999999999999999E-3</v>
      </c>
      <c r="AB29" s="2026">
        <f t="shared" si="11"/>
        <v>7.4000000000000003E-3</v>
      </c>
      <c r="AC29" s="2903"/>
      <c r="AD29" s="2026">
        <f t="shared" si="11"/>
        <v>2.5999999999999999E-3</v>
      </c>
    </row>
    <row r="30" spans="1:30" s="2043" customFormat="1" ht="12.75">
      <c r="A30" s="2904" t="s">
        <v>3361</v>
      </c>
      <c r="B30" s="2029">
        <v>2022</v>
      </c>
      <c r="C30" s="2040">
        <v>3</v>
      </c>
      <c r="D30" s="2005"/>
      <c r="E30" s="2005">
        <v>0.3</v>
      </c>
      <c r="F30" s="2005">
        <v>0.28999999999999998</v>
      </c>
      <c r="G30" s="2005">
        <v>0.83</v>
      </c>
      <c r="H30" s="2916"/>
      <c r="I30" s="2006">
        <f t="shared" si="6"/>
        <v>0.28999999999999998</v>
      </c>
      <c r="J30" s="2905"/>
      <c r="K30" s="2041"/>
      <c r="L30" s="2026">
        <f t="shared" si="7"/>
        <v>3.0000000000000001E-3</v>
      </c>
      <c r="M30" s="2026">
        <f t="shared" si="7"/>
        <v>2.8999999999999998E-3</v>
      </c>
      <c r="N30" s="2026">
        <f t="shared" si="7"/>
        <v>8.3000000000000001E-3</v>
      </c>
      <c r="O30" s="2026"/>
      <c r="P30" s="2026">
        <f t="shared" si="9"/>
        <v>2.8999999999999998E-3</v>
      </c>
      <c r="Q30" s="2905"/>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10"/>
        <v>1.0144</v>
      </c>
      <c r="X30" s="2905"/>
      <c r="Y30" s="2026"/>
      <c r="Z30" s="2901">
        <f t="shared" si="11"/>
        <v>3.8999999999999998E-3</v>
      </c>
      <c r="AA30" s="2902">
        <f t="shared" si="11"/>
        <v>2.7000000000000001E-3</v>
      </c>
      <c r="AB30" s="2026">
        <f t="shared" si="11"/>
        <v>7.9000000000000008E-3</v>
      </c>
      <c r="AC30" s="2903"/>
      <c r="AD30" s="2026">
        <f t="shared" si="11"/>
        <v>2.7000000000000001E-3</v>
      </c>
    </row>
    <row r="31" spans="1:30" s="2043" customFormat="1" ht="12.75">
      <c r="A31" s="2904" t="s">
        <v>3351</v>
      </c>
      <c r="B31" s="2029">
        <v>2022</v>
      </c>
      <c r="C31" s="2040">
        <v>2</v>
      </c>
      <c r="D31" s="2005"/>
      <c r="E31" s="2005">
        <v>-0.11</v>
      </c>
      <c r="F31" s="2005">
        <v>-0.13</v>
      </c>
      <c r="G31" s="2005">
        <v>0.53</v>
      </c>
      <c r="H31" s="2916"/>
      <c r="I31" s="2006">
        <f t="shared" si="6"/>
        <v>-0.13</v>
      </c>
      <c r="J31" s="2905"/>
      <c r="K31" s="2041"/>
      <c r="L31" s="2026">
        <f t="shared" si="7"/>
        <v>-1.1000000000000001E-3</v>
      </c>
      <c r="M31" s="2026">
        <f t="shared" si="7"/>
        <v>-1.2999999999999999E-3</v>
      </c>
      <c r="N31" s="2026">
        <f t="shared" si="7"/>
        <v>5.3E-3</v>
      </c>
      <c r="O31" s="2026"/>
      <c r="P31" s="2026">
        <f t="shared" si="9"/>
        <v>-1.2999999999999999E-3</v>
      </c>
      <c r="Q31" s="2905"/>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10"/>
        <v>1.0114000000000001</v>
      </c>
      <c r="X31" s="2905"/>
      <c r="Y31" s="2026"/>
      <c r="Z31" s="2901">
        <f t="shared" si="11"/>
        <v>4.1000000000000003E-3</v>
      </c>
      <c r="AA31" s="2902">
        <f t="shared" si="11"/>
        <v>2.7000000000000001E-3</v>
      </c>
      <c r="AB31" s="2026">
        <f t="shared" si="11"/>
        <v>7.9000000000000008E-3</v>
      </c>
      <c r="AC31" s="2903"/>
      <c r="AD31" s="2026">
        <f t="shared" si="11"/>
        <v>2.7000000000000001E-3</v>
      </c>
    </row>
    <row r="32" spans="1:30" s="2043" customFormat="1" ht="12.75">
      <c r="A32" s="2904" t="s">
        <v>2830</v>
      </c>
      <c r="B32" s="2029">
        <v>2022</v>
      </c>
      <c r="C32" s="2040">
        <v>1</v>
      </c>
      <c r="D32" s="2005"/>
      <c r="E32" s="2005">
        <v>0.6</v>
      </c>
      <c r="F32" s="2005">
        <v>0.45</v>
      </c>
      <c r="G32" s="2005">
        <v>0.53</v>
      </c>
      <c r="H32" s="2916"/>
      <c r="I32" s="2006">
        <f t="shared" si="6"/>
        <v>0.45</v>
      </c>
      <c r="J32" s="2905"/>
      <c r="K32" s="2041"/>
      <c r="L32" s="2026">
        <f t="shared" si="7"/>
        <v>6.0000000000000001E-3</v>
      </c>
      <c r="M32" s="2026">
        <f t="shared" si="7"/>
        <v>4.5000000000000005E-3</v>
      </c>
      <c r="N32" s="2026">
        <f t="shared" si="7"/>
        <v>5.3E-3</v>
      </c>
      <c r="O32" s="2026"/>
      <c r="P32" s="2026">
        <f t="shared" si="9"/>
        <v>4.5000000000000005E-3</v>
      </c>
      <c r="Q32" s="2905"/>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10"/>
        <v>1.0127999999999999</v>
      </c>
      <c r="X32" s="2905"/>
      <c r="Y32" s="2026"/>
      <c r="Z32" s="2901">
        <f t="shared" si="11"/>
        <v>5.1000000000000004E-3</v>
      </c>
      <c r="AA32" s="2902">
        <f t="shared" si="11"/>
        <v>3.5000000000000001E-3</v>
      </c>
      <c r="AB32" s="2026">
        <f t="shared" si="11"/>
        <v>8.3999999999999995E-3</v>
      </c>
      <c r="AC32" s="2903"/>
      <c r="AD32" s="2026">
        <f t="shared" si="11"/>
        <v>3.5000000000000001E-3</v>
      </c>
    </row>
    <row r="33" spans="1:30" s="2043" customFormat="1" ht="12.75">
      <c r="A33" s="2904" t="s">
        <v>2831</v>
      </c>
      <c r="B33" s="2029">
        <v>2021</v>
      </c>
      <c r="C33" s="2040">
        <v>4</v>
      </c>
      <c r="D33" s="2005"/>
      <c r="E33" s="2005">
        <v>0.57999999999999996</v>
      </c>
      <c r="F33" s="2005">
        <v>0.08</v>
      </c>
      <c r="G33" s="2005">
        <v>0.68</v>
      </c>
      <c r="H33" s="2916"/>
      <c r="I33" s="2006">
        <f t="shared" si="6"/>
        <v>0.08</v>
      </c>
      <c r="J33" s="2905"/>
      <c r="K33" s="2041"/>
      <c r="L33" s="2026">
        <f t="shared" si="7"/>
        <v>5.7999999999999996E-3</v>
      </c>
      <c r="M33" s="2026">
        <f t="shared" si="7"/>
        <v>8.0000000000000004E-4</v>
      </c>
      <c r="N33" s="2026">
        <f t="shared" si="7"/>
        <v>6.8000000000000005E-3</v>
      </c>
      <c r="O33" s="2026"/>
      <c r="P33" s="2026">
        <f t="shared" si="9"/>
        <v>8.0000000000000004E-4</v>
      </c>
      <c r="Q33" s="2905"/>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10"/>
        <v>1.0082</v>
      </c>
      <c r="X33" s="2905"/>
      <c r="Y33" s="2026"/>
      <c r="Z33" s="2901">
        <f t="shared" si="11"/>
        <v>4.8999999999999998E-3</v>
      </c>
      <c r="AA33" s="2902">
        <f t="shared" si="11"/>
        <v>3.3E-3</v>
      </c>
      <c r="AB33" s="2026">
        <f t="shared" si="11"/>
        <v>9.1999999999999998E-3</v>
      </c>
      <c r="AC33" s="2903"/>
      <c r="AD33" s="2026">
        <f t="shared" si="11"/>
        <v>3.3E-3</v>
      </c>
    </row>
    <row r="34" spans="1:30" s="2043" customFormat="1" ht="12.75">
      <c r="A34" s="2904" t="s">
        <v>2832</v>
      </c>
      <c r="B34" s="2029">
        <v>2021</v>
      </c>
      <c r="C34" s="2040">
        <v>3</v>
      </c>
      <c r="D34" s="2005"/>
      <c r="E34" s="2005">
        <v>0.47</v>
      </c>
      <c r="F34" s="2005">
        <v>0.28000000000000003</v>
      </c>
      <c r="G34" s="2005">
        <v>0.91</v>
      </c>
      <c r="H34" s="2916"/>
      <c r="I34" s="2006">
        <f t="shared" si="6"/>
        <v>0.28000000000000003</v>
      </c>
      <c r="J34" s="2905"/>
      <c r="K34" s="2041"/>
      <c r="L34" s="2026">
        <f t="shared" si="7"/>
        <v>4.6999999999999993E-3</v>
      </c>
      <c r="M34" s="2026">
        <f t="shared" si="7"/>
        <v>2.8000000000000004E-3</v>
      </c>
      <c r="N34" s="2026">
        <f t="shared" si="7"/>
        <v>9.1000000000000004E-3</v>
      </c>
      <c r="O34" s="2026"/>
      <c r="P34" s="2026">
        <f t="shared" si="9"/>
        <v>2.8000000000000004E-3</v>
      </c>
      <c r="Q34" s="2905"/>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10"/>
        <v>1.0074000000000001</v>
      </c>
      <c r="X34" s="2905"/>
      <c r="Y34" s="2026"/>
      <c r="Z34" s="2901">
        <f t="shared" si="11"/>
        <v>4.5999999999999999E-3</v>
      </c>
      <c r="AA34" s="2902">
        <f t="shared" si="11"/>
        <v>4.1000000000000003E-3</v>
      </c>
      <c r="AB34" s="2026">
        <f t="shared" si="11"/>
        <v>0.01</v>
      </c>
      <c r="AC34" s="2903"/>
      <c r="AD34" s="2026">
        <f t="shared" si="11"/>
        <v>4.1000000000000003E-3</v>
      </c>
    </row>
    <row r="35" spans="1:30" s="2043" customFormat="1" ht="12.75">
      <c r="A35" s="2904" t="s">
        <v>2833</v>
      </c>
      <c r="B35" s="2029">
        <v>2021</v>
      </c>
      <c r="C35" s="2040">
        <v>2</v>
      </c>
      <c r="D35" s="2005"/>
      <c r="E35" s="2005">
        <v>0.55000000000000004</v>
      </c>
      <c r="F35" s="2005">
        <v>0.46</v>
      </c>
      <c r="G35" s="2005">
        <v>1.1000000000000001</v>
      </c>
      <c r="H35" s="2916"/>
      <c r="I35" s="2006">
        <f t="shared" si="6"/>
        <v>0.46</v>
      </c>
      <c r="J35" s="2905"/>
      <c r="K35" s="2041"/>
      <c r="L35" s="2026">
        <f t="shared" si="7"/>
        <v>5.5000000000000005E-3</v>
      </c>
      <c r="M35" s="2026">
        <f t="shared" si="7"/>
        <v>4.5999999999999999E-3</v>
      </c>
      <c r="N35" s="2026">
        <f t="shared" si="7"/>
        <v>1.1000000000000001E-2</v>
      </c>
      <c r="O35" s="2026"/>
      <c r="P35" s="2026">
        <f t="shared" si="9"/>
        <v>4.5999999999999999E-3</v>
      </c>
      <c r="Q35" s="2905"/>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10"/>
        <v>1.0045999999999999</v>
      </c>
      <c r="X35" s="2905"/>
      <c r="Y35" s="2026"/>
      <c r="Z35" s="2901">
        <f t="shared" si="11"/>
        <v>4.4999999999999997E-3</v>
      </c>
      <c r="AA35" s="2902">
        <f t="shared" si="11"/>
        <v>4.7000000000000002E-3</v>
      </c>
      <c r="AB35" s="2026">
        <f t="shared" si="11"/>
        <v>1.04E-2</v>
      </c>
      <c r="AC35" s="2903"/>
      <c r="AD35" s="2026">
        <f t="shared" si="11"/>
        <v>4.7000000000000002E-3</v>
      </c>
    </row>
    <row r="36" spans="1:30" s="2927" customFormat="1" thickBot="1">
      <c r="A36" s="2917" t="s">
        <v>2818</v>
      </c>
      <c r="B36" s="2918">
        <v>2021</v>
      </c>
      <c r="C36" s="2919">
        <v>1</v>
      </c>
      <c r="D36" s="2920"/>
      <c r="E36" s="2920">
        <v>0.35</v>
      </c>
      <c r="F36" s="2920">
        <v>0.48</v>
      </c>
      <c r="G36" s="2920">
        <v>0.98</v>
      </c>
      <c r="H36" s="2921"/>
      <c r="I36" s="2922">
        <f t="shared" si="6"/>
        <v>0.48</v>
      </c>
      <c r="J36" s="2923"/>
      <c r="K36" s="2924"/>
      <c r="L36" s="2925">
        <f t="shared" si="7"/>
        <v>3.4999999999999996E-3</v>
      </c>
      <c r="M36" s="2925">
        <f>F36/100</f>
        <v>4.7999999999999996E-3</v>
      </c>
      <c r="N36" s="2925">
        <f t="shared" si="7"/>
        <v>9.7999999999999997E-3</v>
      </c>
      <c r="O36" s="2925"/>
      <c r="P36" s="2925">
        <f t="shared" si="9"/>
        <v>4.7999999999999996E-3</v>
      </c>
      <c r="Q36" s="2923"/>
      <c r="R36" s="2926"/>
      <c r="S36" s="2926">
        <v>1</v>
      </c>
      <c r="T36" s="2926">
        <v>1</v>
      </c>
      <c r="U36" s="2926">
        <v>1</v>
      </c>
      <c r="V36" s="2926"/>
      <c r="W36" s="2926">
        <f t="shared" si="10"/>
        <v>1</v>
      </c>
      <c r="X36" s="2923"/>
      <c r="Y36" s="2925"/>
      <c r="Z36" s="2933">
        <f t="shared" si="11"/>
        <v>3.5000000000000001E-3</v>
      </c>
      <c r="AA36" s="2934">
        <f t="shared" si="11"/>
        <v>4.7999999999999996E-3</v>
      </c>
      <c r="AB36" s="2925">
        <f t="shared" si="11"/>
        <v>9.7999999999999997E-3</v>
      </c>
      <c r="AC36" s="2935"/>
      <c r="AD36" s="2925">
        <f t="shared" si="11"/>
        <v>4.7999999999999996E-3</v>
      </c>
    </row>
    <row r="37" spans="1:30" ht="14.25" thickTop="1"/>
    <row r="38" spans="1:30">
      <c r="A38" s="3142" t="s">
        <v>3363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2109</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B24" si="0">B6*(1+N5)</f>
        <v>510.07089659554606</v>
      </c>
      <c r="C5" s="2039">
        <f t="shared" ref="C5:C24" si="1">C6*(1+O5)</f>
        <v>352.55593185737411</v>
      </c>
      <c r="D5" s="2039">
        <f t="shared" ref="D5:D29" si="2">C5</f>
        <v>352.55593185737411</v>
      </c>
      <c r="E5" s="2039">
        <f t="shared" ref="E5:E24" si="3">E6*(1+P5)</f>
        <v>737.27992463403655</v>
      </c>
      <c r="F5" s="2039">
        <f t="shared" ref="F5:F24" si="4">F6*(1+Q5)</f>
        <v>335.88319198297864</v>
      </c>
      <c r="G5" s="2029">
        <v>2022</v>
      </c>
      <c r="H5" s="2040">
        <v>1</v>
      </c>
      <c r="I5" s="2005">
        <v>0</v>
      </c>
      <c r="J5" s="2005">
        <v>0</v>
      </c>
      <c r="K5" s="2005">
        <v>0</v>
      </c>
      <c r="L5" s="2006">
        <v>0</v>
      </c>
      <c r="M5" s="2025"/>
      <c r="N5" s="2041">
        <f t="shared" ref="N5:N16" si="5">I5/100</f>
        <v>0</v>
      </c>
      <c r="O5" s="2026">
        <f t="shared" ref="O5:O16" si="6">J5/100</f>
        <v>0</v>
      </c>
      <c r="P5" s="2026">
        <f t="shared" ref="P5:P16" si="7">K5/100</f>
        <v>0</v>
      </c>
      <c r="Q5" s="2026">
        <f t="shared" ref="Q5:Q16" si="8">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Z39" si="9">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AF40" si="10">AE5</f>
        <v>9.7000000000000003E-3</v>
      </c>
      <c r="AG5" s="2026">
        <f>ROUND(AVERAGE(K5:K$40)/100,4)</f>
        <v>1.66E-2</v>
      </c>
      <c r="AH5" s="2026">
        <f>ROUND(AVERAGE(L5:L$40)/100,4)</f>
        <v>1.0999999999999999E-2</v>
      </c>
    </row>
    <row r="6" spans="1:34" s="2032" customFormat="1">
      <c r="A6" s="2027" t="s">
        <v>3356</v>
      </c>
      <c r="B6" s="2028">
        <f t="shared" si="0"/>
        <v>510.07089659554606</v>
      </c>
      <c r="C6" s="2028">
        <f t="shared" si="1"/>
        <v>352.55593185737411</v>
      </c>
      <c r="D6" s="2028">
        <f t="shared" si="2"/>
        <v>352.55593185737411</v>
      </c>
      <c r="E6" s="2028">
        <f t="shared" si="3"/>
        <v>737.27992463403655</v>
      </c>
      <c r="F6" s="2028">
        <f t="shared" si="4"/>
        <v>335.88319198297864</v>
      </c>
      <c r="G6" s="2029">
        <v>2022</v>
      </c>
      <c r="H6" s="2030">
        <v>1</v>
      </c>
      <c r="I6" s="2031">
        <v>0</v>
      </c>
      <c r="J6" s="2031">
        <v>0</v>
      </c>
      <c r="K6" s="2031">
        <v>0</v>
      </c>
      <c r="L6" s="2031">
        <v>0</v>
      </c>
      <c r="N6" s="2033">
        <f t="shared" si="5"/>
        <v>0</v>
      </c>
      <c r="O6" s="2033">
        <f t="shared" si="6"/>
        <v>0</v>
      </c>
      <c r="P6" s="2033">
        <f t="shared" si="7"/>
        <v>0</v>
      </c>
      <c r="Q6" s="2033">
        <f t="shared" si="8"/>
        <v>0</v>
      </c>
      <c r="S6" s="2034"/>
      <c r="W6" s="2035" t="s">
        <v>2110</v>
      </c>
      <c r="X6" s="2036" t="e">
        <f>ROUND(IF(项目基本情况!#REF!="出让",SUMPRODUCT(PRODUCT(1+N6:N$40)),SUMPRODUCT(PRODUCT(1+N6:N$39))),4)</f>
        <v>#REF!</v>
      </c>
      <c r="Y6" s="2036" t="e">
        <f>ROUND(IF(项目基本情况!#REF!="出让",SUMPRODUCT(PRODUCT(1+O6:O$40)),SUMPRODUCT(PRODUCT(1+O6:O$39))),4)</f>
        <v>#REF!</v>
      </c>
      <c r="Z6" s="2036" t="e">
        <f t="shared" si="9"/>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si="10"/>
        <v>0.01</v>
      </c>
      <c r="AG6" s="2037">
        <f>ROUND(AVERAGE(K6:K$40)/100,4)</f>
        <v>1.7100000000000001E-2</v>
      </c>
      <c r="AH6" s="2037">
        <f>ROUND(AVERAGE(L6:L$40)/100,4)</f>
        <v>1.1299999999999999E-2</v>
      </c>
    </row>
    <row r="7" spans="1:34" s="2043" customFormat="1">
      <c r="A7" s="2038" t="s">
        <v>3357</v>
      </c>
      <c r="B7" s="2039">
        <f t="shared" si="0"/>
        <v>510.07089659554606</v>
      </c>
      <c r="C7" s="2039">
        <f t="shared" si="1"/>
        <v>352.55593185737411</v>
      </c>
      <c r="D7" s="2039">
        <f t="shared" si="2"/>
        <v>352.55593185737411</v>
      </c>
      <c r="E7" s="2039">
        <f t="shared" si="3"/>
        <v>737.27992463403655</v>
      </c>
      <c r="F7" s="2039">
        <f t="shared" si="4"/>
        <v>335.88319198297864</v>
      </c>
      <c r="G7" s="2029">
        <v>2022</v>
      </c>
      <c r="H7" s="2040">
        <v>1</v>
      </c>
      <c r="I7" s="2005">
        <v>0</v>
      </c>
      <c r="J7" s="2005">
        <v>0</v>
      </c>
      <c r="K7" s="2005">
        <v>0</v>
      </c>
      <c r="L7" s="2006">
        <v>0</v>
      </c>
      <c r="M7" s="2025"/>
      <c r="N7" s="2041">
        <f t="shared" si="5"/>
        <v>0</v>
      </c>
      <c r="O7" s="2026">
        <f t="shared" si="6"/>
        <v>0</v>
      </c>
      <c r="P7" s="2026">
        <f t="shared" si="7"/>
        <v>0</v>
      </c>
      <c r="Q7" s="2026">
        <f t="shared" si="8"/>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si="9"/>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si="10"/>
        <v>1.03E-2</v>
      </c>
      <c r="AG7" s="2026">
        <f>ROUND(AVERAGE(K7:K$40)/100,4)</f>
        <v>1.7600000000000001E-2</v>
      </c>
      <c r="AH7" s="2026">
        <f>ROUND(AVERAGE(L7:L$40)/100,4)</f>
        <v>1.1599999999999999E-2</v>
      </c>
    </row>
    <row r="8" spans="1:34" s="2043" customFormat="1">
      <c r="A8" s="2038" t="s">
        <v>3358</v>
      </c>
      <c r="B8" s="2039">
        <f t="shared" si="0"/>
        <v>510.07089659554606</v>
      </c>
      <c r="C8" s="2039">
        <f t="shared" si="1"/>
        <v>352.55593185737411</v>
      </c>
      <c r="D8" s="2039">
        <f t="shared" si="2"/>
        <v>352.55593185737411</v>
      </c>
      <c r="E8" s="2039">
        <f t="shared" si="3"/>
        <v>737.27992463403655</v>
      </c>
      <c r="F8" s="2039">
        <f t="shared" si="4"/>
        <v>335.88319198297864</v>
      </c>
      <c r="G8" s="2029">
        <v>2022</v>
      </c>
      <c r="H8" s="2040">
        <v>1</v>
      </c>
      <c r="I8" s="2005"/>
      <c r="J8" s="2005"/>
      <c r="K8" s="2005">
        <v>0</v>
      </c>
      <c r="L8" s="2006">
        <v>0</v>
      </c>
      <c r="M8" s="2025"/>
      <c r="N8" s="2041">
        <f t="shared" si="5"/>
        <v>0</v>
      </c>
      <c r="O8" s="2026">
        <f t="shared" si="6"/>
        <v>0</v>
      </c>
      <c r="P8" s="2026">
        <f t="shared" si="7"/>
        <v>0</v>
      </c>
      <c r="Q8" s="2026">
        <f t="shared" si="8"/>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si="9"/>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si="10"/>
        <v>1.06E-2</v>
      </c>
      <c r="AG8" s="2026">
        <f>ROUND(AVERAGE(K8:K$40)/100,4)</f>
        <v>1.8100000000000002E-2</v>
      </c>
      <c r="AH8" s="2026">
        <f>ROUND(AVERAGE(L8:L$40)/100,4)</f>
        <v>1.2E-2</v>
      </c>
    </row>
    <row r="9" spans="1:34" s="2043" customFormat="1">
      <c r="A9" s="2038" t="s">
        <v>2430</v>
      </c>
      <c r="B9" s="2039">
        <f t="shared" si="0"/>
        <v>510.07089659554606</v>
      </c>
      <c r="C9" s="2039">
        <f t="shared" si="1"/>
        <v>352.55593185737411</v>
      </c>
      <c r="D9" s="2039">
        <f t="shared" si="2"/>
        <v>352.55593185737411</v>
      </c>
      <c r="E9" s="2039">
        <f t="shared" si="3"/>
        <v>737.27992463403655</v>
      </c>
      <c r="F9" s="2039">
        <f t="shared" si="4"/>
        <v>335.88319198297864</v>
      </c>
      <c r="G9" s="2029">
        <v>2021</v>
      </c>
      <c r="H9" s="2040">
        <v>4</v>
      </c>
      <c r="I9" s="2005">
        <v>1.03</v>
      </c>
      <c r="J9" s="2005">
        <v>0.24</v>
      </c>
      <c r="K9" s="2005">
        <v>1.17</v>
      </c>
      <c r="L9" s="2006">
        <v>0.55000000000000004</v>
      </c>
      <c r="M9" s="2025"/>
      <c r="N9" s="2041">
        <f t="shared" si="5"/>
        <v>1.03E-2</v>
      </c>
      <c r="O9" s="2026">
        <f t="shared" si="6"/>
        <v>2.3999999999999998E-3</v>
      </c>
      <c r="P9" s="2026">
        <f t="shared" si="7"/>
        <v>1.1699999999999999E-2</v>
      </c>
      <c r="Q9" s="2026">
        <f t="shared" si="8"/>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si="9"/>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si="10"/>
        <v>1.06E-2</v>
      </c>
      <c r="AG9" s="2026">
        <f>ROUND(AVERAGE(K9:K$40)/100,4)</f>
        <v>1.8700000000000001E-2</v>
      </c>
      <c r="AH9" s="2026">
        <f>ROUND(AVERAGE(L9:L$40)/100,4)</f>
        <v>1.24E-2</v>
      </c>
    </row>
    <row r="10" spans="1:34" s="2043" customFormat="1">
      <c r="A10" s="2038" t="s">
        <v>2307</v>
      </c>
      <c r="B10" s="2039">
        <f t="shared" si="0"/>
        <v>504.87072809615569</v>
      </c>
      <c r="C10" s="2039">
        <f t="shared" si="1"/>
        <v>351.71182348101968</v>
      </c>
      <c r="D10" s="2039">
        <f t="shared" si="2"/>
        <v>351.71182348101968</v>
      </c>
      <c r="E10" s="2039">
        <f t="shared" si="3"/>
        <v>728.75350858360832</v>
      </c>
      <c r="F10" s="2039">
        <f t="shared" si="4"/>
        <v>334.04593931673656</v>
      </c>
      <c r="G10" s="2029">
        <v>2021</v>
      </c>
      <c r="H10" s="2040">
        <v>3</v>
      </c>
      <c r="I10" s="2005">
        <v>0.47</v>
      </c>
      <c r="J10" s="2005">
        <v>0.41</v>
      </c>
      <c r="K10" s="2005">
        <v>0.48</v>
      </c>
      <c r="L10" s="2006">
        <v>0.48</v>
      </c>
      <c r="M10" s="2025"/>
      <c r="N10" s="2041">
        <f t="shared" si="5"/>
        <v>4.6999999999999993E-3</v>
      </c>
      <c r="O10" s="2026">
        <f t="shared" si="6"/>
        <v>4.0999999999999995E-3</v>
      </c>
      <c r="P10" s="2026">
        <f t="shared" si="7"/>
        <v>4.7999999999999996E-3</v>
      </c>
      <c r="Q10" s="2026">
        <f t="shared" si="8"/>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si="9"/>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si="10"/>
        <v>1.09E-2</v>
      </c>
      <c r="AG10" s="2026">
        <f>ROUND(AVERAGE(K10:K$40)/100,4)</f>
        <v>1.89E-2</v>
      </c>
      <c r="AH10" s="2026">
        <f>ROUND(AVERAGE(L10:L$40)/100,4)</f>
        <v>1.26E-2</v>
      </c>
    </row>
    <row r="11" spans="1:34" s="2043" customFormat="1">
      <c r="A11" s="2038" t="s">
        <v>2306</v>
      </c>
      <c r="B11" s="2039">
        <f t="shared" si="0"/>
        <v>502.50893609650217</v>
      </c>
      <c r="C11" s="2039">
        <f t="shared" si="1"/>
        <v>350.27569313914915</v>
      </c>
      <c r="D11" s="2039">
        <f t="shared" si="2"/>
        <v>350.27569313914915</v>
      </c>
      <c r="E11" s="2039">
        <f t="shared" si="3"/>
        <v>725.27220201394141</v>
      </c>
      <c r="F11" s="2039">
        <f t="shared" si="4"/>
        <v>332.45017846012797</v>
      </c>
      <c r="G11" s="2029">
        <v>2021</v>
      </c>
      <c r="H11" s="2040">
        <v>2</v>
      </c>
      <c r="I11" s="2005">
        <v>0.92</v>
      </c>
      <c r="J11" s="2005">
        <v>0.72</v>
      </c>
      <c r="K11" s="2005">
        <v>0.95</v>
      </c>
      <c r="L11" s="2006">
        <v>1.01</v>
      </c>
      <c r="M11" s="2025"/>
      <c r="N11" s="2041">
        <f t="shared" si="5"/>
        <v>9.1999999999999998E-3</v>
      </c>
      <c r="O11" s="2026">
        <f t="shared" si="6"/>
        <v>7.1999999999999998E-3</v>
      </c>
      <c r="P11" s="2026">
        <f t="shared" si="7"/>
        <v>9.4999999999999998E-3</v>
      </c>
      <c r="Q11" s="2026">
        <f t="shared" si="8"/>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si="9"/>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si="10"/>
        <v>1.11E-2</v>
      </c>
      <c r="AG11" s="2026">
        <f>ROUND(AVERAGE(K11:K$40)/100,4)</f>
        <v>1.9400000000000001E-2</v>
      </c>
      <c r="AH11" s="2026">
        <f>ROUND(AVERAGE(L11:L$40)/100,4)</f>
        <v>1.2800000000000001E-2</v>
      </c>
    </row>
    <row r="12" spans="1:34" s="2043" customFormat="1">
      <c r="A12" s="2038" t="s">
        <v>2305</v>
      </c>
      <c r="B12" s="2039">
        <f t="shared" si="0"/>
        <v>497.92799851020823</v>
      </c>
      <c r="C12" s="2039">
        <f t="shared" si="1"/>
        <v>347.77173663537445</v>
      </c>
      <c r="D12" s="2039">
        <f t="shared" si="2"/>
        <v>347.77173663537445</v>
      </c>
      <c r="E12" s="2039">
        <f t="shared" si="3"/>
        <v>718.44695593258189</v>
      </c>
      <c r="F12" s="2039">
        <f t="shared" si="4"/>
        <v>329.12600580153247</v>
      </c>
      <c r="G12" s="2029">
        <v>2021</v>
      </c>
      <c r="H12" s="2040">
        <v>1</v>
      </c>
      <c r="I12" s="2005">
        <v>0.97</v>
      </c>
      <c r="J12" s="2005">
        <v>0.16</v>
      </c>
      <c r="K12" s="2005">
        <v>1.1100000000000001</v>
      </c>
      <c r="L12" s="2006">
        <v>0.36</v>
      </c>
      <c r="M12" s="2025"/>
      <c r="N12" s="2041">
        <f t="shared" si="5"/>
        <v>9.7000000000000003E-3</v>
      </c>
      <c r="O12" s="2026">
        <f t="shared" si="6"/>
        <v>1.6000000000000001E-3</v>
      </c>
      <c r="P12" s="2026">
        <f t="shared" si="7"/>
        <v>1.11E-2</v>
      </c>
      <c r="Q12" s="2026">
        <f t="shared" si="8"/>
        <v>3.5999999999999999E-3</v>
      </c>
      <c r="R12" s="2042"/>
      <c r="S12" s="2041">
        <f>B12/B13-1</f>
        <v>9.7000000000000419E-3</v>
      </c>
      <c r="T12" s="2026">
        <f>C12/C13-1</f>
        <v>1.6000000000000458E-3</v>
      </c>
      <c r="U12" s="2026">
        <f>D12/D13-1</f>
        <v>1.6000000000000458E-3</v>
      </c>
      <c r="V12" s="2026">
        <f>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si="9"/>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si="10"/>
        <v>1.12E-2</v>
      </c>
      <c r="AG12" s="2026">
        <f>ROUND(AVERAGE(K12:K$40)/100,4)</f>
        <v>1.9699999999999999E-2</v>
      </c>
      <c r="AH12" s="2026">
        <f>ROUND(AVERAGE(L12:L$40)/100,4)</f>
        <v>1.29E-2</v>
      </c>
    </row>
    <row r="13" spans="1:34" s="2043" customFormat="1">
      <c r="A13" s="2038" t="s">
        <v>2303</v>
      </c>
      <c r="B13" s="2039">
        <f t="shared" si="0"/>
        <v>493.14449689037161</v>
      </c>
      <c r="C13" s="2039">
        <f t="shared" si="1"/>
        <v>347.21619073020611</v>
      </c>
      <c r="D13" s="2039">
        <f t="shared" si="2"/>
        <v>347.21619073020611</v>
      </c>
      <c r="E13" s="2039">
        <f t="shared" si="3"/>
        <v>710.55974278763904</v>
      </c>
      <c r="F13" s="2039">
        <f t="shared" si="4"/>
        <v>327.94540235306141</v>
      </c>
      <c r="G13" s="2029">
        <v>2020</v>
      </c>
      <c r="H13" s="2040">
        <v>4</v>
      </c>
      <c r="I13" s="2005">
        <v>2.0699999999999998</v>
      </c>
      <c r="J13" s="2005">
        <v>0.37</v>
      </c>
      <c r="K13" s="2005">
        <v>2.35</v>
      </c>
      <c r="L13" s="2006">
        <v>2.69</v>
      </c>
      <c r="M13" s="2025"/>
      <c r="N13" s="2041">
        <f t="shared" si="5"/>
        <v>2.07E-2</v>
      </c>
      <c r="O13" s="2026">
        <f t="shared" si="6"/>
        <v>3.7000000000000002E-3</v>
      </c>
      <c r="P13" s="2026">
        <f t="shared" si="7"/>
        <v>2.35E-2</v>
      </c>
      <c r="Q13" s="2026">
        <f t="shared" si="8"/>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si="9"/>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si="10"/>
        <v>1.1599999999999999E-2</v>
      </c>
      <c r="AG13" s="2026">
        <f>ROUND(AVERAGE(K13:K$40)/100,4)</f>
        <v>0.02</v>
      </c>
      <c r="AH13" s="2026">
        <f>ROUND(AVERAGE(L13:L$40)/100,4)</f>
        <v>1.3299999999999999E-2</v>
      </c>
    </row>
    <row r="14" spans="1:34" s="2043" customFormat="1">
      <c r="A14" s="2038" t="s">
        <v>2302</v>
      </c>
      <c r="B14" s="2039">
        <f t="shared" si="0"/>
        <v>483.1434279321756</v>
      </c>
      <c r="C14" s="2039">
        <f t="shared" si="1"/>
        <v>345.93622669144776</v>
      </c>
      <c r="D14" s="2039">
        <f t="shared" si="2"/>
        <v>345.93622669144776</v>
      </c>
      <c r="E14" s="2039">
        <f t="shared" si="3"/>
        <v>694.24498562544113</v>
      </c>
      <c r="F14" s="2039">
        <f t="shared" si="4"/>
        <v>319.35475932716082</v>
      </c>
      <c r="G14" s="2029">
        <v>2020</v>
      </c>
      <c r="H14" s="2040">
        <v>3</v>
      </c>
      <c r="I14" s="2005">
        <v>0.36</v>
      </c>
      <c r="J14" s="2005">
        <v>-0.39</v>
      </c>
      <c r="K14" s="2005">
        <v>0.49</v>
      </c>
      <c r="L14" s="2006">
        <v>7.0000000000000007E-2</v>
      </c>
      <c r="M14" s="2025"/>
      <c r="N14" s="2041">
        <f t="shared" si="5"/>
        <v>3.5999999999999999E-3</v>
      </c>
      <c r="O14" s="2026">
        <f t="shared" si="6"/>
        <v>-3.9000000000000003E-3</v>
      </c>
      <c r="P14" s="2026">
        <f t="shared" si="7"/>
        <v>4.8999999999999998E-3</v>
      </c>
      <c r="Q14" s="2026">
        <f t="shared" si="8"/>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si="9"/>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si="10"/>
        <v>1.1900000000000001E-2</v>
      </c>
      <c r="AG14" s="2026">
        <f>ROUND(AVERAGE(K14:K$40)/100,4)</f>
        <v>1.9900000000000001E-2</v>
      </c>
      <c r="AH14" s="2026">
        <f>ROUND(AVERAGE(L14:L$40)/100,4)</f>
        <v>1.2800000000000001E-2</v>
      </c>
    </row>
    <row r="15" spans="1:34" s="2043" customFormat="1">
      <c r="A15" s="2038" t="s">
        <v>2125</v>
      </c>
      <c r="B15" s="2039">
        <f t="shared" si="0"/>
        <v>481.4103506697644</v>
      </c>
      <c r="C15" s="2039">
        <f t="shared" si="1"/>
        <v>347.29066026648707</v>
      </c>
      <c r="D15" s="2039">
        <f t="shared" si="2"/>
        <v>347.29066026648707</v>
      </c>
      <c r="E15" s="2039">
        <f t="shared" si="3"/>
        <v>690.85977273901995</v>
      </c>
      <c r="F15" s="2039">
        <f t="shared" si="4"/>
        <v>319.13136737000184</v>
      </c>
      <c r="G15" s="2029">
        <v>2020</v>
      </c>
      <c r="H15" s="2040">
        <v>2</v>
      </c>
      <c r="I15" s="2005">
        <v>0.31</v>
      </c>
      <c r="J15" s="2005">
        <v>-0.78</v>
      </c>
      <c r="K15" s="2005">
        <v>0.5</v>
      </c>
      <c r="L15" s="2006">
        <v>0.47</v>
      </c>
      <c r="M15" s="2025"/>
      <c r="N15" s="2041">
        <f t="shared" si="5"/>
        <v>3.0999999999999999E-3</v>
      </c>
      <c r="O15" s="2026">
        <f t="shared" si="6"/>
        <v>-7.8000000000000005E-3</v>
      </c>
      <c r="P15" s="2026">
        <f t="shared" si="7"/>
        <v>5.0000000000000001E-3</v>
      </c>
      <c r="Q15" s="2026">
        <f t="shared" si="8"/>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si="9"/>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si="10"/>
        <v>1.2500000000000001E-2</v>
      </c>
      <c r="AG15" s="2026">
        <f>ROUND(AVERAGE(K15:K$40)/100,4)</f>
        <v>2.0400000000000001E-2</v>
      </c>
      <c r="AH15" s="2026">
        <f>ROUND(AVERAGE(L15:L$40)/100,4)</f>
        <v>1.32E-2</v>
      </c>
    </row>
    <row r="16" spans="1:34" s="2043" customFormat="1">
      <c r="A16" s="2038" t="s">
        <v>2123</v>
      </c>
      <c r="B16" s="2039">
        <f t="shared" si="0"/>
        <v>479.92259063878413</v>
      </c>
      <c r="C16" s="2039">
        <f t="shared" si="1"/>
        <v>350.02082268341775</v>
      </c>
      <c r="D16" s="2039">
        <f t="shared" si="2"/>
        <v>350.02082268341775</v>
      </c>
      <c r="E16" s="2039">
        <f t="shared" si="3"/>
        <v>687.42265944181099</v>
      </c>
      <c r="F16" s="2039">
        <f t="shared" si="4"/>
        <v>317.63846657708956</v>
      </c>
      <c r="G16" s="2029">
        <v>2020</v>
      </c>
      <c r="H16" s="2040">
        <v>1</v>
      </c>
      <c r="I16" s="2005">
        <v>0.12</v>
      </c>
      <c r="J16" s="2005">
        <v>-0.4</v>
      </c>
      <c r="K16" s="2005">
        <v>0.21</v>
      </c>
      <c r="L16" s="2006">
        <v>0.27</v>
      </c>
      <c r="M16" s="2025"/>
      <c r="N16" s="2041">
        <f t="shared" si="5"/>
        <v>1.1999999999999999E-3</v>
      </c>
      <c r="O16" s="2026">
        <f t="shared" si="6"/>
        <v>-4.0000000000000001E-3</v>
      </c>
      <c r="P16" s="2026">
        <f t="shared" si="7"/>
        <v>2.0999999999999999E-3</v>
      </c>
      <c r="Q16" s="2026">
        <f t="shared" si="8"/>
        <v>2.7000000000000001E-3</v>
      </c>
      <c r="R16" s="2042"/>
      <c r="S16" s="2041">
        <f>B16/B17-1</f>
        <v>1.2000000000000899E-3</v>
      </c>
      <c r="T16" s="2026">
        <f>C16/C17-1</f>
        <v>-4.0000000000000036E-3</v>
      </c>
      <c r="U16" s="2026">
        <f>D16/D17-1</f>
        <v>-4.0000000000000036E-3</v>
      </c>
      <c r="V16" s="2026">
        <f>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si="9"/>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si="10"/>
        <v>1.3299999999999999E-2</v>
      </c>
      <c r="AG16" s="2026">
        <f>ROUND(AVERAGE(K16:K$40)/100,4)</f>
        <v>2.1100000000000001E-2</v>
      </c>
      <c r="AH16" s="2026">
        <f>ROUND(AVERAGE(L16:L$40)/100,4)</f>
        <v>1.3599999999999999E-2</v>
      </c>
    </row>
    <row r="17" spans="1:34" s="2043" customFormat="1">
      <c r="A17" s="2038" t="s">
        <v>2122</v>
      </c>
      <c r="B17" s="2039">
        <f t="shared" si="0"/>
        <v>479.34737379023579</v>
      </c>
      <c r="C17" s="2039">
        <f t="shared" si="1"/>
        <v>351.4265287986122</v>
      </c>
      <c r="D17" s="2039">
        <f t="shared" si="2"/>
        <v>351.4265287986122</v>
      </c>
      <c r="E17" s="2039">
        <f t="shared" si="3"/>
        <v>685.98209703803116</v>
      </c>
      <c r="F17" s="2039">
        <f t="shared" si="4"/>
        <v>316.78315206651001</v>
      </c>
      <c r="G17" s="2029">
        <v>2019</v>
      </c>
      <c r="H17" s="2040">
        <v>4</v>
      </c>
      <c r="I17" s="2040">
        <v>0.45</v>
      </c>
      <c r="J17" s="2040">
        <v>-0.12</v>
      </c>
      <c r="K17" s="2040">
        <v>0.54</v>
      </c>
      <c r="L17" s="2044">
        <v>0.48</v>
      </c>
      <c r="M17" s="2025"/>
      <c r="N17" s="2041">
        <f t="shared" ref="N17:N22" si="11">I17/100</f>
        <v>4.5000000000000005E-3</v>
      </c>
      <c r="O17" s="2026">
        <f t="shared" ref="O17:O27" si="12">J17/100</f>
        <v>-1.1999999999999999E-3</v>
      </c>
      <c r="P17" s="2026">
        <f t="shared" ref="P17:P27" si="13">K17/100</f>
        <v>5.4000000000000003E-3</v>
      </c>
      <c r="Q17" s="2026">
        <f t="shared" ref="Q17:Q27" si="14">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si="9"/>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si="10"/>
        <v>1.4E-2</v>
      </c>
      <c r="AG17" s="2026">
        <f>ROUND(AVERAGE(K17:K$40)/100,4)</f>
        <v>2.1899999999999999E-2</v>
      </c>
      <c r="AH17" s="2026">
        <f>ROUND(AVERAGE(L17:L$40)/100,4)</f>
        <v>1.4E-2</v>
      </c>
    </row>
    <row r="18" spans="1:34" s="2043" customFormat="1" ht="13.5" thickBot="1">
      <c r="A18" s="2038" t="s">
        <v>2121</v>
      </c>
      <c r="B18" s="2039">
        <f t="shared" si="0"/>
        <v>477.19997390765138</v>
      </c>
      <c r="C18" s="2039">
        <f t="shared" si="1"/>
        <v>351.84874729536665</v>
      </c>
      <c r="D18" s="2039">
        <f t="shared" si="2"/>
        <v>351.84874729536665</v>
      </c>
      <c r="E18" s="2039">
        <f t="shared" si="3"/>
        <v>682.29768951465201</v>
      </c>
      <c r="F18" s="2039">
        <f t="shared" si="4"/>
        <v>315.26985675409043</v>
      </c>
      <c r="G18" s="2029">
        <v>2019</v>
      </c>
      <c r="H18" s="2040">
        <v>3</v>
      </c>
      <c r="I18" s="2040">
        <v>0.61</v>
      </c>
      <c r="J18" s="2040">
        <v>0.67</v>
      </c>
      <c r="K18" s="2040">
        <v>0.6</v>
      </c>
      <c r="L18" s="2044">
        <v>1.03</v>
      </c>
      <c r="M18" s="2025"/>
      <c r="N18" s="2041">
        <f t="shared" si="11"/>
        <v>6.0999999999999995E-3</v>
      </c>
      <c r="O18" s="2026">
        <f t="shared" si="12"/>
        <v>6.7000000000000002E-3</v>
      </c>
      <c r="P18" s="2026">
        <f t="shared" si="13"/>
        <v>6.0000000000000001E-3</v>
      </c>
      <c r="Q18" s="2026">
        <f t="shared" si="14"/>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si="9"/>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si="10"/>
        <v>1.47E-2</v>
      </c>
      <c r="AG18" s="2026">
        <f>ROUND(AVERAGE(K18:K$40)/100,4)</f>
        <v>2.2599999999999999E-2</v>
      </c>
      <c r="AH18" s="2026">
        <f>ROUND(AVERAGE(L18:L$40)/100,4)</f>
        <v>1.44E-2</v>
      </c>
    </row>
    <row r="19" spans="1:34" s="2043" customFormat="1">
      <c r="A19" s="2038" t="s">
        <v>2119</v>
      </c>
      <c r="B19" s="2039">
        <f t="shared" si="0"/>
        <v>474.30670301923408</v>
      </c>
      <c r="C19" s="2039">
        <f t="shared" si="1"/>
        <v>349.50705005996491</v>
      </c>
      <c r="D19" s="2039">
        <f t="shared" si="2"/>
        <v>349.50705005996491</v>
      </c>
      <c r="E19" s="2039">
        <f t="shared" si="3"/>
        <v>678.22831959706957</v>
      </c>
      <c r="F19" s="2039">
        <f t="shared" si="4"/>
        <v>312.0556832169558</v>
      </c>
      <c r="G19" s="2029">
        <v>2019</v>
      </c>
      <c r="H19" s="2045">
        <v>2</v>
      </c>
      <c r="I19" s="2045">
        <v>1.53</v>
      </c>
      <c r="J19" s="2045">
        <v>1.01</v>
      </c>
      <c r="K19" s="2045">
        <v>1.62</v>
      </c>
      <c r="L19" s="2046">
        <v>1.25</v>
      </c>
      <c r="M19" s="2025"/>
      <c r="N19" s="2041">
        <f t="shared" si="11"/>
        <v>1.5300000000000001E-2</v>
      </c>
      <c r="O19" s="2026">
        <f t="shared" si="12"/>
        <v>1.01E-2</v>
      </c>
      <c r="P19" s="2026">
        <f t="shared" si="13"/>
        <v>1.6200000000000003E-2</v>
      </c>
      <c r="Q19" s="2026">
        <f t="shared" si="14"/>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si="9"/>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si="10"/>
        <v>1.4999999999999999E-2</v>
      </c>
      <c r="AG19" s="2026">
        <f>ROUND(AVERAGE(K19:K$40)/100,4)</f>
        <v>2.3300000000000001E-2</v>
      </c>
      <c r="AH19" s="2026">
        <f>ROUND(AVERAGE(L19:L$40)/100,4)</f>
        <v>1.46E-2</v>
      </c>
    </row>
    <row r="20" spans="1:34" s="2043" customFormat="1" ht="13.5" thickBot="1">
      <c r="A20" s="2038" t="s">
        <v>2118</v>
      </c>
      <c r="B20" s="2039">
        <f t="shared" si="0"/>
        <v>467.15916775261894</v>
      </c>
      <c r="C20" s="2039">
        <f t="shared" si="1"/>
        <v>346.01232557169084</v>
      </c>
      <c r="D20" s="2039">
        <f t="shared" si="2"/>
        <v>346.01232557169084</v>
      </c>
      <c r="E20" s="2039">
        <f t="shared" si="3"/>
        <v>667.41617752122568</v>
      </c>
      <c r="F20" s="2039">
        <f t="shared" si="4"/>
        <v>308.20314391798104</v>
      </c>
      <c r="G20" s="2029">
        <v>2019</v>
      </c>
      <c r="H20" s="2040">
        <v>1</v>
      </c>
      <c r="I20" s="2040">
        <v>0.6</v>
      </c>
      <c r="J20" s="2040">
        <v>0.37</v>
      </c>
      <c r="K20" s="2040">
        <v>0.63</v>
      </c>
      <c r="L20" s="2044">
        <v>1.1299999999999999</v>
      </c>
      <c r="M20" s="2025"/>
      <c r="N20" s="2041">
        <f t="shared" si="11"/>
        <v>6.0000000000000001E-3</v>
      </c>
      <c r="O20" s="2026">
        <f t="shared" si="12"/>
        <v>3.7000000000000002E-3</v>
      </c>
      <c r="P20" s="2026">
        <f t="shared" si="13"/>
        <v>6.3E-3</v>
      </c>
      <c r="Q20" s="2026">
        <f t="shared" si="14"/>
        <v>1.1299999999999999E-2</v>
      </c>
      <c r="R20" s="2042"/>
      <c r="S20" s="2041">
        <f>B20/B21-1</f>
        <v>6.0000000000000053E-3</v>
      </c>
      <c r="T20" s="2026">
        <f>C20/C21-1</f>
        <v>3.7000000000000366E-3</v>
      </c>
      <c r="U20" s="2026">
        <f>D20/D21-1</f>
        <v>3.7000000000000366E-3</v>
      </c>
      <c r="V20" s="2026">
        <f>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si="9"/>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si="10"/>
        <v>1.5299999999999999E-2</v>
      </c>
      <c r="AG20" s="2026">
        <f>ROUND(AVERAGE(K20:K$40)/100,4)</f>
        <v>2.3699999999999999E-2</v>
      </c>
      <c r="AH20" s="2026">
        <f>ROUND(AVERAGE(L20:L$40)/100,4)</f>
        <v>1.47E-2</v>
      </c>
    </row>
    <row r="21" spans="1:34" s="2043" customFormat="1">
      <c r="A21" s="2038" t="s">
        <v>2120</v>
      </c>
      <c r="B21" s="2047">
        <f t="shared" si="0"/>
        <v>464.37293017158942</v>
      </c>
      <c r="C21" s="2047">
        <f t="shared" si="1"/>
        <v>344.73679941385956</v>
      </c>
      <c r="D21" s="2047">
        <f t="shared" si="2"/>
        <v>344.73679941385956</v>
      </c>
      <c r="E21" s="2047">
        <f t="shared" si="3"/>
        <v>663.2377795103107</v>
      </c>
      <c r="F21" s="2048">
        <f t="shared" si="4"/>
        <v>304.75936311478398</v>
      </c>
      <c r="G21" s="3497">
        <v>2018</v>
      </c>
      <c r="H21" s="2045">
        <v>4</v>
      </c>
      <c r="I21" s="2045">
        <v>0.96</v>
      </c>
      <c r="J21" s="2045">
        <v>1.03</v>
      </c>
      <c r="K21" s="2045">
        <v>0.92</v>
      </c>
      <c r="L21" s="2046">
        <v>1.29</v>
      </c>
      <c r="M21" s="2025"/>
      <c r="N21" s="2041">
        <f t="shared" si="11"/>
        <v>9.5999999999999992E-3</v>
      </c>
      <c r="O21" s="2026">
        <f t="shared" si="12"/>
        <v>1.03E-2</v>
      </c>
      <c r="P21" s="2026">
        <f t="shared" si="13"/>
        <v>9.1999999999999998E-3</v>
      </c>
      <c r="Q21" s="2026">
        <f t="shared" si="14"/>
        <v>1.29E-2</v>
      </c>
      <c r="R21" s="2042"/>
      <c r="S21" s="2041"/>
      <c r="T21" s="2026"/>
      <c r="U21" s="2026"/>
      <c r="V21" s="2026"/>
      <c r="W21" s="2025"/>
      <c r="X21" s="2025">
        <f>ROUND(SUMPRODUCT(PRODUCT(1+N21:N$39)),4)</f>
        <v>1.5099</v>
      </c>
      <c r="Y21" s="2025">
        <f>ROUND(SUMPRODUCT(PRODUCT(1+O21:O$39)),4)</f>
        <v>1.3372999999999999</v>
      </c>
      <c r="Z21" s="2025">
        <f t="shared" si="9"/>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si="10"/>
        <v>1.5800000000000002E-2</v>
      </c>
      <c r="AG21" s="2026">
        <f>ROUND(AVERAGE(K21:K$40)/100,4)</f>
        <v>2.4500000000000001E-2</v>
      </c>
      <c r="AH21" s="2026">
        <f>ROUND(AVERAGE(L21:L$40)/100,4)</f>
        <v>1.49E-2</v>
      </c>
    </row>
    <row r="22" spans="1:34" s="2043" customFormat="1" ht="14.45" customHeight="1">
      <c r="A22" s="2038" t="s">
        <v>2116</v>
      </c>
      <c r="B22" s="2039">
        <f t="shared" si="0"/>
        <v>459.95733971036987</v>
      </c>
      <c r="C22" s="2039">
        <f t="shared" si="1"/>
        <v>341.22221064422405</v>
      </c>
      <c r="D22" s="2039">
        <f t="shared" si="2"/>
        <v>341.22221064422405</v>
      </c>
      <c r="E22" s="2039">
        <f t="shared" si="3"/>
        <v>657.19161663724799</v>
      </c>
      <c r="F22" s="2039">
        <f t="shared" si="4"/>
        <v>300.87803644464805</v>
      </c>
      <c r="G22" s="3497"/>
      <c r="H22" s="2040">
        <v>3</v>
      </c>
      <c r="I22" s="2040">
        <v>1.51</v>
      </c>
      <c r="J22" s="2040">
        <v>1.41</v>
      </c>
      <c r="K22" s="2040">
        <v>1.52</v>
      </c>
      <c r="L22" s="2044">
        <v>1.74</v>
      </c>
      <c r="M22" s="2025"/>
      <c r="N22" s="2041">
        <f t="shared" si="11"/>
        <v>1.5100000000000001E-2</v>
      </c>
      <c r="O22" s="2026">
        <f t="shared" si="12"/>
        <v>1.41E-2</v>
      </c>
      <c r="P22" s="2026">
        <f t="shared" si="13"/>
        <v>1.52E-2</v>
      </c>
      <c r="Q22" s="2026">
        <f t="shared" si="14"/>
        <v>1.7399999999999999E-2</v>
      </c>
      <c r="R22" s="2042"/>
      <c r="S22" s="2041"/>
      <c r="T22" s="2026"/>
      <c r="U22" s="2026"/>
      <c r="V22" s="2026"/>
      <c r="W22" s="2025"/>
      <c r="X22" s="2025">
        <f>ROUND(SUMPRODUCT(PRODUCT(1+N22:N$39)),4)</f>
        <v>1.4956</v>
      </c>
      <c r="Y22" s="2025">
        <f>ROUND(SUMPRODUCT(PRODUCT(1+O22:O$39)),4)</f>
        <v>1.3237000000000001</v>
      </c>
      <c r="Z22" s="2025">
        <f t="shared" si="9"/>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si="10"/>
        <v>1.61E-2</v>
      </c>
      <c r="AG22" s="2026">
        <f>ROUND(AVERAGE(K22:K$40)/100,4)</f>
        <v>2.53E-2</v>
      </c>
      <c r="AH22" s="2026">
        <f>ROUND(AVERAGE(L22:L$40)/100,4)</f>
        <v>1.4999999999999999E-2</v>
      </c>
    </row>
    <row r="23" spans="1:34" s="2043" customFormat="1" ht="14.45" customHeight="1">
      <c r="A23" s="2038" t="s">
        <v>2115</v>
      </c>
      <c r="B23" s="2039">
        <f t="shared" si="0"/>
        <v>453.11529869999993</v>
      </c>
      <c r="C23" s="2039">
        <f t="shared" si="1"/>
        <v>336.47787264000004</v>
      </c>
      <c r="D23" s="2039">
        <f t="shared" si="2"/>
        <v>336.47787264000004</v>
      </c>
      <c r="E23" s="2039">
        <f t="shared" si="3"/>
        <v>647.35186823999993</v>
      </c>
      <c r="F23" s="2039">
        <f t="shared" si="4"/>
        <v>295.73229452000004</v>
      </c>
      <c r="G23" s="3497"/>
      <c r="H23" s="2049">
        <v>2</v>
      </c>
      <c r="I23" s="2049">
        <v>1.49</v>
      </c>
      <c r="J23" s="2049">
        <v>0.96</v>
      </c>
      <c r="K23" s="2049">
        <v>1.58</v>
      </c>
      <c r="L23" s="2050">
        <v>2.44</v>
      </c>
      <c r="M23" s="2025"/>
      <c r="N23" s="2041">
        <f>I23/100</f>
        <v>1.49E-2</v>
      </c>
      <c r="O23" s="2026">
        <f t="shared" si="12"/>
        <v>9.5999999999999992E-3</v>
      </c>
      <c r="P23" s="2026">
        <f t="shared" si="13"/>
        <v>1.5800000000000002E-2</v>
      </c>
      <c r="Q23" s="2026">
        <f t="shared" si="14"/>
        <v>2.4399999999999998E-2</v>
      </c>
      <c r="R23" s="2042"/>
      <c r="S23" s="2041"/>
      <c r="T23" s="2026"/>
      <c r="U23" s="2026"/>
      <c r="V23" s="2026"/>
      <c r="W23" s="2025"/>
      <c r="X23" s="2025">
        <f>ROUND(SUMPRODUCT(PRODUCT(1+N23:N$39)),4)</f>
        <v>1.4733000000000001</v>
      </c>
      <c r="Y23" s="2025">
        <f>ROUND(SUMPRODUCT(PRODUCT(1+O23:O$39)),4)</f>
        <v>1.3052999999999999</v>
      </c>
      <c r="Z23" s="2025">
        <f t="shared" si="9"/>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si="10"/>
        <v>1.6199999999999999E-2</v>
      </c>
      <c r="AG23" s="2026">
        <f>ROUND(AVERAGE(K23:K$40)/100,4)</f>
        <v>2.5899999999999999E-2</v>
      </c>
      <c r="AH23" s="2026">
        <f>ROUND(AVERAGE(L23:L$40)/100,4)</f>
        <v>1.49E-2</v>
      </c>
    </row>
    <row r="24" spans="1:34" s="2043" customFormat="1" ht="15" customHeight="1" thickBot="1">
      <c r="A24" s="2038" t="s">
        <v>2108</v>
      </c>
      <c r="B24" s="2039">
        <f t="shared" si="0"/>
        <v>446.46299999999997</v>
      </c>
      <c r="C24" s="2039">
        <f t="shared" si="1"/>
        <v>333.27840000000003</v>
      </c>
      <c r="D24" s="2039">
        <f t="shared" si="2"/>
        <v>333.27840000000003</v>
      </c>
      <c r="E24" s="2039">
        <f t="shared" si="3"/>
        <v>637.28279999999995</v>
      </c>
      <c r="F24" s="2039">
        <f t="shared" si="4"/>
        <v>288.68830000000003</v>
      </c>
      <c r="G24" s="3504"/>
      <c r="H24" s="2040">
        <v>1</v>
      </c>
      <c r="I24" s="2040">
        <v>1.7</v>
      </c>
      <c r="J24" s="2040">
        <v>1.92</v>
      </c>
      <c r="K24" s="2040">
        <v>1.64</v>
      </c>
      <c r="L24" s="2044">
        <v>2.0099999999999998</v>
      </c>
      <c r="M24" s="2025"/>
      <c r="N24" s="2041">
        <f t="shared" ref="N24:N29" si="15">I24/100</f>
        <v>1.7000000000000001E-2</v>
      </c>
      <c r="O24" s="2026">
        <f t="shared" si="12"/>
        <v>1.9199999999999998E-2</v>
      </c>
      <c r="P24" s="2026">
        <f t="shared" si="13"/>
        <v>1.6399999999999998E-2</v>
      </c>
      <c r="Q24" s="2026">
        <f t="shared" si="14"/>
        <v>2.0099999999999996E-2</v>
      </c>
      <c r="R24" s="2042"/>
      <c r="S24" s="2041">
        <f>B24/B25-1</f>
        <v>1.6999999999999904E-2</v>
      </c>
      <c r="T24" s="2026">
        <f>C24/C25-1</f>
        <v>1.9200000000000106E-2</v>
      </c>
      <c r="U24" s="2026">
        <f>D24/D25-1</f>
        <v>1.9200000000000106E-2</v>
      </c>
      <c r="V24" s="2026">
        <f>E24/E25-1</f>
        <v>1.639999999999997E-2</v>
      </c>
      <c r="W24" s="2025"/>
      <c r="X24" s="2025">
        <f>ROUND(SUMPRODUCT(PRODUCT(1+N24:N$39)),4)</f>
        <v>1.4517</v>
      </c>
      <c r="Y24" s="2025">
        <f>ROUND(SUMPRODUCT(PRODUCT(1+O24:O$39)),4)</f>
        <v>1.2928999999999999</v>
      </c>
      <c r="Z24" s="2025">
        <f t="shared" si="9"/>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si="10"/>
        <v>1.66E-2</v>
      </c>
      <c r="AG24" s="2026">
        <f>ROUND(AVERAGE(K24:K$40)/100,4)</f>
        <v>2.6499999999999999E-2</v>
      </c>
      <c r="AH24" s="2026">
        <f>ROUND(AVERAGE(L24:L$40)/100,4)</f>
        <v>1.43E-2</v>
      </c>
    </row>
    <row r="25" spans="1:34">
      <c r="A25" s="2038" t="s">
        <v>2106</v>
      </c>
      <c r="B25" s="2047">
        <v>439</v>
      </c>
      <c r="C25" s="2047">
        <v>327</v>
      </c>
      <c r="D25" s="2047">
        <f t="shared" si="2"/>
        <v>327</v>
      </c>
      <c r="E25" s="2047">
        <v>627</v>
      </c>
      <c r="F25" s="2048">
        <v>283</v>
      </c>
      <c r="G25" s="3500">
        <v>2017</v>
      </c>
      <c r="H25" s="2045">
        <v>4</v>
      </c>
      <c r="I25" s="2045">
        <v>1.71</v>
      </c>
      <c r="J25" s="2045">
        <v>1.78</v>
      </c>
      <c r="K25" s="2045">
        <v>1.71</v>
      </c>
      <c r="L25" s="2046">
        <v>1.43</v>
      </c>
      <c r="N25" s="2041">
        <f t="shared" si="15"/>
        <v>1.7100000000000001E-2</v>
      </c>
      <c r="O25" s="2026">
        <f t="shared" si="12"/>
        <v>1.78E-2</v>
      </c>
      <c r="P25" s="2026">
        <f t="shared" si="13"/>
        <v>1.7100000000000001E-2</v>
      </c>
      <c r="Q25" s="2026">
        <f t="shared" si="14"/>
        <v>1.43E-2</v>
      </c>
      <c r="R25" s="2042"/>
      <c r="S25" s="2051"/>
      <c r="T25" s="2052"/>
      <c r="U25" s="2052"/>
      <c r="V25" s="2052"/>
      <c r="X25" s="2025">
        <f>ROUND(SUMPRODUCT(PRODUCT(1+N25:N$39)),4)</f>
        <v>1.4274</v>
      </c>
      <c r="Y25" s="2025">
        <f>ROUND(SUMPRODUCT(PRODUCT(1+O25:O$39)),4)</f>
        <v>1.2685</v>
      </c>
      <c r="Z25" s="2025">
        <f t="shared" si="9"/>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0"/>
        <v>1.6500000000000001E-2</v>
      </c>
      <c r="AG25" s="2026">
        <f>ROUND(AVERAGE(K25:K$40)/100,4)</f>
        <v>2.7099999999999999E-2</v>
      </c>
      <c r="AH25" s="2026">
        <f>ROUND(AVERAGE(L25:L$40)/100,4)</f>
        <v>1.3899999999999999E-2</v>
      </c>
    </row>
    <row r="26" spans="1:34" s="2043" customFormat="1" ht="14.45" customHeight="1">
      <c r="A26" s="2038" t="s">
        <v>2107</v>
      </c>
      <c r="B26" s="2039">
        <f t="shared" ref="B26:C28" si="16">B27*(1+N26)</f>
        <v>431.80730811680002</v>
      </c>
      <c r="C26" s="2039">
        <f t="shared" si="16"/>
        <v>320.57880516480003</v>
      </c>
      <c r="D26" s="2039">
        <f t="shared" si="2"/>
        <v>320.57880516480003</v>
      </c>
      <c r="E26" s="2039">
        <f t="shared" ref="E26:F28" si="17">E27*(1+P26)</f>
        <v>615.96110553196797</v>
      </c>
      <c r="F26" s="2039">
        <f t="shared" si="17"/>
        <v>279.46777300108801</v>
      </c>
      <c r="G26" s="3497"/>
      <c r="H26" s="2040">
        <v>3</v>
      </c>
      <c r="I26" s="2040">
        <v>2.98</v>
      </c>
      <c r="J26" s="2040">
        <v>2.11</v>
      </c>
      <c r="K26" s="2040">
        <v>3.24</v>
      </c>
      <c r="L26" s="2044">
        <v>1.72</v>
      </c>
      <c r="M26" s="2025"/>
      <c r="N26" s="2041">
        <f t="shared" si="15"/>
        <v>2.98E-2</v>
      </c>
      <c r="O26" s="2026">
        <f t="shared" si="12"/>
        <v>2.1099999999999997E-2</v>
      </c>
      <c r="P26" s="2026">
        <f t="shared" si="13"/>
        <v>3.2400000000000005E-2</v>
      </c>
      <c r="Q26" s="2026">
        <f t="shared" si="14"/>
        <v>1.72E-2</v>
      </c>
      <c r="R26" s="2042"/>
      <c r="S26" s="2041"/>
      <c r="T26" s="2026"/>
      <c r="U26" s="2026"/>
      <c r="V26" s="2026"/>
      <c r="W26" s="2025"/>
      <c r="X26" s="2025">
        <f>ROUND(SUMPRODUCT(PRODUCT(1+N26:N$39)),4)</f>
        <v>1.4034</v>
      </c>
      <c r="Y26" s="2025">
        <f>ROUND(SUMPRODUCT(PRODUCT(1+O26:O$39)),4)</f>
        <v>1.2463</v>
      </c>
      <c r="Z26" s="2025">
        <f t="shared" si="9"/>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0"/>
        <v>1.6400000000000001E-2</v>
      </c>
      <c r="AG26" s="2026">
        <f>ROUND(AVERAGE(K26:K$40)/100,4)</f>
        <v>2.7799999999999998E-2</v>
      </c>
      <c r="AH26" s="2026">
        <f>ROUND(AVERAGE(L26:L$40)/100,4)</f>
        <v>1.3899999999999999E-2</v>
      </c>
    </row>
    <row r="27" spans="1:34" s="2032" customFormat="1" ht="14.45" customHeight="1">
      <c r="A27" s="2038" t="s">
        <v>677</v>
      </c>
      <c r="B27" s="2039">
        <f t="shared" si="16"/>
        <v>419.31181600000002</v>
      </c>
      <c r="C27" s="2039">
        <f t="shared" si="16"/>
        <v>313.95436800000004</v>
      </c>
      <c r="D27" s="2039">
        <f t="shared" si="2"/>
        <v>313.95436800000004</v>
      </c>
      <c r="E27" s="2039">
        <f t="shared" si="17"/>
        <v>596.63028431999999</v>
      </c>
      <c r="F27" s="2039">
        <f t="shared" si="17"/>
        <v>274.74220703999998</v>
      </c>
      <c r="G27" s="3497"/>
      <c r="H27" s="2049">
        <v>2</v>
      </c>
      <c r="I27" s="2049">
        <v>3.4</v>
      </c>
      <c r="J27" s="2049">
        <v>2</v>
      </c>
      <c r="K27" s="2049">
        <v>3.82</v>
      </c>
      <c r="L27" s="2050">
        <v>1.68</v>
      </c>
      <c r="M27" s="2025"/>
      <c r="N27" s="2041">
        <f t="shared" si="15"/>
        <v>3.4000000000000002E-2</v>
      </c>
      <c r="O27" s="2026">
        <f t="shared" si="12"/>
        <v>0.02</v>
      </c>
      <c r="P27" s="2026">
        <f t="shared" si="13"/>
        <v>3.8199999999999998E-2</v>
      </c>
      <c r="Q27" s="2026">
        <f t="shared" si="14"/>
        <v>1.6799999999999999E-2</v>
      </c>
      <c r="R27" s="2042"/>
      <c r="S27" s="2051"/>
      <c r="T27" s="2052"/>
      <c r="U27" s="2052"/>
      <c r="V27" s="2052"/>
      <c r="W27" s="2007"/>
      <c r="X27" s="2025">
        <f>ROUND(SUMPRODUCT(PRODUCT(1+N27:N$39)),4)</f>
        <v>1.3628</v>
      </c>
      <c r="Y27" s="2025">
        <f>ROUND(SUMPRODUCT(PRODUCT(1+O27:O$39)),4)</f>
        <v>1.2205999999999999</v>
      </c>
      <c r="Z27" s="2025">
        <f t="shared" si="9"/>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0"/>
        <v>1.6E-2</v>
      </c>
      <c r="AG27" s="2026">
        <f>ROUND(AVERAGE(K27:K$40)/100,4)</f>
        <v>2.75E-2</v>
      </c>
      <c r="AH27" s="2026">
        <f>ROUND(AVERAGE(L27:L$40)/100,4)</f>
        <v>1.37E-2</v>
      </c>
    </row>
    <row r="28" spans="1:34" s="2043" customFormat="1" ht="15" customHeight="1" thickBot="1">
      <c r="A28" s="2038" t="s">
        <v>463</v>
      </c>
      <c r="B28" s="2039">
        <f t="shared" si="16"/>
        <v>405.524</v>
      </c>
      <c r="C28" s="2039">
        <f t="shared" si="16"/>
        <v>307.79840000000002</v>
      </c>
      <c r="D28" s="2039">
        <f t="shared" si="2"/>
        <v>307.79840000000002</v>
      </c>
      <c r="E28" s="2039">
        <f t="shared" si="17"/>
        <v>574.67759999999998</v>
      </c>
      <c r="F28" s="2039">
        <f t="shared" si="17"/>
        <v>270.20280000000002</v>
      </c>
      <c r="G28" s="3504"/>
      <c r="H28" s="2040">
        <v>1</v>
      </c>
      <c r="I28" s="2040">
        <v>3.45</v>
      </c>
      <c r="J28" s="2040">
        <v>1.92</v>
      </c>
      <c r="K28" s="2040">
        <v>3.92</v>
      </c>
      <c r="L28" s="2044">
        <v>1.58</v>
      </c>
      <c r="M28" s="2025"/>
      <c r="N28" s="2041">
        <f t="shared" si="15"/>
        <v>3.4500000000000003E-2</v>
      </c>
      <c r="O28" s="2026">
        <f t="shared" ref="O28:Q43" si="18">J28/100</f>
        <v>1.9199999999999998E-2</v>
      </c>
      <c r="P28" s="2026">
        <f t="shared" si="18"/>
        <v>3.9199999999999999E-2</v>
      </c>
      <c r="Q28" s="2026">
        <f t="shared" si="18"/>
        <v>1.5800000000000002E-2</v>
      </c>
      <c r="R28" s="2042"/>
      <c r="S28" s="2041">
        <f>B28/B29-1</f>
        <v>3.4499999999999975E-2</v>
      </c>
      <c r="T28" s="2026">
        <f>C28/C29-1</f>
        <v>1.9200000000000106E-2</v>
      </c>
      <c r="U28" s="2026">
        <f>D28/D29-1</f>
        <v>1.9200000000000106E-2</v>
      </c>
      <c r="V28" s="2026">
        <f>E28/E29-1</f>
        <v>3.9199999999999902E-2</v>
      </c>
      <c r="W28" s="2025"/>
      <c r="X28" s="2025">
        <f>ROUND(SUMPRODUCT(PRODUCT(1+N28:N$39)),4)</f>
        <v>1.3180000000000001</v>
      </c>
      <c r="Y28" s="2025">
        <f>ROUND(SUMPRODUCT(PRODUCT(1+O28:O$39)),4)</f>
        <v>1.1966000000000001</v>
      </c>
      <c r="Z28" s="2025">
        <f t="shared" si="9"/>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0"/>
        <v>1.5699999999999999E-2</v>
      </c>
      <c r="AG28" s="2026">
        <f>ROUND(AVERAGE(K28:K$40)/100,4)</f>
        <v>2.6599999999999999E-2</v>
      </c>
      <c r="AH28" s="2026">
        <f>ROUND(AVERAGE(L28:L$40)/100,4)</f>
        <v>1.34E-2</v>
      </c>
    </row>
    <row r="29" spans="1:34">
      <c r="A29" s="2038" t="s">
        <v>127</v>
      </c>
      <c r="B29" s="2047">
        <v>392</v>
      </c>
      <c r="C29" s="2047">
        <v>302</v>
      </c>
      <c r="D29" s="2047">
        <f t="shared" si="2"/>
        <v>302</v>
      </c>
      <c r="E29" s="2047">
        <v>553</v>
      </c>
      <c r="F29" s="2048">
        <v>266</v>
      </c>
      <c r="G29" s="3500">
        <v>2016</v>
      </c>
      <c r="H29" s="2045">
        <v>4</v>
      </c>
      <c r="I29" s="2045">
        <v>4.5599999999999996</v>
      </c>
      <c r="J29" s="2045">
        <v>2.15</v>
      </c>
      <c r="K29" s="2045">
        <v>5.32</v>
      </c>
      <c r="L29" s="2046">
        <v>1.57</v>
      </c>
      <c r="N29" s="2041">
        <f t="shared" si="15"/>
        <v>4.5599999999999995E-2</v>
      </c>
      <c r="O29" s="2026">
        <f t="shared" si="18"/>
        <v>2.1499999999999998E-2</v>
      </c>
      <c r="P29" s="2026">
        <f t="shared" si="18"/>
        <v>5.3200000000000004E-2</v>
      </c>
      <c r="Q29" s="2026">
        <f t="shared" si="18"/>
        <v>1.5700000000000002E-2</v>
      </c>
      <c r="R29" s="2042"/>
      <c r="S29" s="2051"/>
      <c r="T29" s="2052"/>
      <c r="U29" s="2052"/>
      <c r="V29" s="2052"/>
      <c r="X29" s="2025">
        <f>ROUND(SUMPRODUCT(PRODUCT(1+N29:N$39)),4)</f>
        <v>1.274</v>
      </c>
      <c r="Y29" s="2025">
        <f>ROUND(SUMPRODUCT(PRODUCT(1+O29:O$39)),4)</f>
        <v>1.1740999999999999</v>
      </c>
      <c r="Z29" s="2025">
        <f t="shared" si="9"/>
        <v>1.1740999999999999</v>
      </c>
      <c r="AA29" s="2025">
        <f>ROUND(SUMPRODUCT(PRODUCT(1+P29:P$39)),4)</f>
        <v>1.3087</v>
      </c>
      <c r="AB29" s="2025">
        <f>ROUND(SUMPRODUCT(PRODUCT(1+Q29:Q$39)),4)</f>
        <v>1.1551</v>
      </c>
      <c r="AD29" s="2026">
        <f>ROUND(AVERAGE(I29:I$40)/100,4)</f>
        <v>2.3E-2</v>
      </c>
      <c r="AE29" s="2026">
        <f>ROUND(AVERAGE(J29:J$40)/100,4)</f>
        <v>1.55E-2</v>
      </c>
      <c r="AF29" s="2026">
        <f t="shared" si="10"/>
        <v>1.55E-2</v>
      </c>
      <c r="AG29" s="2026">
        <f>ROUND(AVERAGE(K29:K$40)/100,4)</f>
        <v>2.5600000000000001E-2</v>
      </c>
      <c r="AH29" s="2026">
        <f>ROUND(AVERAGE(L29:L$40)/100,4)</f>
        <v>1.32E-2</v>
      </c>
    </row>
    <row r="30" spans="1:34">
      <c r="A30" s="2038" t="s">
        <v>126</v>
      </c>
      <c r="B30" s="2039">
        <f t="shared" ref="B30:C32" si="19">B29/(1+N29)</f>
        <v>374.90436113236416</v>
      </c>
      <c r="C30" s="2039">
        <f t="shared" si="19"/>
        <v>295.64366128242779</v>
      </c>
      <c r="D30" s="2039">
        <f t="shared" ref="D30:D89" si="20">C30</f>
        <v>295.64366128242779</v>
      </c>
      <c r="E30" s="2039">
        <f t="shared" ref="E30:F32" si="21">E29/(1+P29)</f>
        <v>525.06646410938095</v>
      </c>
      <c r="F30" s="2039">
        <f t="shared" si="21"/>
        <v>261.88835286009646</v>
      </c>
      <c r="G30" s="3497"/>
      <c r="H30" s="2040">
        <v>3</v>
      </c>
      <c r="I30" s="2040">
        <v>4.12</v>
      </c>
      <c r="J30" s="2040">
        <v>2</v>
      </c>
      <c r="K30" s="2040">
        <v>4.79</v>
      </c>
      <c r="L30" s="2044">
        <v>1.97</v>
      </c>
      <c r="N30" s="2041">
        <f t="shared" ref="N30:Q64" si="22">I30/100</f>
        <v>4.1200000000000001E-2</v>
      </c>
      <c r="O30" s="2026">
        <f t="shared" si="18"/>
        <v>0.02</v>
      </c>
      <c r="P30" s="2026">
        <f t="shared" si="18"/>
        <v>4.7899999999999998E-2</v>
      </c>
      <c r="Q30" s="2026">
        <f t="shared" si="18"/>
        <v>1.9699999999999999E-2</v>
      </c>
      <c r="R30" s="2042"/>
      <c r="S30" s="2041"/>
      <c r="T30" s="2026"/>
      <c r="U30" s="2026"/>
      <c r="V30" s="2026"/>
      <c r="X30" s="2025">
        <f>ROUND(SUMPRODUCT(PRODUCT(1+N30:N$39)),4)</f>
        <v>1.2184999999999999</v>
      </c>
      <c r="Y30" s="2025">
        <f>ROUND(SUMPRODUCT(PRODUCT(1+O30:O$39)),4)</f>
        <v>1.1494</v>
      </c>
      <c r="Z30" s="2025">
        <f t="shared" si="9"/>
        <v>1.1494</v>
      </c>
      <c r="AA30" s="2025">
        <f>ROUND(SUMPRODUCT(PRODUCT(1+P30:P$39)),4)</f>
        <v>1.2425999999999999</v>
      </c>
      <c r="AB30" s="2025">
        <f>ROUND(SUMPRODUCT(PRODUCT(1+Q30:Q$39)),4)</f>
        <v>1.1372</v>
      </c>
      <c r="AD30" s="2026">
        <f>ROUND(AVERAGE(I30:I$40)/100,4)</f>
        <v>2.0899999999999998E-2</v>
      </c>
      <c r="AE30" s="2026">
        <f>ROUND(AVERAGE(J30:J$40)/100,4)</f>
        <v>1.49E-2</v>
      </c>
      <c r="AF30" s="2026">
        <f t="shared" si="10"/>
        <v>1.49E-2</v>
      </c>
      <c r="AG30" s="2026">
        <f>ROUND(AVERAGE(K30:K$40)/100,4)</f>
        <v>2.3099999999999999E-2</v>
      </c>
      <c r="AH30" s="2026">
        <f>ROUND(AVERAGE(L30:L$40)/100,4)</f>
        <v>1.2999999999999999E-2</v>
      </c>
    </row>
    <row r="31" spans="1:34">
      <c r="A31" s="2038" t="s">
        <v>116</v>
      </c>
      <c r="B31" s="2039">
        <f t="shared" si="19"/>
        <v>360.06949782209392</v>
      </c>
      <c r="C31" s="2039">
        <f t="shared" si="19"/>
        <v>289.84672674747821</v>
      </c>
      <c r="D31" s="2039">
        <f t="shared" si="20"/>
        <v>289.84672674747821</v>
      </c>
      <c r="E31" s="2039">
        <f t="shared" si="21"/>
        <v>501.06543001181495</v>
      </c>
      <c r="F31" s="2039">
        <f t="shared" si="21"/>
        <v>256.82882500744967</v>
      </c>
      <c r="G31" s="3497"/>
      <c r="H31" s="2049">
        <v>2</v>
      </c>
      <c r="I31" s="2049">
        <v>3.85</v>
      </c>
      <c r="J31" s="2049">
        <v>1.95</v>
      </c>
      <c r="K31" s="2049">
        <v>4.4800000000000004</v>
      </c>
      <c r="L31" s="2050">
        <v>1.41</v>
      </c>
      <c r="N31" s="2041">
        <f t="shared" si="22"/>
        <v>3.85E-2</v>
      </c>
      <c r="O31" s="2026">
        <f t="shared" si="18"/>
        <v>1.95E-2</v>
      </c>
      <c r="P31" s="2026">
        <f t="shared" si="18"/>
        <v>4.4800000000000006E-2</v>
      </c>
      <c r="Q31" s="2026">
        <f t="shared" si="18"/>
        <v>1.41E-2</v>
      </c>
      <c r="R31" s="2042"/>
      <c r="S31" s="2041"/>
      <c r="T31" s="2026"/>
      <c r="U31" s="2026"/>
      <c r="V31" s="2026"/>
      <c r="X31" s="2025">
        <f>ROUND(SUMPRODUCT(PRODUCT(1+N31:N$39)),4)</f>
        <v>1.1702999999999999</v>
      </c>
      <c r="Y31" s="2025">
        <f>ROUND(SUMPRODUCT(PRODUCT(1+O31:O$39)),4)</f>
        <v>1.1269</v>
      </c>
      <c r="Z31" s="2025">
        <f t="shared" si="9"/>
        <v>1.1269</v>
      </c>
      <c r="AA31" s="2025">
        <f>ROUND(SUMPRODUCT(PRODUCT(1+P31:P$39)),4)</f>
        <v>1.1858</v>
      </c>
      <c r="AB31" s="2025">
        <f>ROUND(SUMPRODUCT(PRODUCT(1+Q31:Q$39)),4)</f>
        <v>1.1152</v>
      </c>
      <c r="AD31" s="2026">
        <f>ROUND(AVERAGE(I31:I$40)/100,4)</f>
        <v>1.89E-2</v>
      </c>
      <c r="AE31" s="2026">
        <f>ROUND(AVERAGE(J31:J$40)/100,4)</f>
        <v>1.44E-2</v>
      </c>
      <c r="AF31" s="2026">
        <f t="shared" si="10"/>
        <v>1.44E-2</v>
      </c>
      <c r="AG31" s="2026">
        <f>ROUND(AVERAGE(K31:K$40)/100,4)</f>
        <v>2.06E-2</v>
      </c>
      <c r="AH31" s="2026">
        <f>ROUND(AVERAGE(L31:L$40)/100,4)</f>
        <v>1.23E-2</v>
      </c>
    </row>
    <row r="32" spans="1:34" ht="13.5" thickBot="1">
      <c r="A32" s="2038" t="s">
        <v>125</v>
      </c>
      <c r="B32" s="2039">
        <f t="shared" si="19"/>
        <v>346.720748986128</v>
      </c>
      <c r="C32" s="2039">
        <f t="shared" si="19"/>
        <v>284.30282172386285</v>
      </c>
      <c r="D32" s="2039">
        <f t="shared" si="20"/>
        <v>284.30282172386285</v>
      </c>
      <c r="E32" s="2039">
        <f t="shared" si="21"/>
        <v>479.58023546306947</v>
      </c>
      <c r="F32" s="2039">
        <f t="shared" si="21"/>
        <v>253.25788877571213</v>
      </c>
      <c r="G32" s="3498"/>
      <c r="H32" s="2040">
        <v>1</v>
      </c>
      <c r="I32" s="2040">
        <v>4.09</v>
      </c>
      <c r="J32" s="2040">
        <v>2.93</v>
      </c>
      <c r="K32" s="2040">
        <v>4.54</v>
      </c>
      <c r="L32" s="2044">
        <v>1.48</v>
      </c>
      <c r="N32" s="2041">
        <f t="shared" si="22"/>
        <v>4.0899999999999999E-2</v>
      </c>
      <c r="O32" s="2026">
        <f t="shared" si="18"/>
        <v>2.9300000000000003E-2</v>
      </c>
      <c r="P32" s="2026">
        <f t="shared" si="18"/>
        <v>4.5400000000000003E-2</v>
      </c>
      <c r="Q32" s="2026">
        <f t="shared" si="18"/>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9"/>
        <v>1.1052999999999999</v>
      </c>
      <c r="AA32" s="2025">
        <f>ROUND(SUMPRODUCT(PRODUCT(1+P32:P$39)),4)</f>
        <v>1.1349</v>
      </c>
      <c r="AB32" s="2025">
        <f>ROUND(SUMPRODUCT(PRODUCT(1+Q32:Q$39)),4)</f>
        <v>1.0996999999999999</v>
      </c>
      <c r="AD32" s="2026">
        <f>ROUND(AVERAGE(I32:I$40)/100,4)</f>
        <v>1.67E-2</v>
      </c>
      <c r="AE32" s="2026">
        <f>ROUND(AVERAGE(J32:J$40)/100,4)</f>
        <v>1.38E-2</v>
      </c>
      <c r="AF32" s="2026">
        <f t="shared" si="10"/>
        <v>1.38E-2</v>
      </c>
      <c r="AG32" s="2026">
        <f>ROUND(AVERAGE(K32:K$40)/100,4)</f>
        <v>1.7899999999999999E-2</v>
      </c>
      <c r="AH32" s="2026">
        <f>ROUND(AVERAGE(L32:L$40)/100,4)</f>
        <v>1.21E-2</v>
      </c>
    </row>
    <row r="33" spans="1:34" ht="13.5" thickBot="1">
      <c r="A33" s="2038" t="s">
        <v>124</v>
      </c>
      <c r="B33" s="2047">
        <v>333</v>
      </c>
      <c r="C33" s="2047">
        <v>277</v>
      </c>
      <c r="D33" s="2047">
        <f t="shared" si="20"/>
        <v>277</v>
      </c>
      <c r="E33" s="2047">
        <v>459</v>
      </c>
      <c r="F33" s="2048">
        <v>249</v>
      </c>
      <c r="G33" s="3496">
        <v>2015</v>
      </c>
      <c r="H33" s="2055">
        <v>4</v>
      </c>
      <c r="I33" s="2055">
        <v>1.63</v>
      </c>
      <c r="J33" s="2055">
        <v>1.1100000000000001</v>
      </c>
      <c r="K33" s="2055">
        <v>1.77</v>
      </c>
      <c r="L33" s="2056">
        <v>1.89</v>
      </c>
      <c r="N33" s="2057">
        <f t="shared" si="22"/>
        <v>1.6299999999999999E-2</v>
      </c>
      <c r="O33" s="2058">
        <f t="shared" si="18"/>
        <v>1.11E-2</v>
      </c>
      <c r="P33" s="2058">
        <f t="shared" si="18"/>
        <v>1.77E-2</v>
      </c>
      <c r="Q33" s="2058">
        <f t="shared" si="18"/>
        <v>1.89E-2</v>
      </c>
      <c r="R33" s="2042"/>
      <c r="X33" s="2025">
        <f>ROUND(SUMPRODUCT(PRODUCT(1+N33:N$39)),4)</f>
        <v>1.0826</v>
      </c>
      <c r="Y33" s="2025">
        <f>ROUND(SUMPRODUCT(PRODUCT(1+O33:O$39)),4)</f>
        <v>1.0738000000000001</v>
      </c>
      <c r="Z33" s="2025">
        <f t="shared" si="9"/>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0"/>
        <v>1.1900000000000001E-2</v>
      </c>
      <c r="AG33" s="2026">
        <f>ROUND(AVERAGE(K33:K$40)/100,4)</f>
        <v>1.4500000000000001E-2</v>
      </c>
      <c r="AH33" s="2026">
        <f>ROUND(AVERAGE(L33:L$40)/100,4)</f>
        <v>1.18E-2</v>
      </c>
    </row>
    <row r="34" spans="1:34">
      <c r="A34" s="2038" t="s">
        <v>123</v>
      </c>
      <c r="B34" s="2039">
        <f t="shared" ref="B34:C36" si="23">B33/(1+N33)</f>
        <v>327.65915576109415</v>
      </c>
      <c r="C34" s="2039">
        <f t="shared" si="23"/>
        <v>273.95905449510434</v>
      </c>
      <c r="D34" s="2039">
        <f t="shared" si="20"/>
        <v>273.95905449510434</v>
      </c>
      <c r="E34" s="2039">
        <f t="shared" ref="E34:F36" si="24">E33/(1+P33)</f>
        <v>451.01699911565294</v>
      </c>
      <c r="F34" s="2039">
        <f t="shared" si="24"/>
        <v>244.38119540681129</v>
      </c>
      <c r="G34" s="3497"/>
      <c r="H34" s="2060">
        <v>3</v>
      </c>
      <c r="I34" s="2060">
        <v>1.65</v>
      </c>
      <c r="J34" s="2060">
        <v>0.92</v>
      </c>
      <c r="K34" s="2060">
        <v>1.88</v>
      </c>
      <c r="L34" s="2061">
        <v>1.26</v>
      </c>
      <c r="N34" s="2041">
        <f t="shared" si="22"/>
        <v>1.6500000000000001E-2</v>
      </c>
      <c r="O34" s="2026">
        <f t="shared" si="18"/>
        <v>9.1999999999999998E-3</v>
      </c>
      <c r="P34" s="2026">
        <f t="shared" si="18"/>
        <v>1.8799999999999997E-2</v>
      </c>
      <c r="Q34" s="2026">
        <f t="shared" si="18"/>
        <v>1.26E-2</v>
      </c>
      <c r="R34" s="2042"/>
      <c r="S34" s="2041"/>
      <c r="T34" s="2026"/>
      <c r="U34" s="2026"/>
      <c r="V34" s="2026"/>
      <c r="X34" s="2025">
        <f>ROUND(SUMPRODUCT(PRODUCT(1+N34:N$39)),4)</f>
        <v>1.0651999999999999</v>
      </c>
      <c r="Y34" s="2025">
        <f>ROUND(SUMPRODUCT(PRODUCT(1+O34:O$39)),4)</f>
        <v>1.0621</v>
      </c>
      <c r="Z34" s="2025">
        <f t="shared" si="9"/>
        <v>1.0621</v>
      </c>
      <c r="AA34" s="2025">
        <f>ROUND(SUMPRODUCT(PRODUCT(1+P34:P$39)),4)</f>
        <v>1.0668</v>
      </c>
      <c r="AB34" s="2025">
        <f>ROUND(SUMPRODUCT(PRODUCT(1+Q34:Q$39)),4)</f>
        <v>1.0636000000000001</v>
      </c>
      <c r="AD34" s="2026">
        <f>ROUND(AVERAGE(I34:I$40)/100,4)</f>
        <v>1.3299999999999999E-2</v>
      </c>
      <c r="AE34" s="2026">
        <f>ROUND(AVERAGE(J34:J$40)/100,4)</f>
        <v>1.2E-2</v>
      </c>
      <c r="AF34" s="2026">
        <f t="shared" si="10"/>
        <v>1.2E-2</v>
      </c>
      <c r="AG34" s="2026">
        <f>ROUND(AVERAGE(K34:K$40)/100,4)</f>
        <v>1.4E-2</v>
      </c>
      <c r="AH34" s="2026">
        <f>ROUND(AVERAGE(L34:L$40)/100,4)</f>
        <v>1.0800000000000001E-2</v>
      </c>
    </row>
    <row r="35" spans="1:34">
      <c r="A35" s="2038" t="s">
        <v>122</v>
      </c>
      <c r="B35" s="2039">
        <f t="shared" si="23"/>
        <v>322.34053690220776</v>
      </c>
      <c r="C35" s="2039">
        <f t="shared" si="23"/>
        <v>271.46160770422546</v>
      </c>
      <c r="D35" s="2039">
        <f t="shared" si="20"/>
        <v>271.46160770422546</v>
      </c>
      <c r="E35" s="2039">
        <f t="shared" si="24"/>
        <v>442.69434542172456</v>
      </c>
      <c r="F35" s="2039">
        <f t="shared" si="24"/>
        <v>241.34030753190925</v>
      </c>
      <c r="G35" s="3497"/>
      <c r="H35" s="2049">
        <v>2</v>
      </c>
      <c r="I35" s="2049">
        <v>0.77</v>
      </c>
      <c r="J35" s="2049">
        <v>0.69</v>
      </c>
      <c r="K35" s="2049">
        <v>0.8</v>
      </c>
      <c r="L35" s="2050">
        <v>0.88</v>
      </c>
      <c r="N35" s="2041">
        <f t="shared" si="22"/>
        <v>7.7000000000000002E-3</v>
      </c>
      <c r="O35" s="2026">
        <f t="shared" si="18"/>
        <v>6.8999999999999999E-3</v>
      </c>
      <c r="P35" s="2026">
        <f t="shared" si="18"/>
        <v>8.0000000000000002E-3</v>
      </c>
      <c r="Q35" s="2026">
        <f t="shared" si="18"/>
        <v>8.8000000000000005E-3</v>
      </c>
      <c r="R35" s="2042"/>
      <c r="S35" s="2041"/>
      <c r="T35" s="2026"/>
      <c r="U35" s="2026"/>
      <c r="V35" s="2026"/>
      <c r="X35" s="2025">
        <f>ROUND(SUMPRODUCT(PRODUCT(1+N35:N$39)),4)</f>
        <v>1.048</v>
      </c>
      <c r="Y35" s="2025">
        <f>ROUND(SUMPRODUCT(PRODUCT(1+O35:O$39)),4)</f>
        <v>1.0524</v>
      </c>
      <c r="Z35" s="2025">
        <f t="shared" si="9"/>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0"/>
        <v>1.2500000000000001E-2</v>
      </c>
      <c r="AG35" s="2026">
        <f>ROUND(AVERAGE(K35:K$40)/100,4)</f>
        <v>1.32E-2</v>
      </c>
      <c r="AH35" s="2026">
        <f>ROUND(AVERAGE(L35:L$40)/100,4)</f>
        <v>1.0500000000000001E-2</v>
      </c>
    </row>
    <row r="36" spans="1:34">
      <c r="A36" s="2038" t="s">
        <v>121</v>
      </c>
      <c r="B36" s="2039">
        <f t="shared" si="23"/>
        <v>319.87748030386797</v>
      </c>
      <c r="C36" s="2039">
        <f t="shared" si="23"/>
        <v>269.60135833173649</v>
      </c>
      <c r="D36" s="2039">
        <f t="shared" si="20"/>
        <v>269.60135833173649</v>
      </c>
      <c r="E36" s="2039">
        <f t="shared" si="24"/>
        <v>439.18089823583784</v>
      </c>
      <c r="F36" s="2039">
        <f t="shared" si="24"/>
        <v>239.23503918706311</v>
      </c>
      <c r="G36" s="3498"/>
      <c r="H36" s="2040">
        <v>1</v>
      </c>
      <c r="I36" s="2040">
        <v>0.51</v>
      </c>
      <c r="J36" s="2040">
        <v>0.54</v>
      </c>
      <c r="K36" s="2040">
        <v>0.48</v>
      </c>
      <c r="L36" s="2044">
        <v>0.93</v>
      </c>
      <c r="N36" s="2053">
        <f t="shared" si="22"/>
        <v>5.1000000000000004E-3</v>
      </c>
      <c r="O36" s="2054">
        <f t="shared" si="18"/>
        <v>5.4000000000000003E-3</v>
      </c>
      <c r="P36" s="2054">
        <f t="shared" si="18"/>
        <v>4.7999999999999996E-3</v>
      </c>
      <c r="Q36" s="2054">
        <f t="shared" si="18"/>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9"/>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0"/>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0"/>
        <v>268</v>
      </c>
      <c r="E37" s="2062">
        <v>437</v>
      </c>
      <c r="F37" s="2063">
        <v>237</v>
      </c>
      <c r="G37" s="3496">
        <v>2014</v>
      </c>
      <c r="H37" s="2055">
        <v>4</v>
      </c>
      <c r="I37" s="2055">
        <v>0.21</v>
      </c>
      <c r="J37" s="2055">
        <v>0.41</v>
      </c>
      <c r="K37" s="2055">
        <v>0.12</v>
      </c>
      <c r="L37" s="2056">
        <v>0.89</v>
      </c>
      <c r="N37" s="2041">
        <f t="shared" si="22"/>
        <v>2.0999999999999999E-3</v>
      </c>
      <c r="O37" s="2026">
        <f t="shared" si="18"/>
        <v>4.0999999999999995E-3</v>
      </c>
      <c r="P37" s="2026">
        <f t="shared" si="18"/>
        <v>1.1999999999999999E-3</v>
      </c>
      <c r="Q37" s="2026">
        <f t="shared" si="18"/>
        <v>8.8999999999999999E-3</v>
      </c>
      <c r="R37" s="2042"/>
      <c r="S37" s="2051"/>
      <c r="T37" s="2052"/>
      <c r="U37" s="2052"/>
      <c r="V37" s="2052"/>
      <c r="X37" s="2025">
        <f>ROUND(SUMPRODUCT(PRODUCT(1+N37:N$39)),4)</f>
        <v>1.0347</v>
      </c>
      <c r="Y37" s="2025">
        <f>ROUND(SUMPRODUCT(PRODUCT(1+O37:O$39)),4)</f>
        <v>1.0395000000000001</v>
      </c>
      <c r="Z37" s="2025">
        <f t="shared" si="9"/>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0"/>
        <v>1.5599999999999999E-2</v>
      </c>
      <c r="AG37" s="2026">
        <f>ROUND(AVERAGE(K37:K$40)/100,4)</f>
        <v>1.66E-2</v>
      </c>
      <c r="AH37" s="2026">
        <f>ROUND(AVERAGE(L37:L$40)/100,4)</f>
        <v>1.12E-2</v>
      </c>
    </row>
    <row r="38" spans="1:34">
      <c r="A38" s="2038" t="s">
        <v>119</v>
      </c>
      <c r="B38" s="2039">
        <f t="shared" ref="B38:C40" si="25">B37/(1+N37)</f>
        <v>317.33359944117353</v>
      </c>
      <c r="C38" s="2039">
        <f t="shared" si="25"/>
        <v>266.90568668459315</v>
      </c>
      <c r="D38" s="2039">
        <f t="shared" si="20"/>
        <v>266.90568668459315</v>
      </c>
      <c r="E38" s="2039">
        <f t="shared" ref="E38:F40" si="26">E37/(1+P37)</f>
        <v>436.47622852576905</v>
      </c>
      <c r="F38" s="2039">
        <f t="shared" si="26"/>
        <v>234.90930716622066</v>
      </c>
      <c r="G38" s="3497"/>
      <c r="H38" s="2064">
        <v>3</v>
      </c>
      <c r="I38" s="2064">
        <v>0.83</v>
      </c>
      <c r="J38" s="2064">
        <v>1.47</v>
      </c>
      <c r="K38" s="2064">
        <v>0.65</v>
      </c>
      <c r="L38" s="2065">
        <v>0.72</v>
      </c>
      <c r="N38" s="2041">
        <f t="shared" si="22"/>
        <v>8.3000000000000001E-3</v>
      </c>
      <c r="O38" s="2026">
        <f t="shared" si="18"/>
        <v>1.47E-2</v>
      </c>
      <c r="P38" s="2026">
        <f t="shared" si="18"/>
        <v>6.5000000000000006E-3</v>
      </c>
      <c r="Q38" s="2026">
        <f t="shared" si="18"/>
        <v>7.1999999999999998E-3</v>
      </c>
      <c r="R38" s="2042"/>
      <c r="S38" s="2041"/>
      <c r="T38" s="2026"/>
      <c r="U38" s="2026"/>
      <c r="V38" s="2026"/>
      <c r="X38" s="2025">
        <f>ROUND(SUMPRODUCT(PRODUCT(1+N38:N$39)),4)</f>
        <v>1.0325</v>
      </c>
      <c r="Y38" s="2025">
        <f>ROUND(SUMPRODUCT(PRODUCT(1+O38:O$39)),4)</f>
        <v>1.0353000000000001</v>
      </c>
      <c r="Z38" s="2025">
        <f t="shared" si="9"/>
        <v>1.0353000000000001</v>
      </c>
      <c r="AA38" s="2025">
        <f>ROUND(SUMPRODUCT(PRODUCT(1+P38:P$39)),4)</f>
        <v>1.0326</v>
      </c>
      <c r="AB38" s="2025">
        <f>ROUND(SUMPRODUCT(PRODUCT(1+Q38:Q$39)),4)</f>
        <v>1.0225</v>
      </c>
      <c r="AD38" s="2026">
        <f>ROUND(AVERAGE(I38:I$40)/100,4)</f>
        <v>2.07E-2</v>
      </c>
      <c r="AE38" s="2026">
        <f>ROUND(AVERAGE(J38:J$40)/100,4)</f>
        <v>1.95E-2</v>
      </c>
      <c r="AF38" s="2026">
        <f t="shared" si="10"/>
        <v>1.95E-2</v>
      </c>
      <c r="AG38" s="2026">
        <f>ROUND(AVERAGE(K38:K$40)/100,4)</f>
        <v>2.1700000000000001E-2</v>
      </c>
      <c r="AH38" s="2026">
        <f>ROUND(AVERAGE(L38:L$40)/100,4)</f>
        <v>1.2E-2</v>
      </c>
    </row>
    <row r="39" spans="1:34" ht="13.5" thickBot="1">
      <c r="A39" s="2038" t="s">
        <v>118</v>
      </c>
      <c r="B39" s="2039">
        <f t="shared" si="25"/>
        <v>314.72141172386546</v>
      </c>
      <c r="C39" s="2039">
        <f t="shared" si="25"/>
        <v>263.03901319069001</v>
      </c>
      <c r="D39" s="2039">
        <f t="shared" si="20"/>
        <v>263.03901319069001</v>
      </c>
      <c r="E39" s="2039">
        <f t="shared" si="26"/>
        <v>433.65745506782821</v>
      </c>
      <c r="F39" s="2039">
        <f t="shared" si="26"/>
        <v>233.23005080045735</v>
      </c>
      <c r="G39" s="3497"/>
      <c r="H39" s="2055">
        <v>2</v>
      </c>
      <c r="I39" s="2055">
        <v>2.4</v>
      </c>
      <c r="J39" s="2055">
        <v>2.0299999999999998</v>
      </c>
      <c r="K39" s="2055">
        <v>2.59</v>
      </c>
      <c r="L39" s="2056">
        <v>1.52</v>
      </c>
      <c r="N39" s="2041">
        <f t="shared" si="22"/>
        <v>2.4E-2</v>
      </c>
      <c r="O39" s="2026">
        <f t="shared" si="18"/>
        <v>2.0299999999999999E-2</v>
      </c>
      <c r="P39" s="2026">
        <f t="shared" si="18"/>
        <v>2.5899999999999999E-2</v>
      </c>
      <c r="Q39" s="2026">
        <f t="shared" si="18"/>
        <v>1.52E-2</v>
      </c>
      <c r="R39" s="2042"/>
      <c r="S39" s="2041"/>
      <c r="T39" s="2026"/>
      <c r="U39" s="2026"/>
      <c r="V39" s="2026"/>
      <c r="X39" s="2025">
        <f>1+N39</f>
        <v>1.024</v>
      </c>
      <c r="Y39" s="2025">
        <f>1+O39</f>
        <v>1.0203</v>
      </c>
      <c r="Z39" s="2025">
        <f t="shared" si="9"/>
        <v>1.0203</v>
      </c>
      <c r="AA39" s="2025">
        <f>1+P39</f>
        <v>1.0259</v>
      </c>
      <c r="AB39" s="2025">
        <f>1+Q39</f>
        <v>1.0152000000000001</v>
      </c>
      <c r="AD39" s="2026">
        <f>ROUND(AVERAGE(I39:I$40)/100,4)</f>
        <v>2.69E-2</v>
      </c>
      <c r="AE39" s="2026">
        <f>ROUND(AVERAGE(J39:J$40)/100,4)</f>
        <v>2.1899999999999999E-2</v>
      </c>
      <c r="AF39" s="2026">
        <f t="shared" si="10"/>
        <v>2.1899999999999999E-2</v>
      </c>
      <c r="AG39" s="2026">
        <f>ROUND(AVERAGE(K39:K$40)/100,4)</f>
        <v>2.9399999999999999E-2</v>
      </c>
      <c r="AH39" s="2026">
        <f>ROUND(AVERAGE(L39:L$40)/100,4)</f>
        <v>1.44E-2</v>
      </c>
    </row>
    <row r="40" spans="1:34" s="2070" customFormat="1" ht="13.5" thickBot="1">
      <c r="A40" s="2066" t="s">
        <v>117</v>
      </c>
      <c r="B40" s="2067">
        <f t="shared" si="25"/>
        <v>307.34512863658733</v>
      </c>
      <c r="C40" s="2067">
        <f t="shared" si="25"/>
        <v>257.80556031626975</v>
      </c>
      <c r="D40" s="2067">
        <f t="shared" si="20"/>
        <v>257.80556031626975</v>
      </c>
      <c r="E40" s="2067">
        <f t="shared" si="26"/>
        <v>422.70928459677179</v>
      </c>
      <c r="F40" s="2067">
        <f t="shared" si="26"/>
        <v>229.73803270336617</v>
      </c>
      <c r="G40" s="3498"/>
      <c r="H40" s="2068">
        <v>1</v>
      </c>
      <c r="I40" s="2068">
        <v>2.97</v>
      </c>
      <c r="J40" s="2068">
        <v>2.34</v>
      </c>
      <c r="K40" s="2068">
        <v>3.28</v>
      </c>
      <c r="L40" s="2069">
        <v>1.36</v>
      </c>
      <c r="N40" s="2071">
        <f t="shared" si="22"/>
        <v>2.9700000000000001E-2</v>
      </c>
      <c r="O40" s="2072">
        <f t="shared" si="18"/>
        <v>2.3399999999999997E-2</v>
      </c>
      <c r="P40" s="2072">
        <f t="shared" si="18"/>
        <v>3.2799999999999996E-2</v>
      </c>
      <c r="Q40" s="2072">
        <f t="shared" si="18"/>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 t="shared" si="10"/>
        <v>2.3399999999999997E-2</v>
      </c>
      <c r="AG40" s="2072">
        <f>K40/100</f>
        <v>3.2799999999999996E-2</v>
      </c>
      <c r="AH40" s="2072">
        <f>L40/100</f>
        <v>1.3600000000000001E-2</v>
      </c>
    </row>
    <row r="41" spans="1:34" ht="13.5" thickBot="1">
      <c r="A41" s="2038" t="s">
        <v>465</v>
      </c>
      <c r="B41" s="2047">
        <v>299</v>
      </c>
      <c r="C41" s="2047">
        <v>252</v>
      </c>
      <c r="D41" s="2047">
        <f t="shared" si="20"/>
        <v>252</v>
      </c>
      <c r="E41" s="2047">
        <v>409</v>
      </c>
      <c r="F41" s="2048">
        <v>227</v>
      </c>
      <c r="G41" s="3501">
        <v>2013</v>
      </c>
      <c r="H41" s="2077">
        <v>4</v>
      </c>
      <c r="I41" s="2077">
        <v>1.83</v>
      </c>
      <c r="J41" s="2077">
        <v>1.68</v>
      </c>
      <c r="K41" s="2077">
        <v>1.97</v>
      </c>
      <c r="L41" s="2078">
        <v>0.87</v>
      </c>
      <c r="N41" s="2057">
        <f t="shared" si="22"/>
        <v>1.83E-2</v>
      </c>
      <c r="O41" s="2058">
        <f t="shared" si="18"/>
        <v>1.6799999999999999E-2</v>
      </c>
      <c r="P41" s="2058">
        <f t="shared" si="18"/>
        <v>1.9699999999999999E-2</v>
      </c>
      <c r="Q41" s="2058">
        <f t="shared" si="18"/>
        <v>8.6999999999999994E-3</v>
      </c>
      <c r="R41" s="2042"/>
      <c r="S41" s="2051"/>
      <c r="T41" s="2052"/>
      <c r="U41" s="2052"/>
      <c r="V41" s="2052"/>
      <c r="X41" s="2052"/>
      <c r="Y41" s="2052"/>
      <c r="Z41" s="2052"/>
    </row>
    <row r="42" spans="1:34">
      <c r="A42" s="2038" t="s">
        <v>466</v>
      </c>
      <c r="B42" s="2039">
        <f t="shared" ref="B42:C44" si="27">B41/(1+N41)</f>
        <v>293.62663262299913</v>
      </c>
      <c r="C42" s="2039">
        <f t="shared" si="27"/>
        <v>247.83634933123525</v>
      </c>
      <c r="D42" s="2039">
        <f t="shared" si="20"/>
        <v>247.83634933123525</v>
      </c>
      <c r="E42" s="2039">
        <f t="shared" ref="E42:F44" si="28">E41/(1+P41)</f>
        <v>401.09836226341076</v>
      </c>
      <c r="F42" s="2039">
        <f t="shared" si="28"/>
        <v>225.04213343908003</v>
      </c>
      <c r="G42" s="3502"/>
      <c r="H42" s="2060">
        <v>3</v>
      </c>
      <c r="I42" s="2060">
        <v>1.86</v>
      </c>
      <c r="J42" s="2060">
        <v>1.72</v>
      </c>
      <c r="K42" s="2060">
        <v>1.98</v>
      </c>
      <c r="L42" s="2061">
        <v>0.88</v>
      </c>
      <c r="N42" s="2041">
        <f t="shared" si="22"/>
        <v>1.8600000000000002E-2</v>
      </c>
      <c r="O42" s="2026">
        <f t="shared" si="18"/>
        <v>1.72E-2</v>
      </c>
      <c r="P42" s="2026">
        <f t="shared" si="18"/>
        <v>1.9799999999999998E-2</v>
      </c>
      <c r="Q42" s="2026">
        <f t="shared" si="18"/>
        <v>8.8000000000000005E-3</v>
      </c>
      <c r="R42" s="2042"/>
      <c r="S42" s="2041"/>
      <c r="T42" s="2026"/>
      <c r="U42" s="2026"/>
      <c r="V42" s="2026"/>
    </row>
    <row r="43" spans="1:34">
      <c r="A43" s="2038" t="s">
        <v>467</v>
      </c>
      <c r="B43" s="2039">
        <f t="shared" si="27"/>
        <v>288.2649053828776</v>
      </c>
      <c r="C43" s="2039">
        <f t="shared" si="27"/>
        <v>243.64564425013293</v>
      </c>
      <c r="D43" s="2039">
        <f t="shared" si="20"/>
        <v>243.64564425013293</v>
      </c>
      <c r="E43" s="2039">
        <f t="shared" si="28"/>
        <v>393.31080825986544</v>
      </c>
      <c r="F43" s="2039">
        <f t="shared" si="28"/>
        <v>223.07903790551154</v>
      </c>
      <c r="G43" s="3502"/>
      <c r="H43" s="2049">
        <v>2</v>
      </c>
      <c r="I43" s="2049">
        <v>2.04</v>
      </c>
      <c r="J43" s="2049">
        <v>2.33</v>
      </c>
      <c r="K43" s="2049">
        <v>2.0699999999999998</v>
      </c>
      <c r="L43" s="2050">
        <v>0.69</v>
      </c>
      <c r="N43" s="2041">
        <f t="shared" si="22"/>
        <v>2.0400000000000001E-2</v>
      </c>
      <c r="O43" s="2026">
        <f t="shared" si="18"/>
        <v>2.3300000000000001E-2</v>
      </c>
      <c r="P43" s="2026">
        <f t="shared" si="18"/>
        <v>2.07E-2</v>
      </c>
      <c r="Q43" s="2026">
        <f t="shared" si="18"/>
        <v>6.8999999999999999E-3</v>
      </c>
      <c r="R43" s="2042"/>
      <c r="S43" s="2041"/>
      <c r="T43" s="2026"/>
      <c r="U43" s="2026"/>
      <c r="V43" s="2026"/>
      <c r="X43" s="2079"/>
      <c r="Y43" s="2080"/>
    </row>
    <row r="44" spans="1:34">
      <c r="A44" s="2038" t="s">
        <v>468</v>
      </c>
      <c r="B44" s="2039">
        <f t="shared" si="27"/>
        <v>282.50186729015837</v>
      </c>
      <c r="C44" s="2039">
        <f t="shared" si="27"/>
        <v>238.09796174155468</v>
      </c>
      <c r="D44" s="2039">
        <f t="shared" si="20"/>
        <v>238.09796174155468</v>
      </c>
      <c r="E44" s="2039">
        <f t="shared" si="28"/>
        <v>385.33438646014054</v>
      </c>
      <c r="F44" s="2039">
        <f t="shared" si="28"/>
        <v>221.55034055567739</v>
      </c>
      <c r="G44" s="3503"/>
      <c r="H44" s="2040">
        <v>1</v>
      </c>
      <c r="I44" s="2040">
        <v>1.67</v>
      </c>
      <c r="J44" s="2040">
        <v>1.31</v>
      </c>
      <c r="K44" s="2040">
        <v>1.85</v>
      </c>
      <c r="L44" s="2044">
        <v>0.96</v>
      </c>
      <c r="N44" s="2053">
        <f t="shared" si="22"/>
        <v>1.67E-2</v>
      </c>
      <c r="O44" s="2054">
        <f t="shared" si="22"/>
        <v>1.3100000000000001E-2</v>
      </c>
      <c r="P44" s="2054">
        <f t="shared" si="22"/>
        <v>1.8500000000000003E-2</v>
      </c>
      <c r="Q44" s="2054">
        <f t="shared" si="22"/>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0"/>
        <v>234</v>
      </c>
      <c r="E45" s="2081">
        <v>379</v>
      </c>
      <c r="F45" s="2082">
        <v>220</v>
      </c>
      <c r="G45" s="3496">
        <v>2012</v>
      </c>
      <c r="H45" s="2055">
        <v>4</v>
      </c>
      <c r="I45" s="2055">
        <v>0.91</v>
      </c>
      <c r="J45" s="2055">
        <v>0.68</v>
      </c>
      <c r="K45" s="2055">
        <v>0.98</v>
      </c>
      <c r="L45" s="2056">
        <v>0.9</v>
      </c>
      <c r="N45" s="2041">
        <f t="shared" si="22"/>
        <v>9.1000000000000004E-3</v>
      </c>
      <c r="O45" s="2026">
        <f t="shared" si="22"/>
        <v>6.8000000000000005E-3</v>
      </c>
      <c r="P45" s="2026">
        <f t="shared" si="22"/>
        <v>9.7999999999999997E-3</v>
      </c>
      <c r="Q45" s="2026">
        <f t="shared" si="22"/>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0"/>
        <v>232.41954707985698</v>
      </c>
      <c r="E46" s="2039">
        <f t="shared" ref="E46:F48" si="29">E45/(1+P45)</f>
        <v>375.32184591008121</v>
      </c>
      <c r="F46" s="2039">
        <f t="shared" si="29"/>
        <v>218.03766105054513</v>
      </c>
      <c r="G46" s="3497"/>
      <c r="H46" s="2060">
        <v>3</v>
      </c>
      <c r="I46" s="2060">
        <v>0.09</v>
      </c>
      <c r="J46" s="2060">
        <v>0.28999999999999998</v>
      </c>
      <c r="K46" s="2060">
        <v>-0.01</v>
      </c>
      <c r="L46" s="2061">
        <v>0.57999999999999996</v>
      </c>
      <c r="N46" s="2041">
        <f t="shared" si="22"/>
        <v>8.9999999999999998E-4</v>
      </c>
      <c r="O46" s="2026">
        <f t="shared" si="22"/>
        <v>2.8999999999999998E-3</v>
      </c>
      <c r="P46" s="2026">
        <f t="shared" si="22"/>
        <v>-1E-4</v>
      </c>
      <c r="Q46" s="2026">
        <f t="shared" si="22"/>
        <v>5.7999999999999996E-3</v>
      </c>
      <c r="R46" s="2042"/>
      <c r="S46" s="2041"/>
      <c r="T46" s="2026"/>
      <c r="U46" s="2026"/>
      <c r="V46" s="2026"/>
    </row>
    <row r="47" spans="1:34">
      <c r="A47" s="2038" t="s">
        <v>471</v>
      </c>
      <c r="B47" s="2039">
        <f>B46/(1+N46)</f>
        <v>275.24529281292263</v>
      </c>
      <c r="C47" s="2039">
        <f>C46/(1+O46)</f>
        <v>231.74747938962707</v>
      </c>
      <c r="D47" s="2039">
        <f t="shared" si="20"/>
        <v>231.74747938962707</v>
      </c>
      <c r="E47" s="2039">
        <f t="shared" si="29"/>
        <v>375.35938184826603</v>
      </c>
      <c r="F47" s="2039">
        <f t="shared" si="29"/>
        <v>216.78033510692495</v>
      </c>
      <c r="G47" s="3497"/>
      <c r="H47" s="2049">
        <v>2</v>
      </c>
      <c r="I47" s="2049">
        <v>0.02</v>
      </c>
      <c r="J47" s="2049">
        <v>0.12</v>
      </c>
      <c r="K47" s="2049">
        <v>-0.08</v>
      </c>
      <c r="L47" s="2050">
        <v>1.24</v>
      </c>
      <c r="N47" s="2041">
        <f t="shared" si="22"/>
        <v>2.0000000000000001E-4</v>
      </c>
      <c r="O47" s="2026">
        <f t="shared" si="22"/>
        <v>1.1999999999999999E-3</v>
      </c>
      <c r="P47" s="2026">
        <f t="shared" si="22"/>
        <v>-8.0000000000000004E-4</v>
      </c>
      <c r="Q47" s="2026">
        <f t="shared" si="22"/>
        <v>1.24E-2</v>
      </c>
      <c r="R47" s="2042"/>
      <c r="S47" s="2041"/>
      <c r="T47" s="2026"/>
      <c r="U47" s="2026"/>
      <c r="V47" s="2026"/>
    </row>
    <row r="48" spans="1:34" ht="13.5" thickBot="1">
      <c r="A48" s="2038" t="s">
        <v>472</v>
      </c>
      <c r="B48" s="2039">
        <f>B47/(1+N47)</f>
        <v>275.19025476197027</v>
      </c>
      <c r="C48" s="2083">
        <v>232</v>
      </c>
      <c r="D48" s="2083">
        <f t="shared" si="20"/>
        <v>232</v>
      </c>
      <c r="E48" s="2039">
        <f t="shared" si="29"/>
        <v>375.65990977608692</v>
      </c>
      <c r="F48" s="2039">
        <f t="shared" si="29"/>
        <v>214.12518283971252</v>
      </c>
      <c r="G48" s="3498"/>
      <c r="H48" s="2040">
        <v>1</v>
      </c>
      <c r="I48" s="2040">
        <v>0.02</v>
      </c>
      <c r="J48" s="2040">
        <v>0.13</v>
      </c>
      <c r="K48" s="2040">
        <v>-0.04</v>
      </c>
      <c r="L48" s="2044">
        <v>0.46</v>
      </c>
      <c r="N48" s="2041">
        <f t="shared" si="22"/>
        <v>2.0000000000000001E-4</v>
      </c>
      <c r="O48" s="2026">
        <f t="shared" si="22"/>
        <v>1.2999999999999999E-3</v>
      </c>
      <c r="P48" s="2026">
        <f t="shared" si="22"/>
        <v>-4.0000000000000002E-4</v>
      </c>
      <c r="Q48" s="2026">
        <f t="shared" si="22"/>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0"/>
        <v>232</v>
      </c>
      <c r="E49" s="2047">
        <v>376</v>
      </c>
      <c r="F49" s="2048">
        <v>213</v>
      </c>
      <c r="G49" s="3496">
        <v>2011</v>
      </c>
      <c r="H49" s="2055">
        <v>4</v>
      </c>
      <c r="I49" s="2055">
        <v>-0.2</v>
      </c>
      <c r="J49" s="2055">
        <v>0.04</v>
      </c>
      <c r="K49" s="2055">
        <v>-0.34</v>
      </c>
      <c r="L49" s="2056">
        <v>0.46</v>
      </c>
      <c r="N49" s="2057">
        <f t="shared" si="22"/>
        <v>-2E-3</v>
      </c>
      <c r="O49" s="2058">
        <f t="shared" si="22"/>
        <v>4.0000000000000002E-4</v>
      </c>
      <c r="P49" s="2058">
        <f t="shared" si="22"/>
        <v>-3.4000000000000002E-3</v>
      </c>
      <c r="Q49" s="2058">
        <f t="shared" si="22"/>
        <v>4.5999999999999999E-3</v>
      </c>
      <c r="R49" s="2042"/>
      <c r="S49" s="2051"/>
      <c r="T49" s="2052"/>
      <c r="U49" s="2052"/>
      <c r="V49" s="2052"/>
      <c r="X49" s="2052"/>
      <c r="Y49" s="2052"/>
      <c r="Z49" s="2052"/>
    </row>
    <row r="50" spans="1:26">
      <c r="A50" s="2038" t="s">
        <v>474</v>
      </c>
      <c r="B50" s="2039">
        <f t="shared" ref="B50:C52" si="30">B49/(1+N49)</f>
        <v>275.55110220440883</v>
      </c>
      <c r="C50" s="2039">
        <f t="shared" si="30"/>
        <v>231.90723710515795</v>
      </c>
      <c r="D50" s="2039">
        <f t="shared" si="20"/>
        <v>231.90723710515795</v>
      </c>
      <c r="E50" s="2039">
        <f t="shared" ref="E50:F52" si="31">E49/(1+P49)</f>
        <v>377.28276138872161</v>
      </c>
      <c r="F50" s="2039">
        <f t="shared" si="31"/>
        <v>212.02468644236512</v>
      </c>
      <c r="G50" s="3497">
        <v>2011</v>
      </c>
      <c r="H50" s="2060">
        <v>3</v>
      </c>
      <c r="I50" s="2060">
        <v>0.13</v>
      </c>
      <c r="J50" s="2060">
        <v>0.75</v>
      </c>
      <c r="K50" s="2060">
        <v>-0.08</v>
      </c>
      <c r="L50" s="2061">
        <v>0.53</v>
      </c>
      <c r="N50" s="2041">
        <f t="shared" si="22"/>
        <v>1.2999999999999999E-3</v>
      </c>
      <c r="O50" s="2026">
        <f t="shared" si="22"/>
        <v>7.4999999999999997E-3</v>
      </c>
      <c r="P50" s="2026">
        <f t="shared" si="22"/>
        <v>-8.0000000000000004E-4</v>
      </c>
      <c r="Q50" s="2026">
        <f t="shared" si="22"/>
        <v>5.3E-3</v>
      </c>
      <c r="R50" s="2042"/>
      <c r="S50" s="2041"/>
      <c r="T50" s="2026"/>
      <c r="U50" s="2026"/>
      <c r="V50" s="2026"/>
    </row>
    <row r="51" spans="1:26">
      <c r="A51" s="2038" t="s">
        <v>475</v>
      </c>
      <c r="B51" s="2039">
        <f t="shared" si="30"/>
        <v>275.19335084830601</v>
      </c>
      <c r="C51" s="2039">
        <f t="shared" si="30"/>
        <v>230.18088050139744</v>
      </c>
      <c r="D51" s="2039">
        <f t="shared" si="20"/>
        <v>230.18088050139744</v>
      </c>
      <c r="E51" s="2039">
        <f t="shared" si="31"/>
        <v>377.58482925212331</v>
      </c>
      <c r="F51" s="2039">
        <f t="shared" si="31"/>
        <v>210.90687997847917</v>
      </c>
      <c r="G51" s="3497">
        <v>2011</v>
      </c>
      <c r="H51" s="2049">
        <v>2</v>
      </c>
      <c r="I51" s="2049">
        <v>-0.4</v>
      </c>
      <c r="J51" s="2049">
        <v>0.17</v>
      </c>
      <c r="K51" s="2049">
        <v>-0.57999999999999996</v>
      </c>
      <c r="L51" s="2050">
        <v>-0.2</v>
      </c>
      <c r="N51" s="2041">
        <f t="shared" si="22"/>
        <v>-4.0000000000000001E-3</v>
      </c>
      <c r="O51" s="2026">
        <f t="shared" si="22"/>
        <v>1.7000000000000001E-3</v>
      </c>
      <c r="P51" s="2026">
        <f t="shared" si="22"/>
        <v>-5.7999999999999996E-3</v>
      </c>
      <c r="Q51" s="2026">
        <f t="shared" si="22"/>
        <v>-2E-3</v>
      </c>
      <c r="R51" s="2042"/>
      <c r="S51" s="2041"/>
      <c r="T51" s="2026"/>
      <c r="U51" s="2026"/>
      <c r="V51" s="2026"/>
    </row>
    <row r="52" spans="1:26" ht="13.5" thickBot="1">
      <c r="A52" s="2038" t="s">
        <v>476</v>
      </c>
      <c r="B52" s="2039">
        <f t="shared" si="30"/>
        <v>276.29854502841971</v>
      </c>
      <c r="C52" s="2039">
        <f t="shared" si="30"/>
        <v>229.79023709833027</v>
      </c>
      <c r="D52" s="2039">
        <f t="shared" si="20"/>
        <v>229.79023709833027</v>
      </c>
      <c r="E52" s="2039">
        <f t="shared" si="31"/>
        <v>379.78759731655936</v>
      </c>
      <c r="F52" s="2039">
        <f t="shared" si="31"/>
        <v>211.32953905659235</v>
      </c>
      <c r="G52" s="3498">
        <v>2011</v>
      </c>
      <c r="H52" s="2040">
        <v>1</v>
      </c>
      <c r="I52" s="2040">
        <v>2.65</v>
      </c>
      <c r="J52" s="2040">
        <v>3.76</v>
      </c>
      <c r="K52" s="2040">
        <v>1.89</v>
      </c>
      <c r="L52" s="2044">
        <v>7.95</v>
      </c>
      <c r="N52" s="2053">
        <f t="shared" si="22"/>
        <v>2.6499999999999999E-2</v>
      </c>
      <c r="O52" s="2054">
        <f t="shared" si="22"/>
        <v>3.7599999999999995E-2</v>
      </c>
      <c r="P52" s="2054">
        <f t="shared" si="22"/>
        <v>1.89E-2</v>
      </c>
      <c r="Q52" s="2054">
        <f t="shared" si="22"/>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0"/>
        <v>221</v>
      </c>
      <c r="E53" s="2047">
        <v>373</v>
      </c>
      <c r="F53" s="2048">
        <v>196</v>
      </c>
      <c r="G53" s="3496">
        <v>2010</v>
      </c>
      <c r="H53" s="2055">
        <v>4</v>
      </c>
      <c r="I53" s="2055">
        <v>5.72</v>
      </c>
      <c r="J53" s="2055">
        <v>6.57</v>
      </c>
      <c r="K53" s="2055">
        <v>5.72</v>
      </c>
      <c r="L53" s="2056">
        <v>2.72</v>
      </c>
      <c r="N53" s="2041">
        <f t="shared" si="22"/>
        <v>5.7200000000000001E-2</v>
      </c>
      <c r="O53" s="2026">
        <f t="shared" si="22"/>
        <v>6.5700000000000008E-2</v>
      </c>
      <c r="P53" s="2026">
        <f t="shared" si="22"/>
        <v>5.7200000000000001E-2</v>
      </c>
      <c r="Q53" s="2026">
        <f t="shared" si="22"/>
        <v>2.7200000000000002E-2</v>
      </c>
      <c r="R53" s="2042"/>
      <c r="S53" s="2051"/>
      <c r="T53" s="2052"/>
      <c r="U53" s="2052"/>
      <c r="V53" s="2052"/>
      <c r="X53" s="2052"/>
      <c r="Y53" s="2052"/>
      <c r="Z53" s="2052"/>
    </row>
    <row r="54" spans="1:26">
      <c r="A54" s="2038" t="s">
        <v>478</v>
      </c>
      <c r="B54" s="2039">
        <f t="shared" ref="B54:C56" si="32">B53/(1+N53)</f>
        <v>254.44570563753314</v>
      </c>
      <c r="C54" s="2039">
        <f t="shared" si="32"/>
        <v>207.37543398705074</v>
      </c>
      <c r="D54" s="2039">
        <f t="shared" si="20"/>
        <v>207.37543398705074</v>
      </c>
      <c r="E54" s="2039">
        <f t="shared" ref="E54:F56" si="33">E53/(1+P53)</f>
        <v>352.81876655315932</v>
      </c>
      <c r="F54" s="2039">
        <f t="shared" si="33"/>
        <v>190.809968847352</v>
      </c>
      <c r="G54" s="3497">
        <v>2010</v>
      </c>
      <c r="H54" s="2060">
        <v>3</v>
      </c>
      <c r="I54" s="2060">
        <v>4.7300000000000004</v>
      </c>
      <c r="J54" s="2060">
        <v>3.9</v>
      </c>
      <c r="K54" s="2060">
        <v>5.03</v>
      </c>
      <c r="L54" s="2061">
        <v>4.21</v>
      </c>
      <c r="N54" s="2041">
        <f t="shared" si="22"/>
        <v>4.7300000000000002E-2</v>
      </c>
      <c r="O54" s="2026">
        <f t="shared" si="22"/>
        <v>3.9E-2</v>
      </c>
      <c r="P54" s="2026">
        <f t="shared" si="22"/>
        <v>5.0300000000000004E-2</v>
      </c>
      <c r="Q54" s="2026">
        <f t="shared" si="22"/>
        <v>4.2099999999999999E-2</v>
      </c>
      <c r="R54" s="2042"/>
      <c r="S54" s="2041"/>
      <c r="T54" s="2026"/>
      <c r="U54" s="2026"/>
      <c r="V54" s="2026"/>
    </row>
    <row r="55" spans="1:26">
      <c r="A55" s="2038" t="s">
        <v>479</v>
      </c>
      <c r="B55" s="2039">
        <f t="shared" si="32"/>
        <v>242.95398227588385</v>
      </c>
      <c r="C55" s="2039">
        <f t="shared" si="32"/>
        <v>199.59137053614126</v>
      </c>
      <c r="D55" s="2039">
        <f t="shared" si="20"/>
        <v>199.59137053614126</v>
      </c>
      <c r="E55" s="2039">
        <f t="shared" si="33"/>
        <v>335.92189522342125</v>
      </c>
      <c r="F55" s="2039">
        <f t="shared" si="33"/>
        <v>183.10139991109489</v>
      </c>
      <c r="G55" s="3497">
        <v>2010</v>
      </c>
      <c r="H55" s="2049">
        <v>2</v>
      </c>
      <c r="I55" s="2049">
        <v>4.6900000000000004</v>
      </c>
      <c r="J55" s="2049">
        <v>3.55</v>
      </c>
      <c r="K55" s="2049">
        <v>5.07</v>
      </c>
      <c r="L55" s="2050">
        <v>4.2300000000000004</v>
      </c>
      <c r="N55" s="2041">
        <f t="shared" si="22"/>
        <v>4.6900000000000004E-2</v>
      </c>
      <c r="O55" s="2026">
        <f t="shared" si="22"/>
        <v>3.5499999999999997E-2</v>
      </c>
      <c r="P55" s="2026">
        <f t="shared" si="22"/>
        <v>5.0700000000000002E-2</v>
      </c>
      <c r="Q55" s="2026">
        <f t="shared" si="22"/>
        <v>4.2300000000000004E-2</v>
      </c>
      <c r="R55" s="2042"/>
      <c r="S55" s="2041"/>
      <c r="T55" s="2026"/>
      <c r="U55" s="2026"/>
      <c r="V55" s="2026"/>
    </row>
    <row r="56" spans="1:26" ht="13.5" thickBot="1">
      <c r="A56" s="2038" t="s">
        <v>480</v>
      </c>
      <c r="B56" s="2039">
        <f t="shared" si="32"/>
        <v>232.06990378821649</v>
      </c>
      <c r="C56" s="2039">
        <f t="shared" si="32"/>
        <v>192.74878854286936</v>
      </c>
      <c r="D56" s="2039">
        <f t="shared" si="20"/>
        <v>192.74878854286936</v>
      </c>
      <c r="E56" s="2039">
        <f t="shared" si="33"/>
        <v>319.71247284992984</v>
      </c>
      <c r="F56" s="2039">
        <f t="shared" si="33"/>
        <v>175.67053622862409</v>
      </c>
      <c r="G56" s="3498">
        <v>2010</v>
      </c>
      <c r="H56" s="2040">
        <v>1</v>
      </c>
      <c r="I56" s="2040">
        <v>5.4</v>
      </c>
      <c r="J56" s="2040">
        <v>3.2</v>
      </c>
      <c r="K56" s="2040">
        <v>6.16</v>
      </c>
      <c r="L56" s="2044">
        <v>4.51</v>
      </c>
      <c r="N56" s="2041">
        <f t="shared" si="22"/>
        <v>5.4000000000000006E-2</v>
      </c>
      <c r="O56" s="2026">
        <f t="shared" si="22"/>
        <v>3.2000000000000001E-2</v>
      </c>
      <c r="P56" s="2026">
        <f t="shared" si="22"/>
        <v>6.1600000000000002E-2</v>
      </c>
      <c r="Q56" s="2026">
        <f t="shared" si="22"/>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0"/>
        <v>187</v>
      </c>
      <c r="E57" s="2047">
        <v>301</v>
      </c>
      <c r="F57" s="2048">
        <v>168</v>
      </c>
      <c r="G57" s="3496">
        <v>2009</v>
      </c>
      <c r="H57" s="2055">
        <v>4</v>
      </c>
      <c r="I57" s="2055">
        <v>2.2999999999999998</v>
      </c>
      <c r="J57" s="2055">
        <v>1.04</v>
      </c>
      <c r="K57" s="2055">
        <v>2.84</v>
      </c>
      <c r="L57" s="2056">
        <v>0.67</v>
      </c>
      <c r="N57" s="2057">
        <f t="shared" si="22"/>
        <v>2.3E-2</v>
      </c>
      <c r="O57" s="2058">
        <f t="shared" si="22"/>
        <v>1.04E-2</v>
      </c>
      <c r="P57" s="2058">
        <f t="shared" si="22"/>
        <v>2.8399999999999998E-2</v>
      </c>
      <c r="Q57" s="2058">
        <f t="shared" si="22"/>
        <v>6.7000000000000002E-3</v>
      </c>
      <c r="R57" s="2042"/>
      <c r="S57" s="2051"/>
      <c r="T57" s="2052"/>
      <c r="U57" s="2052"/>
      <c r="V57" s="2052"/>
      <c r="X57" s="2052"/>
      <c r="Y57" s="2052"/>
      <c r="Z57" s="2052"/>
    </row>
    <row r="58" spans="1:26">
      <c r="A58" s="2038" t="s">
        <v>482</v>
      </c>
      <c r="B58" s="2039">
        <f t="shared" ref="B58:C60" si="34">B57/(1+N57)</f>
        <v>215.05376344086022</v>
      </c>
      <c r="C58" s="2039">
        <f t="shared" si="34"/>
        <v>185.0752177355503</v>
      </c>
      <c r="D58" s="2039">
        <f t="shared" si="20"/>
        <v>185.0752177355503</v>
      </c>
      <c r="E58" s="2039">
        <f t="shared" ref="E58:F60" si="35">E57/(1+P57)</f>
        <v>292.68767016725008</v>
      </c>
      <c r="F58" s="2039">
        <f t="shared" si="35"/>
        <v>166.88189132810174</v>
      </c>
      <c r="G58" s="3497">
        <v>2009</v>
      </c>
      <c r="H58" s="2060">
        <v>3</v>
      </c>
      <c r="I58" s="2060">
        <v>2.1</v>
      </c>
      <c r="J58" s="2060">
        <v>1.86</v>
      </c>
      <c r="K58" s="2060">
        <v>2.29</v>
      </c>
      <c r="L58" s="2061">
        <v>0.85</v>
      </c>
      <c r="N58" s="2041">
        <f t="shared" si="22"/>
        <v>2.1000000000000001E-2</v>
      </c>
      <c r="O58" s="2026">
        <f t="shared" si="22"/>
        <v>1.8600000000000002E-2</v>
      </c>
      <c r="P58" s="2026">
        <f t="shared" si="22"/>
        <v>2.29E-2</v>
      </c>
      <c r="Q58" s="2026">
        <f t="shared" si="22"/>
        <v>8.5000000000000006E-3</v>
      </c>
      <c r="R58" s="2042"/>
      <c r="S58" s="2041"/>
      <c r="T58" s="2026"/>
      <c r="U58" s="2026"/>
      <c r="V58" s="2026"/>
    </row>
    <row r="59" spans="1:26">
      <c r="A59" s="2038" t="s">
        <v>483</v>
      </c>
      <c r="B59" s="2039">
        <f t="shared" si="34"/>
        <v>210.630522469011</v>
      </c>
      <c r="C59" s="2039">
        <f t="shared" si="34"/>
        <v>181.69567812247232</v>
      </c>
      <c r="D59" s="2039">
        <f t="shared" si="20"/>
        <v>181.69567812247232</v>
      </c>
      <c r="E59" s="2039">
        <f t="shared" si="35"/>
        <v>286.13517466736738</v>
      </c>
      <c r="F59" s="2039">
        <f t="shared" si="35"/>
        <v>165.47535084591149</v>
      </c>
      <c r="G59" s="3497">
        <v>2009</v>
      </c>
      <c r="H59" s="2049">
        <v>2</v>
      </c>
      <c r="I59" s="2049">
        <v>0.86</v>
      </c>
      <c r="J59" s="2049">
        <v>-1.1299999999999999</v>
      </c>
      <c r="K59" s="2049">
        <v>1.79</v>
      </c>
      <c r="L59" s="2050">
        <v>-2.0699999999999998</v>
      </c>
      <c r="N59" s="2041">
        <f t="shared" si="22"/>
        <v>8.6E-3</v>
      </c>
      <c r="O59" s="2026">
        <f t="shared" si="22"/>
        <v>-1.1299999999999999E-2</v>
      </c>
      <c r="P59" s="2026">
        <f t="shared" si="22"/>
        <v>1.7899999999999999E-2</v>
      </c>
      <c r="Q59" s="2026">
        <f t="shared" si="22"/>
        <v>-2.07E-2</v>
      </c>
      <c r="R59" s="2042"/>
      <c r="S59" s="2041"/>
      <c r="T59" s="2026"/>
      <c r="U59" s="2026"/>
      <c r="V59" s="2026"/>
    </row>
    <row r="60" spans="1:26">
      <c r="A60" s="2038" t="s">
        <v>484</v>
      </c>
      <c r="B60" s="2039">
        <f t="shared" si="34"/>
        <v>208.83454537875372</v>
      </c>
      <c r="C60" s="2039">
        <f t="shared" si="34"/>
        <v>183.77230517090351</v>
      </c>
      <c r="D60" s="2039">
        <f t="shared" si="20"/>
        <v>183.77230517090351</v>
      </c>
      <c r="E60" s="2039">
        <f t="shared" si="35"/>
        <v>281.10342338870947</v>
      </c>
      <c r="F60" s="2039">
        <f t="shared" si="35"/>
        <v>168.97309388942256</v>
      </c>
      <c r="G60" s="3498">
        <v>2009</v>
      </c>
      <c r="H60" s="2040">
        <v>1</v>
      </c>
      <c r="I60" s="2040">
        <v>-2.64</v>
      </c>
      <c r="J60" s="2040">
        <v>-2.5299999999999998</v>
      </c>
      <c r="K60" s="2040">
        <v>-3.02</v>
      </c>
      <c r="L60" s="2044">
        <v>1.52</v>
      </c>
      <c r="N60" s="2053">
        <f t="shared" si="22"/>
        <v>-2.64E-2</v>
      </c>
      <c r="O60" s="2054">
        <f t="shared" si="22"/>
        <v>-2.53E-2</v>
      </c>
      <c r="P60" s="2054">
        <f t="shared" si="22"/>
        <v>-3.0200000000000001E-2</v>
      </c>
      <c r="Q60" s="2054">
        <f t="shared" si="22"/>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0"/>
        <v>188</v>
      </c>
      <c r="E61" s="2081">
        <v>289</v>
      </c>
      <c r="F61" s="2082">
        <v>166</v>
      </c>
      <c r="G61" s="3496">
        <v>2008</v>
      </c>
      <c r="H61" s="2055">
        <v>4</v>
      </c>
      <c r="I61" s="2055">
        <v>1.73</v>
      </c>
      <c r="J61" s="2055">
        <v>0.03</v>
      </c>
      <c r="K61" s="2055">
        <v>2.59</v>
      </c>
      <c r="L61" s="2056">
        <v>-1.66</v>
      </c>
      <c r="N61" s="2041">
        <f t="shared" si="22"/>
        <v>1.7299999999999999E-2</v>
      </c>
      <c r="O61" s="2026">
        <f t="shared" si="22"/>
        <v>2.9999999999999997E-4</v>
      </c>
      <c r="P61" s="2026">
        <f t="shared" si="22"/>
        <v>2.5899999999999999E-2</v>
      </c>
      <c r="Q61" s="2026">
        <f t="shared" si="22"/>
        <v>-1.66E-2</v>
      </c>
      <c r="R61" s="2042"/>
      <c r="S61" s="2051"/>
      <c r="T61" s="2052"/>
      <c r="U61" s="2052"/>
      <c r="V61" s="2052"/>
      <c r="X61" s="2052"/>
      <c r="Y61" s="2052"/>
      <c r="Z61" s="2052"/>
    </row>
    <row r="62" spans="1:26">
      <c r="A62" s="2038" t="s">
        <v>486</v>
      </c>
      <c r="B62" s="2039">
        <f t="shared" ref="B62:C64" si="36">B61/(1+N61)</f>
        <v>210.36075887152265</v>
      </c>
      <c r="C62" s="2039">
        <f t="shared" si="36"/>
        <v>187.94361691492554</v>
      </c>
      <c r="D62" s="2039">
        <f t="shared" si="20"/>
        <v>187.94361691492554</v>
      </c>
      <c r="E62" s="2039">
        <f t="shared" ref="E62:F64" si="37">E61/(1+P61)</f>
        <v>281.70386977288234</v>
      </c>
      <c r="F62" s="2039">
        <f t="shared" si="37"/>
        <v>168.80211511083994</v>
      </c>
      <c r="G62" s="3497">
        <v>2008</v>
      </c>
      <c r="H62" s="2060">
        <v>3</v>
      </c>
      <c r="I62" s="2060">
        <v>1.96</v>
      </c>
      <c r="J62" s="2060">
        <v>2.36</v>
      </c>
      <c r="K62" s="2060">
        <v>1.82</v>
      </c>
      <c r="L62" s="2061">
        <v>2.2200000000000002</v>
      </c>
      <c r="N62" s="2041">
        <f t="shared" si="22"/>
        <v>1.9599999999999999E-2</v>
      </c>
      <c r="O62" s="2026">
        <f t="shared" si="22"/>
        <v>2.3599999999999999E-2</v>
      </c>
      <c r="P62" s="2026">
        <f t="shared" si="22"/>
        <v>1.8200000000000001E-2</v>
      </c>
      <c r="Q62" s="2026">
        <f t="shared" si="22"/>
        <v>2.2200000000000001E-2</v>
      </c>
      <c r="R62" s="2042"/>
      <c r="S62" s="2041"/>
      <c r="T62" s="2026"/>
      <c r="U62" s="2026"/>
      <c r="V62" s="2026"/>
    </row>
    <row r="63" spans="1:26">
      <c r="A63" s="2038" t="s">
        <v>487</v>
      </c>
      <c r="B63" s="2039">
        <f t="shared" si="36"/>
        <v>206.31694671589116</v>
      </c>
      <c r="C63" s="2039">
        <f t="shared" si="36"/>
        <v>183.61041121036101</v>
      </c>
      <c r="D63" s="2039">
        <f t="shared" si="20"/>
        <v>183.61041121036101</v>
      </c>
      <c r="E63" s="2039">
        <f t="shared" si="37"/>
        <v>276.66850301795557</v>
      </c>
      <c r="F63" s="2039">
        <f t="shared" si="37"/>
        <v>165.1360938278614</v>
      </c>
      <c r="G63" s="3497">
        <v>2008</v>
      </c>
      <c r="H63" s="2049">
        <v>2</v>
      </c>
      <c r="I63" s="2049">
        <v>4.93</v>
      </c>
      <c r="J63" s="2049">
        <v>7.38</v>
      </c>
      <c r="K63" s="2049">
        <v>3.98</v>
      </c>
      <c r="L63" s="2050">
        <v>6.86</v>
      </c>
      <c r="N63" s="2041">
        <f t="shared" si="22"/>
        <v>4.9299999999999997E-2</v>
      </c>
      <c r="O63" s="2026">
        <f t="shared" si="22"/>
        <v>7.3800000000000004E-2</v>
      </c>
      <c r="P63" s="2026">
        <f t="shared" si="22"/>
        <v>3.9800000000000002E-2</v>
      </c>
      <c r="Q63" s="2026">
        <f t="shared" si="22"/>
        <v>6.8600000000000008E-2</v>
      </c>
      <c r="R63" s="2042"/>
      <c r="S63" s="2041"/>
      <c r="T63" s="2026"/>
      <c r="U63" s="2026"/>
      <c r="V63" s="2026"/>
    </row>
    <row r="64" spans="1:26" s="2087" customFormat="1" ht="13.5" thickBot="1">
      <c r="A64" s="2038" t="s">
        <v>488</v>
      </c>
      <c r="B64" s="2084">
        <f t="shared" si="36"/>
        <v>196.62341248059772</v>
      </c>
      <c r="C64" s="2084">
        <f t="shared" si="36"/>
        <v>170.99125648199012</v>
      </c>
      <c r="D64" s="2084">
        <f t="shared" si="20"/>
        <v>170.99125648199012</v>
      </c>
      <c r="E64" s="2084">
        <f t="shared" si="37"/>
        <v>266.07857570490052</v>
      </c>
      <c r="F64" s="2084">
        <f t="shared" si="37"/>
        <v>154.53499328828505</v>
      </c>
      <c r="G64" s="3498">
        <v>2008</v>
      </c>
      <c r="H64" s="2085">
        <v>1</v>
      </c>
      <c r="I64" s="2085">
        <v>4.1399999999999997</v>
      </c>
      <c r="J64" s="2085">
        <v>3.45</v>
      </c>
      <c r="K64" s="2085">
        <v>4.95</v>
      </c>
      <c r="L64" s="2086">
        <v>4.82</v>
      </c>
      <c r="N64" s="2088">
        <f t="shared" si="22"/>
        <v>4.1399999999999999E-2</v>
      </c>
      <c r="O64" s="2089">
        <f t="shared" si="22"/>
        <v>3.4500000000000003E-2</v>
      </c>
      <c r="P64" s="2089">
        <f t="shared" si="22"/>
        <v>4.9500000000000002E-2</v>
      </c>
      <c r="Q64" s="2089">
        <f t="shared" si="22"/>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0"/>
        <v>165</v>
      </c>
      <c r="E65" s="2047">
        <v>254</v>
      </c>
      <c r="F65" s="2048">
        <v>148</v>
      </c>
      <c r="G65" s="3496">
        <v>2007</v>
      </c>
      <c r="H65" s="2091">
        <v>4</v>
      </c>
      <c r="I65" s="2091">
        <v>5.51</v>
      </c>
      <c r="J65" s="2091">
        <v>4.8899999999999997</v>
      </c>
      <c r="K65" s="2091">
        <v>6.43</v>
      </c>
      <c r="L65" s="2092">
        <v>5.36</v>
      </c>
      <c r="N65" s="2093">
        <f t="shared" ref="N65:O68" si="38">B65/B66-1</f>
        <v>4.1339718365245526E-2</v>
      </c>
      <c r="O65" s="2094">
        <f t="shared" si="38"/>
        <v>4.0324492593776018E-2</v>
      </c>
      <c r="P65" s="2094">
        <f t="shared" ref="P65:Q68" si="39">E65/E66-1</f>
        <v>6.1625555347990968E-2</v>
      </c>
      <c r="Q65" s="2094">
        <f t="shared" si="39"/>
        <v>4.6757569250590603E-2</v>
      </c>
      <c r="R65" s="2042"/>
      <c r="S65" s="2051"/>
      <c r="T65" s="2052"/>
      <c r="U65" s="2052"/>
      <c r="V65" s="2052"/>
      <c r="X65" s="2052"/>
      <c r="Y65" s="2052"/>
      <c r="Z65" s="2052"/>
    </row>
    <row r="66" spans="1:26">
      <c r="A66" s="2038" t="s">
        <v>490</v>
      </c>
      <c r="B66" s="2039">
        <f t="shared" ref="B66:C68" si="40">B67+(B$65-B$69)*I66/SUM(I$65:I$68)</f>
        <v>180.5366651097618</v>
      </c>
      <c r="C66" s="2039">
        <f t="shared" si="40"/>
        <v>158.60435967302453</v>
      </c>
      <c r="D66" s="2039">
        <f t="shared" si="20"/>
        <v>158.60435967302453</v>
      </c>
      <c r="E66" s="2039">
        <f t="shared" ref="E66:F68" si="41">E67+(E$65-E$69)*K66/SUM(K$65:K$68)</f>
        <v>239.25573260785075</v>
      </c>
      <c r="F66" s="2039">
        <f t="shared" si="41"/>
        <v>141.38899430740037</v>
      </c>
      <c r="G66" s="3497">
        <v>2007</v>
      </c>
      <c r="H66" s="2060">
        <v>3</v>
      </c>
      <c r="I66" s="2060">
        <v>8.65</v>
      </c>
      <c r="J66" s="2060">
        <v>8.06</v>
      </c>
      <c r="K66" s="2060">
        <v>9.94</v>
      </c>
      <c r="L66" s="2061">
        <v>5.8</v>
      </c>
      <c r="N66" s="2093">
        <f t="shared" si="38"/>
        <v>6.940217571740015E-2</v>
      </c>
      <c r="O66" s="2094">
        <f t="shared" si="38"/>
        <v>7.1197482471153428E-2</v>
      </c>
      <c r="P66" s="2094">
        <f t="shared" si="39"/>
        <v>0.10529679922579582</v>
      </c>
      <c r="Q66" s="2094">
        <f t="shared" si="39"/>
        <v>5.3292245059512133E-2</v>
      </c>
      <c r="R66" s="2042"/>
      <c r="S66" s="2041"/>
      <c r="T66" s="2026"/>
      <c r="U66" s="2026"/>
      <c r="V66" s="2026"/>
      <c r="X66" s="2095"/>
      <c r="Y66" s="2095"/>
      <c r="Z66" s="2095"/>
    </row>
    <row r="67" spans="1:26">
      <c r="A67" s="2038" t="s">
        <v>491</v>
      </c>
      <c r="B67" s="2039">
        <f t="shared" si="40"/>
        <v>168.82017748715555</v>
      </c>
      <c r="C67" s="2039">
        <f t="shared" si="40"/>
        <v>148.06267029972753</v>
      </c>
      <c r="D67" s="2039">
        <f t="shared" si="20"/>
        <v>148.06267029972753</v>
      </c>
      <c r="E67" s="2039">
        <f t="shared" si="41"/>
        <v>216.46288379323747</v>
      </c>
      <c r="F67" s="2039">
        <f t="shared" si="41"/>
        <v>134.23529411764704</v>
      </c>
      <c r="G67" s="3497">
        <v>2007</v>
      </c>
      <c r="H67" s="2049">
        <v>2</v>
      </c>
      <c r="I67" s="2049">
        <v>3.67</v>
      </c>
      <c r="J67" s="2049">
        <v>2.3199999999999998</v>
      </c>
      <c r="K67" s="2049">
        <v>5.0199999999999996</v>
      </c>
      <c r="L67" s="2050">
        <v>6.71</v>
      </c>
      <c r="N67" s="2093">
        <f t="shared" si="38"/>
        <v>3.0339138143848032E-2</v>
      </c>
      <c r="O67" s="2094">
        <f t="shared" si="38"/>
        <v>2.0922341588790472E-2</v>
      </c>
      <c r="P67" s="2094">
        <f t="shared" si="39"/>
        <v>5.6164796592717003E-2</v>
      </c>
      <c r="Q67" s="2094">
        <f t="shared" si="39"/>
        <v>6.5704536723887319E-2</v>
      </c>
      <c r="R67" s="2042"/>
      <c r="S67" s="2041"/>
      <c r="T67" s="2026"/>
      <c r="U67" s="2026"/>
      <c r="V67" s="2026"/>
      <c r="X67" s="2095"/>
      <c r="Y67" s="2095"/>
      <c r="Z67" s="2095"/>
    </row>
    <row r="68" spans="1:26">
      <c r="A68" s="2038" t="s">
        <v>492</v>
      </c>
      <c r="B68" s="2039">
        <f t="shared" si="40"/>
        <v>163.84913591779542</v>
      </c>
      <c r="C68" s="2039">
        <f t="shared" si="40"/>
        <v>145.0283378746594</v>
      </c>
      <c r="D68" s="2039">
        <f t="shared" si="20"/>
        <v>145.0283378746594</v>
      </c>
      <c r="E68" s="2039">
        <f t="shared" si="41"/>
        <v>204.95180722891567</v>
      </c>
      <c r="F68" s="2039">
        <f t="shared" si="41"/>
        <v>125.95920303605313</v>
      </c>
      <c r="G68" s="3498">
        <v>2007</v>
      </c>
      <c r="H68" s="2040">
        <v>1</v>
      </c>
      <c r="I68" s="2040">
        <v>3.58</v>
      </c>
      <c r="J68" s="2040">
        <v>3.08</v>
      </c>
      <c r="K68" s="2040">
        <v>4.34</v>
      </c>
      <c r="L68" s="2044">
        <v>3.21</v>
      </c>
      <c r="N68" s="2096">
        <f t="shared" si="38"/>
        <v>3.0497710174814063E-2</v>
      </c>
      <c r="O68" s="2097">
        <f t="shared" si="38"/>
        <v>2.8569772160704998E-2</v>
      </c>
      <c r="P68" s="2097">
        <f t="shared" si="39"/>
        <v>5.1034908866234296E-2</v>
      </c>
      <c r="Q68" s="2097">
        <f t="shared" si="39"/>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0"/>
        <v>141</v>
      </c>
      <c r="E69" s="2062">
        <v>195</v>
      </c>
      <c r="F69" s="2063">
        <v>122</v>
      </c>
      <c r="G69" s="3496">
        <v>2006</v>
      </c>
      <c r="H69" s="2055">
        <v>4</v>
      </c>
      <c r="I69" s="2055">
        <v>3.79</v>
      </c>
      <c r="J69" s="2055">
        <v>2.21</v>
      </c>
      <c r="K69" s="2055">
        <v>5.65</v>
      </c>
      <c r="L69" s="2056">
        <v>5.41</v>
      </c>
      <c r="N69" s="2093">
        <f t="shared" ref="N69:O72" si="42">I69/SUM(I$69:I$72)*(B$69/B$73-1)</f>
        <v>7.245466462748526E-2</v>
      </c>
      <c r="O69" s="2094">
        <f t="shared" si="42"/>
        <v>2.3237230038062766E-2</v>
      </c>
      <c r="P69" s="2094">
        <f t="shared" ref="P69:Q72" si="43">K69/SUM(K$69:K$72)*(E$69/E$73-1)</f>
        <v>0.16146893866323722</v>
      </c>
      <c r="Q69" s="2094">
        <f t="shared" si="43"/>
        <v>5.0755230321793784E-2</v>
      </c>
      <c r="R69" s="2042"/>
      <c r="S69" s="2051"/>
      <c r="T69" s="2052"/>
      <c r="U69" s="2052"/>
      <c r="V69" s="2052"/>
      <c r="X69" s="2095"/>
      <c r="Y69" s="2095"/>
      <c r="Z69" s="2095"/>
    </row>
    <row r="70" spans="1:26">
      <c r="A70" s="2038" t="s">
        <v>494</v>
      </c>
      <c r="B70" s="2039">
        <f t="shared" ref="B70:C72" si="44">B71+(B$69-B$73)*I70/SUM(I$69:I$72)</f>
        <v>149.00125628140702</v>
      </c>
      <c r="C70" s="2039">
        <f t="shared" si="44"/>
        <v>137.95592286501378</v>
      </c>
      <c r="D70" s="2039">
        <f t="shared" si="20"/>
        <v>137.95592286501378</v>
      </c>
      <c r="E70" s="2039">
        <f t="shared" ref="E70:F72" si="45">E71+(E$69-E$73)*K70/SUM(K$69:K$72)</f>
        <v>169.97231450719823</v>
      </c>
      <c r="F70" s="2039">
        <f t="shared" si="45"/>
        <v>116.21390374331551</v>
      </c>
      <c r="G70" s="3497">
        <v>2006</v>
      </c>
      <c r="H70" s="2060">
        <v>3</v>
      </c>
      <c r="I70" s="2060">
        <v>0.92</v>
      </c>
      <c r="J70" s="2060">
        <v>1.08</v>
      </c>
      <c r="K70" s="2060">
        <v>0.73</v>
      </c>
      <c r="L70" s="2061">
        <v>1.08</v>
      </c>
      <c r="N70" s="2093">
        <f t="shared" si="42"/>
        <v>1.7587939698492462E-2</v>
      </c>
      <c r="O70" s="2094">
        <f t="shared" si="42"/>
        <v>1.1355750425840628E-2</v>
      </c>
      <c r="P70" s="2094">
        <f t="shared" si="43"/>
        <v>2.0862358446754544E-2</v>
      </c>
      <c r="Q70" s="2094">
        <f t="shared" si="43"/>
        <v>1.0132282578103011E-2</v>
      </c>
      <c r="R70" s="2042"/>
      <c r="S70" s="2041"/>
      <c r="T70" s="2026"/>
      <c r="U70" s="2026"/>
      <c r="V70" s="2026"/>
      <c r="X70" s="2095"/>
      <c r="Y70" s="2095"/>
      <c r="Z70" s="2095"/>
    </row>
    <row r="71" spans="1:26">
      <c r="A71" s="2038" t="s">
        <v>495</v>
      </c>
      <c r="B71" s="2039">
        <f t="shared" si="44"/>
        <v>146.57412060301507</v>
      </c>
      <c r="C71" s="2039">
        <f t="shared" si="44"/>
        <v>136.46831955922866</v>
      </c>
      <c r="D71" s="2039">
        <f t="shared" si="20"/>
        <v>136.46831955922866</v>
      </c>
      <c r="E71" s="2039">
        <f t="shared" si="45"/>
        <v>166.73864894795128</v>
      </c>
      <c r="F71" s="2039">
        <f t="shared" si="45"/>
        <v>115.05882352941177</v>
      </c>
      <c r="G71" s="3497">
        <v>2006</v>
      </c>
      <c r="H71" s="2049">
        <v>2</v>
      </c>
      <c r="I71" s="2049">
        <v>0.96</v>
      </c>
      <c r="J71" s="2049">
        <v>0.25</v>
      </c>
      <c r="K71" s="2049">
        <v>1.9</v>
      </c>
      <c r="L71" s="2050">
        <v>0.95</v>
      </c>
      <c r="N71" s="2093">
        <f t="shared" si="42"/>
        <v>1.8352632728861701E-2</v>
      </c>
      <c r="O71" s="2094">
        <f t="shared" si="42"/>
        <v>2.6286459319075526E-3</v>
      </c>
      <c r="P71" s="2094">
        <f t="shared" si="43"/>
        <v>5.4299289107991269E-2</v>
      </c>
      <c r="Q71" s="2094">
        <f t="shared" si="43"/>
        <v>8.9126559714794995E-3</v>
      </c>
      <c r="R71" s="2042"/>
      <c r="S71" s="2041"/>
      <c r="T71" s="2026"/>
      <c r="U71" s="2026"/>
      <c r="V71" s="2026"/>
      <c r="X71" s="2095"/>
      <c r="Y71" s="2095"/>
      <c r="Z71" s="2095"/>
    </row>
    <row r="72" spans="1:26">
      <c r="A72" s="2038" t="s">
        <v>496</v>
      </c>
      <c r="B72" s="2039">
        <f t="shared" si="44"/>
        <v>144.04145728643215</v>
      </c>
      <c r="C72" s="2039">
        <f t="shared" si="44"/>
        <v>136.12396694214877</v>
      </c>
      <c r="D72" s="2039">
        <f t="shared" si="20"/>
        <v>136.12396694214877</v>
      </c>
      <c r="E72" s="2039">
        <f t="shared" si="45"/>
        <v>158.32225913621264</v>
      </c>
      <c r="F72" s="2039">
        <f t="shared" si="45"/>
        <v>114.04278074866311</v>
      </c>
      <c r="G72" s="3498">
        <v>2006</v>
      </c>
      <c r="H72" s="2040">
        <v>1</v>
      </c>
      <c r="I72" s="2040">
        <v>2.29</v>
      </c>
      <c r="J72" s="2040">
        <v>3.72</v>
      </c>
      <c r="K72" s="2040">
        <v>0.75</v>
      </c>
      <c r="L72" s="2044">
        <v>0.04</v>
      </c>
      <c r="N72" s="2096">
        <f t="shared" si="42"/>
        <v>4.3778675988638847E-2</v>
      </c>
      <c r="O72" s="2097">
        <f t="shared" si="42"/>
        <v>3.9114251466784385E-2</v>
      </c>
      <c r="P72" s="2097">
        <f t="shared" si="43"/>
        <v>2.1433929911049188E-2</v>
      </c>
      <c r="Q72" s="2097">
        <f t="shared" si="43"/>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0"/>
        <v>131</v>
      </c>
      <c r="E73" s="2062">
        <v>155</v>
      </c>
      <c r="F73" s="2063">
        <v>114</v>
      </c>
      <c r="G73" s="3496">
        <v>2005</v>
      </c>
      <c r="H73" s="2055">
        <v>4</v>
      </c>
      <c r="I73" s="2055">
        <v>3.29</v>
      </c>
      <c r="J73" s="2055">
        <v>1.44</v>
      </c>
      <c r="K73" s="2055">
        <v>0.66</v>
      </c>
      <c r="L73" s="2056">
        <v>7.78</v>
      </c>
      <c r="N73" s="2093">
        <f t="shared" ref="N73:O76" si="46">I73/SUM(I$73:I$76)*(B$73/B$77-1)</f>
        <v>9.9404603216919935E-2</v>
      </c>
      <c r="O73" s="2094">
        <f t="shared" si="46"/>
        <v>4.7636550760861554E-2</v>
      </c>
      <c r="P73" s="2094">
        <f t="shared" ref="P73:Q76" si="47">K73/SUM(K$73:K$76)*(E$73/E$77-1)</f>
        <v>8.3756345177664976E-2</v>
      </c>
      <c r="Q73" s="2094">
        <f t="shared" si="47"/>
        <v>5.2148766661559584E-2</v>
      </c>
      <c r="R73" s="2042"/>
      <c r="S73" s="2051"/>
      <c r="T73" s="2052"/>
      <c r="U73" s="2052"/>
      <c r="V73" s="2052"/>
      <c r="X73" s="2095"/>
      <c r="Y73" s="2095"/>
      <c r="Z73" s="2095"/>
    </row>
    <row r="74" spans="1:26">
      <c r="A74" s="2038" t="s">
        <v>498</v>
      </c>
      <c r="B74" s="2039">
        <f t="shared" ref="B74:C76" si="48">B75+(B$73-B$77)*I74/SUM(I$73:I$76)</f>
        <v>125.9720430107527</v>
      </c>
      <c r="C74" s="2039">
        <f t="shared" si="48"/>
        <v>125.1883408071749</v>
      </c>
      <c r="D74" s="2039">
        <f t="shared" si="20"/>
        <v>125.1883408071749</v>
      </c>
      <c r="E74" s="2039">
        <f t="shared" ref="E74:F76" si="49">E75+(E$73-E$77)*K74/SUM(K$73:K$76)</f>
        <v>144.61421319796952</v>
      </c>
      <c r="F74" s="2039">
        <f t="shared" si="49"/>
        <v>108.42008196721311</v>
      </c>
      <c r="G74" s="3497">
        <v>2005</v>
      </c>
      <c r="H74" s="2060">
        <v>3</v>
      </c>
      <c r="I74" s="2060">
        <v>0.46</v>
      </c>
      <c r="J74" s="2060">
        <v>0.32</v>
      </c>
      <c r="K74" s="2060">
        <v>0.42</v>
      </c>
      <c r="L74" s="2061">
        <v>0.64</v>
      </c>
      <c r="N74" s="2093">
        <f t="shared" si="46"/>
        <v>1.3898515951301874E-2</v>
      </c>
      <c r="O74" s="2094">
        <f t="shared" si="46"/>
        <v>1.0585900169080346E-2</v>
      </c>
      <c r="P74" s="2094">
        <f t="shared" si="47"/>
        <v>5.3299492385786795E-2</v>
      </c>
      <c r="Q74" s="2094">
        <f t="shared" si="47"/>
        <v>4.2898728359123568E-3</v>
      </c>
      <c r="R74" s="2042"/>
      <c r="S74" s="2041"/>
      <c r="T74" s="2026"/>
      <c r="U74" s="2026"/>
      <c r="V74" s="2026"/>
      <c r="X74" s="2095"/>
      <c r="Y74" s="2095"/>
      <c r="Z74" s="2095"/>
    </row>
    <row r="75" spans="1:26">
      <c r="A75" s="2038" t="s">
        <v>499</v>
      </c>
      <c r="B75" s="2039">
        <f t="shared" si="48"/>
        <v>124.29032258064517</v>
      </c>
      <c r="C75" s="2039">
        <f t="shared" si="48"/>
        <v>123.8968609865471</v>
      </c>
      <c r="D75" s="2039">
        <f t="shared" si="20"/>
        <v>123.8968609865471</v>
      </c>
      <c r="E75" s="2039">
        <f t="shared" si="49"/>
        <v>138.00507614213197</v>
      </c>
      <c r="F75" s="2039">
        <f t="shared" si="49"/>
        <v>107.96106557377048</v>
      </c>
      <c r="G75" s="3497">
        <v>2005</v>
      </c>
      <c r="H75" s="2049">
        <v>2</v>
      </c>
      <c r="I75" s="2049">
        <v>0.47</v>
      </c>
      <c r="J75" s="2049">
        <v>0.1</v>
      </c>
      <c r="K75" s="2049">
        <v>0.52</v>
      </c>
      <c r="L75" s="2050">
        <v>0.79</v>
      </c>
      <c r="N75" s="2093">
        <f t="shared" si="46"/>
        <v>1.420065760241713E-2</v>
      </c>
      <c r="O75" s="2094">
        <f t="shared" si="46"/>
        <v>3.3080938028376083E-3</v>
      </c>
      <c r="P75" s="2094">
        <f t="shared" si="47"/>
        <v>6.598984771573603E-2</v>
      </c>
      <c r="Q75" s="2094">
        <f t="shared" si="47"/>
        <v>5.2953117818293153E-3</v>
      </c>
      <c r="R75" s="2042"/>
      <c r="S75" s="2041"/>
      <c r="T75" s="2026"/>
      <c r="U75" s="2026"/>
      <c r="V75" s="2026"/>
      <c r="X75" s="2095"/>
      <c r="Y75" s="2095"/>
      <c r="Z75" s="2095"/>
    </row>
    <row r="76" spans="1:26">
      <c r="A76" s="2038" t="s">
        <v>500</v>
      </c>
      <c r="B76" s="2039">
        <f t="shared" si="48"/>
        <v>122.57204301075269</v>
      </c>
      <c r="C76" s="2039">
        <f t="shared" si="48"/>
        <v>123.4932735426009</v>
      </c>
      <c r="D76" s="2039">
        <f t="shared" si="20"/>
        <v>123.4932735426009</v>
      </c>
      <c r="E76" s="2039">
        <f t="shared" si="49"/>
        <v>129.82233502538071</v>
      </c>
      <c r="F76" s="2039">
        <f t="shared" si="49"/>
        <v>107.39446721311475</v>
      </c>
      <c r="G76" s="3498">
        <v>2005</v>
      </c>
      <c r="H76" s="2040">
        <v>1</v>
      </c>
      <c r="I76" s="2040">
        <v>0.43</v>
      </c>
      <c r="J76" s="2040">
        <v>0.37</v>
      </c>
      <c r="K76" s="2040">
        <v>0.37</v>
      </c>
      <c r="L76" s="2044">
        <v>0.55000000000000004</v>
      </c>
      <c r="N76" s="2096">
        <f t="shared" si="46"/>
        <v>1.2992090997956099E-2</v>
      </c>
      <c r="O76" s="2097">
        <f t="shared" si="46"/>
        <v>1.2239947070499151E-2</v>
      </c>
      <c r="P76" s="2097">
        <f t="shared" si="47"/>
        <v>4.6954314720812178E-2</v>
      </c>
      <c r="Q76" s="2097">
        <f t="shared" si="47"/>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0"/>
        <v>122</v>
      </c>
      <c r="E77" s="2081">
        <v>124</v>
      </c>
      <c r="F77" s="2082">
        <v>107</v>
      </c>
      <c r="G77" s="3496">
        <v>2004</v>
      </c>
      <c r="H77" s="2055">
        <v>4</v>
      </c>
      <c r="I77" s="2055">
        <v>0.33</v>
      </c>
      <c r="J77" s="2055">
        <v>0.5</v>
      </c>
      <c r="K77" s="2055">
        <v>0.5</v>
      </c>
      <c r="L77" s="2056">
        <v>0</v>
      </c>
      <c r="N77" s="2093">
        <f t="shared" ref="N77:O80" si="50">I77/SUM(I$77:I$80)*(B$77/B$81-1)</f>
        <v>1.3391770148526898E-2</v>
      </c>
      <c r="O77" s="2094">
        <f t="shared" si="50"/>
        <v>1.063264221158958E-2</v>
      </c>
      <c r="P77" s="2094">
        <f t="shared" ref="P77:Q80" si="51">K77/SUM(K$77:K$80)*(E$77/E$81-1)</f>
        <v>2.2244466688911134E-2</v>
      </c>
      <c r="Q77" s="2094">
        <f t="shared" si="51"/>
        <v>0</v>
      </c>
      <c r="R77" s="2042"/>
      <c r="S77" s="2051"/>
      <c r="T77" s="2052"/>
      <c r="U77" s="2052"/>
      <c r="V77" s="2052"/>
      <c r="X77" s="2095"/>
      <c r="Y77" s="2095"/>
      <c r="Z77" s="2095"/>
    </row>
    <row r="78" spans="1:26">
      <c r="A78" s="2038" t="s">
        <v>502</v>
      </c>
      <c r="B78" s="2039">
        <f t="shared" ref="B78:C80" si="52">B79+(B$77-B$81)*I78/SUM(I$77:I$80)</f>
        <v>119.51351351351352</v>
      </c>
      <c r="C78" s="2039">
        <f t="shared" si="52"/>
        <v>120.7878787878788</v>
      </c>
      <c r="D78" s="2039">
        <f t="shared" si="20"/>
        <v>120.7878787878788</v>
      </c>
      <c r="E78" s="2039">
        <f t="shared" ref="E78:F80" si="53">E79+(E$77-E$81)*K78/SUM(K$77:K$80)</f>
        <v>121.5975975975976</v>
      </c>
      <c r="F78" s="2039">
        <f t="shared" si="53"/>
        <v>107</v>
      </c>
      <c r="G78" s="3497">
        <v>2004</v>
      </c>
      <c r="H78" s="2060">
        <v>3</v>
      </c>
      <c r="I78" s="2060">
        <v>0.56000000000000005</v>
      </c>
      <c r="J78" s="2060">
        <v>0.8</v>
      </c>
      <c r="K78" s="2060">
        <v>0.83</v>
      </c>
      <c r="L78" s="2061">
        <v>0.06</v>
      </c>
      <c r="N78" s="2093">
        <f t="shared" si="50"/>
        <v>2.2725428130833527E-2</v>
      </c>
      <c r="O78" s="2094">
        <f t="shared" si="50"/>
        <v>1.7012227538543329E-2</v>
      </c>
      <c r="P78" s="2094">
        <f t="shared" si="51"/>
        <v>3.6925814703592477E-2</v>
      </c>
      <c r="Q78" s="2094">
        <f t="shared" si="51"/>
        <v>2.8846153846153744E-2</v>
      </c>
      <c r="R78" s="2042"/>
      <c r="S78" s="2041"/>
      <c r="T78" s="2026"/>
      <c r="U78" s="2026"/>
      <c r="V78" s="2026"/>
      <c r="X78" s="2095"/>
      <c r="Y78" s="2095"/>
      <c r="Z78" s="2095"/>
    </row>
    <row r="79" spans="1:26">
      <c r="A79" s="2038" t="s">
        <v>503</v>
      </c>
      <c r="B79" s="2039">
        <f t="shared" si="52"/>
        <v>116.99099099099099</v>
      </c>
      <c r="C79" s="2039">
        <f t="shared" si="52"/>
        <v>118.84848484848486</v>
      </c>
      <c r="D79" s="2039">
        <f t="shared" si="20"/>
        <v>118.84848484848486</v>
      </c>
      <c r="E79" s="2039">
        <f t="shared" si="53"/>
        <v>117.60960960960961</v>
      </c>
      <c r="F79" s="2039">
        <f t="shared" si="53"/>
        <v>104</v>
      </c>
      <c r="G79" s="3497">
        <v>2004</v>
      </c>
      <c r="H79" s="2049">
        <v>2</v>
      </c>
      <c r="I79" s="2049">
        <v>1</v>
      </c>
      <c r="J79" s="2049">
        <v>1.5</v>
      </c>
      <c r="K79" s="2049">
        <v>1.5</v>
      </c>
      <c r="L79" s="2050">
        <v>0</v>
      </c>
      <c r="N79" s="2093">
        <f t="shared" si="50"/>
        <v>4.0581121662202721E-2</v>
      </c>
      <c r="O79" s="2094">
        <f t="shared" si="50"/>
        <v>3.1897926634768738E-2</v>
      </c>
      <c r="P79" s="2094">
        <f t="shared" si="51"/>
        <v>6.6733400066733395E-2</v>
      </c>
      <c r="Q79" s="2094">
        <f t="shared" si="51"/>
        <v>0</v>
      </c>
      <c r="R79" s="2042"/>
      <c r="S79" s="2041"/>
      <c r="T79" s="2026"/>
      <c r="U79" s="2026"/>
      <c r="V79" s="2026"/>
      <c r="X79" s="2095"/>
      <c r="Y79" s="2095"/>
      <c r="Z79" s="2095"/>
    </row>
    <row r="80" spans="1:26" s="2087" customFormat="1" ht="13.5" thickBot="1">
      <c r="A80" s="2038" t="s">
        <v>504</v>
      </c>
      <c r="B80" s="2084">
        <f t="shared" si="52"/>
        <v>112.48648648648648</v>
      </c>
      <c r="C80" s="2084">
        <f t="shared" si="52"/>
        <v>115.21212121212122</v>
      </c>
      <c r="D80" s="2084">
        <f t="shared" si="20"/>
        <v>115.21212121212122</v>
      </c>
      <c r="E80" s="2084">
        <f t="shared" si="53"/>
        <v>110.4024024024024</v>
      </c>
      <c r="F80" s="2084">
        <f t="shared" si="53"/>
        <v>104</v>
      </c>
      <c r="G80" s="3498">
        <v>2004</v>
      </c>
      <c r="H80" s="2085">
        <v>1</v>
      </c>
      <c r="I80" s="2085">
        <v>0.33</v>
      </c>
      <c r="J80" s="2085">
        <v>0.5</v>
      </c>
      <c r="K80" s="2085">
        <v>0.5</v>
      </c>
      <c r="L80" s="2086">
        <v>0</v>
      </c>
      <c r="N80" s="2098">
        <f t="shared" si="50"/>
        <v>1.3391770148526898E-2</v>
      </c>
      <c r="O80" s="2099">
        <f t="shared" si="50"/>
        <v>1.063264221158958E-2</v>
      </c>
      <c r="P80" s="2099">
        <f t="shared" si="51"/>
        <v>2.2244466688911134E-2</v>
      </c>
      <c r="Q80" s="2099">
        <f t="shared" si="51"/>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0"/>
        <v>114</v>
      </c>
      <c r="E81" s="2101">
        <v>108</v>
      </c>
      <c r="F81" s="2102">
        <v>104</v>
      </c>
      <c r="G81" s="349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54">B83+(B$81-B$85)/4</f>
        <v>109.75</v>
      </c>
      <c r="C82" s="2105">
        <f t="shared" si="54"/>
        <v>112.25</v>
      </c>
      <c r="D82" s="2105">
        <f t="shared" si="20"/>
        <v>112.25</v>
      </c>
      <c r="E82" s="2105">
        <f t="shared" ref="E82:F84" si="55">E83+(E$81-E$85)/4</f>
        <v>107.25</v>
      </c>
      <c r="F82" s="2105">
        <f t="shared" si="55"/>
        <v>103.5</v>
      </c>
      <c r="G82" s="3497">
        <v>2003</v>
      </c>
      <c r="H82" s="2060">
        <v>3</v>
      </c>
      <c r="I82" s="2103"/>
      <c r="J82" s="2103"/>
      <c r="K82" s="2103"/>
      <c r="L82" s="2103"/>
      <c r="X82" s="2095"/>
      <c r="Y82" s="2095"/>
      <c r="Z82" s="2095"/>
    </row>
    <row r="83" spans="1:26">
      <c r="A83" s="2038" t="s">
        <v>507</v>
      </c>
      <c r="B83" s="2105">
        <f t="shared" si="54"/>
        <v>108.5</v>
      </c>
      <c r="C83" s="2105">
        <f t="shared" si="54"/>
        <v>110.5</v>
      </c>
      <c r="D83" s="2105">
        <f t="shared" si="20"/>
        <v>110.5</v>
      </c>
      <c r="E83" s="2105">
        <f t="shared" si="55"/>
        <v>106.5</v>
      </c>
      <c r="F83" s="2105">
        <f t="shared" si="55"/>
        <v>103</v>
      </c>
      <c r="G83" s="3497">
        <v>2003</v>
      </c>
      <c r="H83" s="2049">
        <v>2</v>
      </c>
      <c r="I83" s="2103"/>
      <c r="J83" s="2103"/>
      <c r="K83" s="2103"/>
      <c r="L83" s="2103"/>
      <c r="X83" s="2095"/>
      <c r="Y83" s="2095"/>
      <c r="Z83" s="2095"/>
    </row>
    <row r="84" spans="1:26" ht="13.5" thickBot="1">
      <c r="A84" s="2038" t="s">
        <v>508</v>
      </c>
      <c r="B84" s="2105">
        <f t="shared" si="54"/>
        <v>107.25</v>
      </c>
      <c r="C84" s="2105">
        <f t="shared" si="54"/>
        <v>108.75</v>
      </c>
      <c r="D84" s="2105">
        <f t="shared" si="20"/>
        <v>108.75</v>
      </c>
      <c r="E84" s="2105">
        <f t="shared" si="55"/>
        <v>105.75</v>
      </c>
      <c r="F84" s="2105">
        <f t="shared" si="55"/>
        <v>102.5</v>
      </c>
      <c r="G84" s="349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0"/>
        <v>107</v>
      </c>
      <c r="E85" s="2107">
        <v>105</v>
      </c>
      <c r="F85" s="2108">
        <v>102</v>
      </c>
      <c r="G85" s="349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56">B87+(B$85-B$89)/4</f>
        <v>105</v>
      </c>
      <c r="C86" s="2105">
        <f t="shared" si="56"/>
        <v>106</v>
      </c>
      <c r="D86" s="2105">
        <f t="shared" si="20"/>
        <v>106</v>
      </c>
      <c r="E86" s="2105">
        <f t="shared" ref="E86:F88" si="57">E87+(E$85-E$89)/4</f>
        <v>104.5</v>
      </c>
      <c r="F86" s="2105">
        <f t="shared" si="57"/>
        <v>101.5</v>
      </c>
      <c r="G86" s="3497">
        <v>2002</v>
      </c>
      <c r="H86" s="2060">
        <v>3</v>
      </c>
      <c r="I86" s="2103"/>
      <c r="J86" s="2103"/>
      <c r="K86" s="2103"/>
      <c r="L86" s="2103"/>
      <c r="X86" s="2095"/>
      <c r="Y86" s="2095"/>
      <c r="Z86" s="2095"/>
    </row>
    <row r="87" spans="1:26">
      <c r="A87" s="2038" t="s">
        <v>511</v>
      </c>
      <c r="B87" s="2105">
        <f t="shared" si="56"/>
        <v>104</v>
      </c>
      <c r="C87" s="2105">
        <f t="shared" si="56"/>
        <v>105</v>
      </c>
      <c r="D87" s="2105">
        <f t="shared" si="20"/>
        <v>105</v>
      </c>
      <c r="E87" s="2105">
        <f t="shared" si="57"/>
        <v>104</v>
      </c>
      <c r="F87" s="2105">
        <f t="shared" si="57"/>
        <v>101</v>
      </c>
      <c r="G87" s="3497">
        <v>2002</v>
      </c>
      <c r="H87" s="2049">
        <v>2</v>
      </c>
      <c r="I87" s="2103"/>
      <c r="J87" s="2103"/>
      <c r="K87" s="2103"/>
      <c r="L87" s="2103"/>
      <c r="X87" s="2095"/>
      <c r="Y87" s="2095"/>
      <c r="Z87" s="2095"/>
    </row>
    <row r="88" spans="1:26" s="2070" customFormat="1" ht="13.5" thickBot="1">
      <c r="A88" s="2066" t="s">
        <v>512</v>
      </c>
      <c r="B88" s="2073">
        <f t="shared" si="56"/>
        <v>103</v>
      </c>
      <c r="C88" s="2073">
        <f t="shared" si="56"/>
        <v>104</v>
      </c>
      <c r="D88" s="2073">
        <f t="shared" si="20"/>
        <v>104</v>
      </c>
      <c r="E88" s="2073">
        <f t="shared" si="57"/>
        <v>103.5</v>
      </c>
      <c r="F88" s="2073">
        <f t="shared" si="57"/>
        <v>100.5</v>
      </c>
      <c r="G88" s="3498">
        <v>2002</v>
      </c>
      <c r="H88" s="2109">
        <v>1</v>
      </c>
      <c r="I88" s="2110"/>
      <c r="J88" s="2110"/>
      <c r="K88" s="2110"/>
      <c r="L88" s="2110"/>
      <c r="N88" s="2111"/>
      <c r="S88" s="2111"/>
      <c r="X88" s="2112"/>
      <c r="Y88" s="2112"/>
      <c r="Z88" s="2112"/>
    </row>
    <row r="89" spans="1:26" ht="13.5" thickBot="1">
      <c r="B89" s="2113">
        <v>102</v>
      </c>
      <c r="C89" s="2114">
        <v>103</v>
      </c>
      <c r="D89" s="2114">
        <f t="shared" si="20"/>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79"/>
      <c r="B3" s="3179"/>
      <c r="C3" s="3179"/>
      <c r="D3" s="800" t="s">
        <v>925</v>
      </c>
      <c r="E3" s="800" t="s">
        <v>931</v>
      </c>
      <c r="F3" s="800" t="s">
        <v>925</v>
      </c>
      <c r="G3" s="800" t="s">
        <v>926</v>
      </c>
      <c r="H3" s="800" t="s">
        <v>925</v>
      </c>
      <c r="I3" s="800" t="s">
        <v>926</v>
      </c>
    </row>
    <row r="4" spans="1:9" ht="15">
      <c r="A4" s="1401" t="str">
        <f>项目基本情况!S2</f>
        <v>北京市房地产</v>
      </c>
      <c r="B4" s="800">
        <f>项目基本情况!C17</f>
        <v>391.32000000000005</v>
      </c>
      <c r="C4" s="800">
        <f>项目基本情况!C18</f>
        <v>2389.9</v>
      </c>
      <c r="D4" s="800" t="e">
        <f ca="1">结果表!D118</f>
        <v>#REF!</v>
      </c>
      <c r="E4" s="800" t="e">
        <f ca="1">结果表!E118</f>
        <v>#REF!</v>
      </c>
      <c r="F4" s="800" t="e">
        <f ca="1">结果表!F118</f>
        <v>#REF!</v>
      </c>
      <c r="G4" s="800" t="e">
        <f ca="1">结果表!G118</f>
        <v>#REF!</v>
      </c>
      <c r="H4" s="800">
        <f ca="1">结果表!H118</f>
        <v>527</v>
      </c>
      <c r="I4" s="800">
        <f ca="1">结果表!I118</f>
        <v>48585</v>
      </c>
    </row>
    <row r="5" spans="1:9" ht="30" customHeight="1">
      <c r="A5" s="3179" t="s">
        <v>927</v>
      </c>
      <c r="B5" s="3179"/>
      <c r="C5" s="3179"/>
      <c r="D5" s="3179" t="e">
        <f ca="1">结果表!D119</f>
        <v>#REF!</v>
      </c>
      <c r="E5" s="3179"/>
      <c r="F5" s="3179" t="e">
        <f ca="1">结果表!F119</f>
        <v>#REF!</v>
      </c>
      <c r="G5" s="3179"/>
      <c r="H5" s="3179" t="str">
        <f ca="1">结果表!H119</f>
        <v>伍佰贰拾柒万元整</v>
      </c>
      <c r="I5" s="3179"/>
    </row>
    <row r="6" spans="1:9" ht="15.75">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75">
      <c r="A8" s="3178" t="str">
        <f>结果表!A122</f>
        <v>房地产抵押价值</v>
      </c>
      <c r="B8" s="3178"/>
      <c r="C8" s="3178"/>
      <c r="D8" s="3178">
        <f ca="1">结果表!D122</f>
        <v>527</v>
      </c>
      <c r="E8" s="3178"/>
      <c r="F8" s="3178"/>
      <c r="G8" s="3178"/>
      <c r="H8" s="3178"/>
      <c r="I8" s="3178"/>
    </row>
    <row r="9" spans="1:9" ht="15">
      <c r="A9" s="3179" t="s">
        <v>927</v>
      </c>
      <c r="B9" s="3179"/>
      <c r="C9" s="3179"/>
      <c r="D9" s="3179" t="str">
        <f ca="1">结果表!D123</f>
        <v>伍佰贰拾柒万元整</v>
      </c>
      <c r="E9" s="3179"/>
      <c r="F9" s="3179"/>
      <c r="G9" s="3179"/>
      <c r="H9" s="3179"/>
      <c r="I9" s="3179"/>
    </row>
    <row r="10" spans="1:9" ht="15.75">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75">
      <c r="A12" s="3178" t="str">
        <f>结果表!A126</f>
        <v/>
      </c>
      <c r="B12" s="3178"/>
      <c r="C12" s="3178"/>
      <c r="D12" s="3178" t="str">
        <f>结果表!D126</f>
        <v>——</v>
      </c>
      <c r="E12" s="3178"/>
      <c r="F12" s="3178"/>
      <c r="G12" s="3178"/>
      <c r="H12" s="3178"/>
      <c r="I12" s="3178"/>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45065</v>
      </c>
      <c r="D1" s="1216" t="s">
        <v>603</v>
      </c>
      <c r="E1" s="1211">
        <f>'数据-取费表'!B22</f>
        <v>2.5</v>
      </c>
      <c r="F1" s="1216" t="s">
        <v>604</v>
      </c>
      <c r="G1" s="1212">
        <f ca="1">INDIRECT("d"&amp;$K$1)/100</f>
        <v>3.6499999999999998E-2</v>
      </c>
      <c r="H1" s="1216" t="s">
        <v>634</v>
      </c>
      <c r="I1" s="1212">
        <f ca="1">F4/100</f>
        <v>1.4999999999999999E-2</v>
      </c>
      <c r="J1" s="1217">
        <f>IF(C1&gt;C13,0,MATCH(C1,C$13:C$109,-1))+IF(SUMIF(C13:C109,C1,D13:D109)=0,13,12)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3.65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3.65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3.65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3.65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4.3</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2304</v>
      </c>
      <c r="C21" s="1206">
        <v>43697</v>
      </c>
      <c r="D21" s="2573">
        <v>4.25</v>
      </c>
      <c r="E21" s="2573">
        <v>4.25</v>
      </c>
      <c r="F21" s="2573">
        <v>4.25</v>
      </c>
      <c r="G21" s="2573">
        <v>4.25</v>
      </c>
      <c r="H21" s="2573">
        <v>4.8499999999999996</v>
      </c>
      <c r="I21" s="2573"/>
      <c r="J21" s="2573"/>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5"/>
      <c r="B22" s="2576"/>
      <c r="C22" s="2577">
        <v>42301</v>
      </c>
      <c r="D22" s="2578">
        <v>4.3499999999999996</v>
      </c>
      <c r="E22" s="2578">
        <v>4.3499999999999996</v>
      </c>
      <c r="F22" s="2578">
        <v>4.75</v>
      </c>
      <c r="G22" s="2578">
        <v>4.75</v>
      </c>
      <c r="H22" s="2578">
        <v>4.9000000000000004</v>
      </c>
      <c r="I22" s="2578"/>
      <c r="J22" s="2578"/>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1" t="s">
        <v>949</v>
      </c>
      <c r="B1" s="3191"/>
      <c r="C1" s="3191"/>
      <c r="D1" s="3191"/>
    </row>
    <row r="2" spans="1:4" ht="18">
      <c r="A2" s="3192" t="s">
        <v>933</v>
      </c>
      <c r="B2" s="3192"/>
      <c r="C2" s="3192"/>
      <c r="D2" s="3192"/>
    </row>
    <row r="3" spans="1:4" ht="18.75">
      <c r="A3" s="1405" t="s">
        <v>934</v>
      </c>
      <c r="B3" s="1405" t="s">
        <v>935</v>
      </c>
      <c r="C3" s="1405" t="s">
        <v>936</v>
      </c>
      <c r="D3" s="1405" t="s">
        <v>937</v>
      </c>
    </row>
    <row r="4" spans="1:4" ht="56.25" customHeight="1">
      <c r="A4" s="1406" t="str">
        <f>项目基本情况!B4</f>
        <v>崔锴</v>
      </c>
      <c r="B4" s="1407">
        <f ca="1">项目基本情况!C4</f>
        <v>1120100036</v>
      </c>
      <c r="C4" s="1408"/>
      <c r="D4" s="1409" t="s">
        <v>938</v>
      </c>
    </row>
    <row r="5" spans="1:4" ht="56.25" customHeight="1">
      <c r="A5" s="1406" t="str">
        <f>项目基本情况!D4</f>
        <v>郑燚</v>
      </c>
      <c r="B5" s="1407">
        <f ca="1">项目基本情况!E4</f>
        <v>1120070131</v>
      </c>
      <c r="C5" s="1410"/>
      <c r="D5" s="1409" t="s">
        <v>938</v>
      </c>
    </row>
    <row r="6" spans="1:4" ht="18">
      <c r="A6" s="3192" t="s">
        <v>939</v>
      </c>
      <c r="B6" s="3192"/>
      <c r="C6" s="3192"/>
      <c r="D6" s="319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93"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199" t="s">
        <v>956</v>
      </c>
      <c r="B15" s="3194" t="s">
        <v>109</v>
      </c>
      <c r="C15" s="3195"/>
    </row>
    <row r="16" spans="1:7" ht="13.5">
      <c r="A16" s="3200"/>
      <c r="B16" s="3194" t="s">
        <v>42</v>
      </c>
      <c r="C16" s="3195"/>
    </row>
    <row r="17" spans="1:3" ht="13.5">
      <c r="A17" s="3200"/>
      <c r="B17" s="3197" t="s">
        <v>957</v>
      </c>
      <c r="C17" s="1427" t="s">
        <v>956</v>
      </c>
    </row>
    <row r="18" spans="1:3" ht="13.5">
      <c r="A18" s="3200"/>
      <c r="B18" s="3197"/>
      <c r="C18" s="1427" t="s">
        <v>958</v>
      </c>
    </row>
    <row r="19" spans="1:3" ht="13.5">
      <c r="A19" s="3200"/>
      <c r="B19" s="3197"/>
      <c r="C19" s="1427" t="s">
        <v>959</v>
      </c>
    </row>
    <row r="20" spans="1:3" ht="13.5">
      <c r="A20" s="3201"/>
      <c r="B20" s="3196" t="s">
        <v>960</v>
      </c>
      <c r="C20" s="3195"/>
    </row>
    <row r="21" spans="1:3" ht="13.5">
      <c r="A21" s="1428" t="s">
        <v>961</v>
      </c>
      <c r="B21" s="1429"/>
      <c r="C21" s="1430"/>
    </row>
    <row r="22" spans="1:3" ht="13.5">
      <c r="A22" s="3198" t="s">
        <v>962</v>
      </c>
      <c r="B22" s="3196" t="s">
        <v>963</v>
      </c>
      <c r="C22" s="3195"/>
    </row>
    <row r="23" spans="1:3" ht="13.5">
      <c r="A23" s="3198"/>
      <c r="B23" s="3196" t="s">
        <v>964</v>
      </c>
      <c r="C23" s="3195"/>
    </row>
    <row r="24" spans="1:3" ht="13.5">
      <c r="A24" s="3198"/>
      <c r="B24" s="3196" t="s">
        <v>965</v>
      </c>
      <c r="C24" s="3195"/>
    </row>
    <row r="25" spans="1:3" ht="13.5">
      <c r="A25" s="3198"/>
      <c r="B25" s="3197" t="s">
        <v>966</v>
      </c>
      <c r="C25" s="1427" t="s">
        <v>967</v>
      </c>
    </row>
    <row r="26" spans="1:3" ht="13.5">
      <c r="A26" s="3198"/>
      <c r="B26" s="3197"/>
      <c r="C26" s="1427" t="s">
        <v>968</v>
      </c>
    </row>
    <row r="27" spans="1:3" ht="13.5">
      <c r="A27" s="3198"/>
      <c r="B27" s="3197"/>
      <c r="C27" s="1427" t="s">
        <v>969</v>
      </c>
    </row>
    <row r="28" spans="1:3" ht="13.5">
      <c r="A28" s="3198"/>
      <c r="B28" s="3197"/>
      <c r="C28" s="1427" t="s">
        <v>970</v>
      </c>
    </row>
    <row r="29" spans="1:3" ht="13.5">
      <c r="A29" s="3198"/>
      <c r="B29" s="3197"/>
      <c r="C29" s="1427" t="s">
        <v>971</v>
      </c>
    </row>
    <row r="30" spans="1:3" ht="13.5">
      <c r="A30" s="3198"/>
      <c r="B30" s="3197"/>
      <c r="C30" s="1427" t="s">
        <v>972</v>
      </c>
    </row>
    <row r="31" spans="1:3" ht="13.5">
      <c r="A31" s="3198"/>
      <c r="B31" s="3197"/>
      <c r="C31" s="1427" t="s">
        <v>973</v>
      </c>
    </row>
    <row r="32" spans="1:3" ht="13.5">
      <c r="A32" s="3198"/>
      <c r="B32" s="3197"/>
      <c r="C32" s="1427" t="s">
        <v>974</v>
      </c>
    </row>
    <row r="33" spans="1:3" ht="13.5">
      <c r="A33" s="3198"/>
      <c r="B33" s="3197"/>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2134</v>
      </c>
      <c r="B2" s="2155">
        <f ca="1">TODAY()</f>
        <v>45086</v>
      </c>
      <c r="C2" s="2156" t="s">
        <v>2135</v>
      </c>
      <c r="D2" s="2156"/>
      <c r="E2" s="2156"/>
      <c r="F2" s="2152"/>
      <c r="G2" s="2152"/>
      <c r="H2" s="2152"/>
    </row>
    <row r="3" spans="1:8" ht="24" customHeight="1">
      <c r="A3" s="2157" t="s">
        <v>2136</v>
      </c>
      <c r="B3" s="1218" t="s">
        <v>2137</v>
      </c>
      <c r="C3" s="1218" t="s">
        <v>2138</v>
      </c>
      <c r="D3" s="2158" t="s">
        <v>2139</v>
      </c>
      <c r="E3" s="2159" t="s">
        <v>2140</v>
      </c>
      <c r="F3" s="1218" t="s">
        <v>2141</v>
      </c>
      <c r="G3" s="1218" t="s">
        <v>2138</v>
      </c>
      <c r="H3" s="2158" t="s">
        <v>2142</v>
      </c>
    </row>
    <row r="4" spans="1:8" ht="24" customHeight="1">
      <c r="A4" s="1218" t="s">
        <v>2143</v>
      </c>
      <c r="B4" s="1218">
        <f ca="1">IF(C4&lt;B2,"已过期",1119970066)</f>
        <v>1119970066</v>
      </c>
      <c r="C4" s="2160">
        <v>45937</v>
      </c>
      <c r="D4" s="2161" t="str">
        <f ca="1">A4&amp;"（注册号："&amp;B4&amp;"）"</f>
        <v>梁津（注册号：1119970066）</v>
      </c>
      <c r="E4" s="2162" t="s">
        <v>2143</v>
      </c>
      <c r="F4" s="1218">
        <f ca="1">IF(G4&lt;B2,"已过期",96010014)</f>
        <v>96010014</v>
      </c>
      <c r="G4" s="2163">
        <v>47118</v>
      </c>
      <c r="H4" s="2164" t="str">
        <f ca="1">E4&amp;"（注册号："&amp;F4&amp;"）"</f>
        <v>梁津（注册号：96010014）</v>
      </c>
    </row>
    <row r="5" spans="1:8" ht="24" customHeight="1">
      <c r="A5" s="1218" t="s">
        <v>2144</v>
      </c>
      <c r="B5" s="1218">
        <f ca="1">IF(C5&lt;B2,"已过期",1119970111)</f>
        <v>1119970111</v>
      </c>
      <c r="C5" s="2160">
        <v>45937</v>
      </c>
      <c r="D5" s="2161" t="str">
        <f t="shared" ref="D5:D15" ca="1" si="0">A5&amp;"（注册号："&amp;B5&amp;"）"</f>
        <v>叶凌（注册号：1119970111）</v>
      </c>
      <c r="E5" s="2162" t="s">
        <v>2144</v>
      </c>
      <c r="F5" s="1218">
        <f ca="1">IF(G5&lt;B2,"已过期",94010078)</f>
        <v>94010078</v>
      </c>
      <c r="G5" s="2163">
        <v>46387</v>
      </c>
      <c r="H5" s="2164" t="str">
        <f t="shared" ref="H5:H16" ca="1" si="1">E5&amp;"（注册号："&amp;F5&amp;"）"</f>
        <v>叶凌（注册号：94010078）</v>
      </c>
    </row>
    <row r="6" spans="1:8" ht="24" customHeight="1">
      <c r="A6" s="1218" t="s">
        <v>2145</v>
      </c>
      <c r="B6" s="1218">
        <f ca="1">IF(C6&lt;B2,"已过期",1120050019)</f>
        <v>1120050019</v>
      </c>
      <c r="C6" s="2160">
        <v>45410</v>
      </c>
      <c r="D6" s="2161" t="str">
        <f t="shared" ca="1" si="0"/>
        <v>王鹏（注册号：1120050019）</v>
      </c>
      <c r="E6" s="2162" t="s">
        <v>2145</v>
      </c>
      <c r="F6" s="1218">
        <f ca="1">IF(G6&lt;B2,"已过期",2002110030)</f>
        <v>2002110030</v>
      </c>
      <c r="G6" s="2163">
        <v>46387</v>
      </c>
      <c r="H6" s="2164" t="str">
        <f t="shared" ca="1" si="1"/>
        <v>王鹏（注册号：2002110030）</v>
      </c>
    </row>
    <row r="7" spans="1:8" ht="24" customHeight="1">
      <c r="A7" s="1218" t="s">
        <v>2146</v>
      </c>
      <c r="B7" s="1218">
        <f ca="1">IF(C7&lt;B2,"已过期",1120000080)</f>
        <v>1120000080</v>
      </c>
      <c r="C7" s="2160">
        <v>45937</v>
      </c>
      <c r="D7" s="2161" t="str">
        <f t="shared" ca="1" si="0"/>
        <v>欧红伟（注册号：1120000080）</v>
      </c>
      <c r="E7" s="2162" t="s">
        <v>2146</v>
      </c>
      <c r="F7" s="1218">
        <f ca="1">IF(G7&lt;B2,"已过期",2000110082)</f>
        <v>2000110082</v>
      </c>
      <c r="G7" s="2163">
        <v>46387</v>
      </c>
      <c r="H7" s="2164" t="str">
        <f t="shared" ca="1" si="1"/>
        <v>欧红伟（注册号：2000110082）</v>
      </c>
    </row>
    <row r="8" spans="1:8" ht="24" customHeight="1">
      <c r="A8" s="1218" t="s">
        <v>2147</v>
      </c>
      <c r="B8" s="1218">
        <f ca="1">IF(C8&lt;B2,"已过期",1419970001)</f>
        <v>1419970001</v>
      </c>
      <c r="C8" s="2160">
        <v>45937</v>
      </c>
      <c r="D8" s="2161" t="str">
        <f t="shared" ca="1" si="0"/>
        <v>吴薇（注册号：1419970001）</v>
      </c>
      <c r="E8" s="2162" t="s">
        <v>2147</v>
      </c>
      <c r="F8" s="1218">
        <f ca="1">IF(G8&lt;B2,"已过期",2002110125)</f>
        <v>2002110125</v>
      </c>
      <c r="G8" s="2163">
        <v>47118</v>
      </c>
      <c r="H8" s="2164" t="str">
        <f t="shared" ca="1" si="1"/>
        <v>吴薇（注册号：2002110125）</v>
      </c>
    </row>
    <row r="9" spans="1:8" ht="24" customHeight="1">
      <c r="A9" s="1218" t="s">
        <v>2148</v>
      </c>
      <c r="B9" s="1218">
        <f ca="1">IF(C9&lt;B2,"已过期",1120060040)</f>
        <v>1120060040</v>
      </c>
      <c r="C9" s="2165">
        <v>45592</v>
      </c>
      <c r="D9" s="2161" t="str">
        <f t="shared" ca="1" si="0"/>
        <v>陈颖（注册号：1120060040）</v>
      </c>
      <c r="E9" s="2162" t="s">
        <v>2148</v>
      </c>
      <c r="F9" s="1218">
        <f ca="1">IF(G9&lt;B2,"已过期",2004110096)</f>
        <v>2004110096</v>
      </c>
      <c r="G9" s="2163">
        <v>47118</v>
      </c>
      <c r="H9" s="2164" t="str">
        <f t="shared" ca="1" si="1"/>
        <v>陈颖（注册号：2004110096）</v>
      </c>
    </row>
    <row r="10" spans="1:8" ht="24" customHeight="1">
      <c r="A10" s="1218" t="s">
        <v>2149</v>
      </c>
      <c r="B10" s="1218">
        <f ca="1">IF(C10&lt;B2,"已过期",1120100036)</f>
        <v>1120100036</v>
      </c>
      <c r="C10" s="2165">
        <v>45752</v>
      </c>
      <c r="D10" s="2161" t="str">
        <f t="shared" ca="1" si="0"/>
        <v>崔锴（注册号：1120100036）</v>
      </c>
      <c r="E10" s="2162" t="s">
        <v>2149</v>
      </c>
      <c r="F10" s="1218">
        <f ca="1">IF(G10&lt;B2,"已过期",2010110070)</f>
        <v>2010110070</v>
      </c>
      <c r="G10" s="2163">
        <v>47907</v>
      </c>
      <c r="H10" s="2164" t="str">
        <f t="shared" ca="1" si="1"/>
        <v>崔锴（注册号：2010110070）</v>
      </c>
    </row>
    <row r="11" spans="1:8" ht="24" customHeight="1">
      <c r="A11" s="1218" t="s">
        <v>2150</v>
      </c>
      <c r="B11" s="1218">
        <f ca="1">IF(C11&lt;B2,"已过期",1120070131)</f>
        <v>1120070131</v>
      </c>
      <c r="C11" s="2160">
        <v>45937</v>
      </c>
      <c r="D11" s="2161" t="str">
        <f t="shared" ca="1" si="0"/>
        <v>郑燚（注册号：1120070131）</v>
      </c>
      <c r="E11" s="2162" t="s">
        <v>2150</v>
      </c>
      <c r="F11" s="1218">
        <f ca="1">IF(G11&lt;B2,"已过期",2014110011)</f>
        <v>2014110011</v>
      </c>
      <c r="G11" s="2163">
        <v>49302</v>
      </c>
      <c r="H11" s="2164" t="str">
        <f t="shared" ca="1" si="1"/>
        <v>郑燚（注册号：2014110011）</v>
      </c>
    </row>
    <row r="12" spans="1:8" ht="24" customHeight="1">
      <c r="A12" s="1218" t="s">
        <v>2151</v>
      </c>
      <c r="B12" s="1218">
        <f ca="1">IF(C12&lt;B2,"已过期",1120040230)</f>
        <v>1120040230</v>
      </c>
      <c r="C12" s="2165">
        <v>45937</v>
      </c>
      <c r="D12" s="2161" t="str">
        <f t="shared" ca="1" si="0"/>
        <v>苏海（注册号：1120040230）</v>
      </c>
      <c r="E12" s="2162" t="s">
        <v>2151</v>
      </c>
      <c r="F12" s="1218">
        <f ca="1">IF(G12&lt;B2,"已过期",98030020)</f>
        <v>98030020</v>
      </c>
      <c r="G12" s="2163">
        <v>47118</v>
      </c>
      <c r="H12" s="2164" t="str">
        <f t="shared" ca="1" si="1"/>
        <v>苏海（注册号：98030020）</v>
      </c>
    </row>
    <row r="13" spans="1:8" ht="24" customHeight="1">
      <c r="A13" s="1218" t="s">
        <v>2152</v>
      </c>
      <c r="B13" s="1218">
        <f ca="1">IF(C13&lt;B2,"已过期",1120020033)</f>
        <v>1120020033</v>
      </c>
      <c r="C13" s="2160">
        <v>45375</v>
      </c>
      <c r="D13" s="2161" t="str">
        <f t="shared" ca="1" si="0"/>
        <v>刘敬东（注册号：1120020033）</v>
      </c>
      <c r="E13" s="2162" t="s">
        <v>2152</v>
      </c>
      <c r="F13" s="1218">
        <f ca="1">IF(G13&lt;B2,"已过期",2000110137)</f>
        <v>2000110137</v>
      </c>
      <c r="G13" s="2163">
        <v>46387</v>
      </c>
      <c r="H13" s="2164" t="str">
        <f t="shared" ca="1" si="1"/>
        <v>刘敬东（注册号：2000110137）</v>
      </c>
    </row>
    <row r="14" spans="1:8" ht="24" customHeight="1">
      <c r="A14" s="1218" t="s">
        <v>2153</v>
      </c>
      <c r="B14" s="1218" t="str">
        <f ca="1">IF(C14&lt;B2,"已过期",1119980106)</f>
        <v>已过期</v>
      </c>
      <c r="C14" s="2165">
        <v>44969</v>
      </c>
      <c r="D14" s="2161" t="str">
        <f t="shared" ca="1" si="0"/>
        <v>刘俊财（注册号：已过期）</v>
      </c>
      <c r="E14" s="2162" t="s">
        <v>2153</v>
      </c>
      <c r="F14" s="1218">
        <f ca="1">IF(G14&lt;B2,"已过期",96010063)</f>
        <v>96010063</v>
      </c>
      <c r="G14" s="2163">
        <v>47483</v>
      </c>
      <c r="H14" s="2164" t="str">
        <f t="shared" ca="1" si="1"/>
        <v>刘俊财（注册号：96010063）</v>
      </c>
    </row>
    <row r="15" spans="1:8" ht="24" customHeight="1">
      <c r="A15" s="1218" t="s">
        <v>2431</v>
      </c>
      <c r="B15" s="1218">
        <v>1120210056</v>
      </c>
      <c r="C15" s="2165">
        <v>45410</v>
      </c>
      <c r="D15" s="2161" t="str">
        <f t="shared" si="0"/>
        <v>宁小鳗（注册号：1120210056）</v>
      </c>
      <c r="E15" s="2162" t="s">
        <v>2154</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2" t="s">
        <v>2155</v>
      </c>
      <c r="B17" s="3202"/>
      <c r="C17" s="3202"/>
      <c r="D17" s="3202"/>
      <c r="E17" s="3202"/>
      <c r="F17" s="3202"/>
      <c r="G17" s="3202"/>
      <c r="H17" s="3202"/>
    </row>
    <row r="18" spans="1:8" ht="24" customHeight="1">
      <c r="A18" s="3203" t="s">
        <v>2156</v>
      </c>
      <c r="B18" s="3203"/>
      <c r="C18" s="3203"/>
      <c r="D18" s="2158"/>
      <c r="E18" s="3204" t="s">
        <v>2157</v>
      </c>
      <c r="F18" s="3203"/>
      <c r="G18" s="3203"/>
    </row>
    <row r="19" spans="1:8" s="2168" customFormat="1" ht="24" customHeight="1">
      <c r="A19" s="2167" t="s">
        <v>2158</v>
      </c>
      <c r="B19" s="1218" t="s">
        <v>2159</v>
      </c>
      <c r="C19" s="1218" t="s">
        <v>2138</v>
      </c>
      <c r="D19" s="2158"/>
      <c r="E19" s="2162" t="s">
        <v>2158</v>
      </c>
      <c r="F19" s="1218" t="s">
        <v>2159</v>
      </c>
      <c r="G19" s="1218" t="s">
        <v>2138</v>
      </c>
    </row>
    <row r="20" spans="1:8" s="2168" customFormat="1" ht="24" customHeight="1">
      <c r="A20" s="2169" t="s">
        <v>2160</v>
      </c>
      <c r="B20" s="2169" t="s">
        <v>2161</v>
      </c>
      <c r="C20" s="2163">
        <v>45898</v>
      </c>
      <c r="D20" s="2170"/>
      <c r="E20" s="2171" t="s">
        <v>2162</v>
      </c>
      <c r="F20" s="2174" t="s">
        <v>2432</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3"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明细表</vt:lpstr>
      <vt:lpstr>分套结果表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典型户型修正</vt:lpstr>
      <vt:lpstr>结果表商业</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收益法商业</vt:lpstr>
      <vt:lpstr>典型户型修正 (2)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2023-06-09T01:47:04Z</dcterms:modified>
</cp:coreProperties>
</file>